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7F705F71-3F21-49FB-B7AC-077C1AC661BA}" xr6:coauthVersionLast="32" xr6:coauthVersionMax="32" xr10:uidLastSave="{00000000-0000-0000-0000-000000000000}"/>
  <bookViews>
    <workbookView xWindow="0" yWindow="180" windowWidth="19200" windowHeight="7834" tabRatio="686" activeTab="11" xr2:uid="{00000000-000D-0000-FFFF-FFFF00000000}"/>
  </bookViews>
  <sheets>
    <sheet name="Job Summary" sheetId="6" r:id="rId1"/>
    <sheet name="Sheet1" sheetId="5" r:id="rId2"/>
    <sheet name="Takeoffs" sheetId="1" r:id="rId3"/>
    <sheet name="Sheet2" sheetId="2" r:id="rId4"/>
    <sheet name="Sheet3" sheetId="3" r:id="rId5"/>
    <sheet name="Unit Types" sheetId="9" r:id="rId6"/>
    <sheet name="Backend" sheetId="27" r:id="rId7"/>
    <sheet name="@MSSB" sheetId="28" r:id="rId8"/>
    <sheet name="_MSSB" sheetId="29" r:id="rId9"/>
    <sheet name="@Fan" sheetId="32" r:id="rId10"/>
    <sheet name="_Fan" sheetId="33" r:id="rId11"/>
    <sheet name="@VRF" sheetId="34" r:id="rId12"/>
    <sheet name="_VRF" sheetId="35" r:id="rId13"/>
    <sheet name="Part List" sheetId="15" r:id="rId14"/>
    <sheet name="IGOC_Parts" sheetId="30" r:id="rId15"/>
  </sheets>
  <definedNames>
    <definedName name="_xlnm._FilterDatabase" localSheetId="1" hidden="1">Sheet1!$R$1:$S$131</definedName>
    <definedName name="_xlnm._FilterDatabase" localSheetId="2" hidden="1">Takeoffs!$A$1:$CS$2622</definedName>
    <definedName name="_xlnm.Print_Area" localSheetId="2">Takeoffs!$A$1:$AN$2120</definedName>
  </definedNames>
  <calcPr calcId="179017"/>
</workbook>
</file>

<file path=xl/calcChain.xml><?xml version="1.0" encoding="utf-8"?>
<calcChain xmlns="http://schemas.openxmlformats.org/spreadsheetml/2006/main">
  <c r="Y2" i="34" l="1"/>
  <c r="Z2" i="34"/>
  <c r="Y3" i="34"/>
  <c r="Z3" i="34"/>
  <c r="T3" i="34" s="1"/>
  <c r="Y4" i="34"/>
  <c r="Z4" i="34"/>
  <c r="Y5" i="34"/>
  <c r="Z5" i="34"/>
  <c r="T5" i="34" s="1"/>
  <c r="Y6" i="34"/>
  <c r="Z6" i="34"/>
  <c r="Y7" i="34"/>
  <c r="Z7" i="34"/>
  <c r="T7" i="34" s="1"/>
  <c r="Y8" i="34"/>
  <c r="Z8" i="34"/>
  <c r="Y9" i="34"/>
  <c r="Z9" i="34"/>
  <c r="T9" i="34" s="1"/>
  <c r="Y10" i="34"/>
  <c r="Z10" i="34"/>
  <c r="Z11" i="34"/>
  <c r="T11" i="34" s="1"/>
  <c r="Y11" i="34"/>
  <c r="T4" i="34"/>
  <c r="T6" i="34"/>
  <c r="T8" i="34"/>
  <c r="T10" i="34"/>
  <c r="T2" i="34"/>
  <c r="W3" i="34"/>
  <c r="X3" i="34"/>
  <c r="W4" i="34"/>
  <c r="X4" i="34"/>
  <c r="W5" i="34"/>
  <c r="X5" i="34"/>
  <c r="W6" i="34"/>
  <c r="X6" i="34"/>
  <c r="W7" i="34"/>
  <c r="X7" i="34"/>
  <c r="W8" i="34"/>
  <c r="X8" i="34"/>
  <c r="W9" i="34"/>
  <c r="X9" i="34"/>
  <c r="W10" i="34"/>
  <c r="X10" i="34"/>
  <c r="W11" i="34"/>
  <c r="X11" i="34"/>
  <c r="X2" i="34"/>
  <c r="U3" i="34"/>
  <c r="V3" i="34"/>
  <c r="U4" i="34"/>
  <c r="V4" i="34"/>
  <c r="V5" i="34"/>
  <c r="V6" i="34"/>
  <c r="V7" i="34"/>
  <c r="V8" i="34"/>
  <c r="V9" i="34"/>
  <c r="V10" i="34"/>
  <c r="V11" i="34"/>
  <c r="I3" i="34"/>
  <c r="A3" i="34" s="1"/>
  <c r="I2" i="34"/>
  <c r="A2" i="34" s="1"/>
  <c r="I11" i="34"/>
  <c r="A11" i="34" s="1"/>
  <c r="I10" i="34"/>
  <c r="A10" i="34" s="1"/>
  <c r="I9" i="34"/>
  <c r="A9" i="34" s="1"/>
  <c r="I8" i="34"/>
  <c r="I7" i="34"/>
  <c r="I6" i="34"/>
  <c r="A6" i="34" s="1"/>
  <c r="I4" i="34"/>
  <c r="A4" i="34" s="1"/>
  <c r="I5" i="34"/>
  <c r="A5" i="34" s="1"/>
  <c r="A7" i="34"/>
  <c r="I12" i="34"/>
  <c r="I13" i="34"/>
  <c r="A13" i="34" s="1"/>
  <c r="I14" i="34"/>
  <c r="A14" i="34" s="1"/>
  <c r="I15" i="34"/>
  <c r="I16" i="34"/>
  <c r="I17" i="34"/>
  <c r="A17" i="34" s="1"/>
  <c r="I18" i="34"/>
  <c r="A18" i="34" s="1"/>
  <c r="I19" i="34"/>
  <c r="A19" i="34" s="1"/>
  <c r="I20" i="34"/>
  <c r="I21" i="34"/>
  <c r="A21" i="34" s="1"/>
  <c r="I22" i="34"/>
  <c r="A22" i="34" s="1"/>
  <c r="I23" i="34"/>
  <c r="U1" i="34"/>
  <c r="B3" i="34"/>
  <c r="B4" i="34"/>
  <c r="B5" i="34"/>
  <c r="B6" i="34"/>
  <c r="B7" i="34"/>
  <c r="B8" i="34"/>
  <c r="B9" i="34"/>
  <c r="B10" i="34"/>
  <c r="B11" i="34"/>
  <c r="B12" i="34"/>
  <c r="B13" i="34"/>
  <c r="B14" i="34"/>
  <c r="B15" i="34"/>
  <c r="B16" i="34"/>
  <c r="B17" i="34"/>
  <c r="B18" i="34"/>
  <c r="B19" i="34"/>
  <c r="B20" i="34"/>
  <c r="B21" i="34"/>
  <c r="B22" i="34"/>
  <c r="B2" i="34"/>
  <c r="A8" i="34"/>
  <c r="A12" i="34"/>
  <c r="A16" i="34"/>
  <c r="A20" i="34"/>
  <c r="K1" i="34"/>
  <c r="L1" i="34"/>
  <c r="M1" i="34"/>
  <c r="N1" i="34"/>
  <c r="O1" i="34"/>
  <c r="P1" i="34"/>
  <c r="J1" i="34"/>
  <c r="M24" i="35"/>
  <c r="M22" i="35"/>
  <c r="M20" i="35"/>
  <c r="M18" i="35"/>
  <c r="M16" i="35"/>
  <c r="M14" i="35"/>
  <c r="M12" i="35"/>
  <c r="M10" i="35"/>
  <c r="M8" i="35"/>
  <c r="M6" i="35"/>
  <c r="M4" i="35"/>
  <c r="M2" i="35"/>
  <c r="O24" i="35"/>
  <c r="N24" i="35"/>
  <c r="O22" i="35"/>
  <c r="N22" i="35"/>
  <c r="O20" i="35"/>
  <c r="N20" i="35"/>
  <c r="O18" i="35"/>
  <c r="N18" i="35"/>
  <c r="O16" i="35"/>
  <c r="N16" i="35"/>
  <c r="O14" i="35"/>
  <c r="N14" i="35"/>
  <c r="O12" i="35"/>
  <c r="N12" i="35"/>
  <c r="O10" i="35"/>
  <c r="N10" i="35"/>
  <c r="O8" i="35"/>
  <c r="N8" i="35"/>
  <c r="O6" i="35"/>
  <c r="N6" i="35"/>
  <c r="O4" i="35"/>
  <c r="N4" i="35"/>
  <c r="O2" i="35"/>
  <c r="N2" i="35"/>
  <c r="T23" i="34"/>
  <c r="H22" i="34"/>
  <c r="D22" i="34" s="1"/>
  <c r="G22" i="34"/>
  <c r="C22" i="34" s="1"/>
  <c r="H21" i="34"/>
  <c r="D21" i="34" s="1"/>
  <c r="G21" i="34"/>
  <c r="C21" i="34" s="1"/>
  <c r="H20" i="34"/>
  <c r="D20" i="34" s="1"/>
  <c r="G20" i="34"/>
  <c r="C20" i="34" s="1"/>
  <c r="H19" i="34"/>
  <c r="D19" i="34" s="1"/>
  <c r="G19" i="34"/>
  <c r="C19" i="34" s="1"/>
  <c r="H18" i="34"/>
  <c r="D18" i="34" s="1"/>
  <c r="G18" i="34"/>
  <c r="C18" i="34" s="1"/>
  <c r="H17" i="34"/>
  <c r="D17" i="34" s="1"/>
  <c r="G17" i="34"/>
  <c r="C17" i="34" s="1"/>
  <c r="H16" i="34"/>
  <c r="D16" i="34" s="1"/>
  <c r="G16" i="34"/>
  <c r="C16" i="34" s="1"/>
  <c r="H15" i="34"/>
  <c r="D15" i="34" s="1"/>
  <c r="G15" i="34"/>
  <c r="C15" i="34" s="1"/>
  <c r="A15" i="34"/>
  <c r="H14" i="34"/>
  <c r="D14" i="34" s="1"/>
  <c r="G14" i="34"/>
  <c r="C14" i="34" s="1"/>
  <c r="H13" i="34"/>
  <c r="D13" i="34" s="1"/>
  <c r="G13" i="34"/>
  <c r="C13" i="34" s="1"/>
  <c r="H12" i="34"/>
  <c r="D12" i="34" s="1"/>
  <c r="G12" i="34"/>
  <c r="C12" i="34" s="1"/>
  <c r="H11" i="34"/>
  <c r="D11" i="34" s="1"/>
  <c r="G11" i="34"/>
  <c r="C11" i="34" s="1"/>
  <c r="H10" i="34"/>
  <c r="D10" i="34" s="1"/>
  <c r="G10" i="34"/>
  <c r="C10" i="34" s="1"/>
  <c r="H9" i="34"/>
  <c r="D9" i="34" s="1"/>
  <c r="G9" i="34"/>
  <c r="C9" i="34" s="1"/>
  <c r="H8" i="34"/>
  <c r="D8" i="34" s="1"/>
  <c r="G8" i="34"/>
  <c r="C8" i="34" s="1"/>
  <c r="H7" i="34"/>
  <c r="D7" i="34" s="1"/>
  <c r="G7" i="34"/>
  <c r="C7" i="34" s="1"/>
  <c r="H6" i="34"/>
  <c r="D6" i="34" s="1"/>
  <c r="G6" i="34"/>
  <c r="C6" i="34" s="1"/>
  <c r="H5" i="34"/>
  <c r="D5" i="34" s="1"/>
  <c r="G5" i="34"/>
  <c r="C5" i="34" s="1"/>
  <c r="H4" i="34"/>
  <c r="D4" i="34" s="1"/>
  <c r="G4" i="34"/>
  <c r="C4" i="34" s="1"/>
  <c r="H3" i="34"/>
  <c r="D3" i="34" s="1"/>
  <c r="G3" i="34"/>
  <c r="C3" i="34" s="1"/>
  <c r="V2" i="34"/>
  <c r="H2" i="34"/>
  <c r="D2" i="34" s="1"/>
  <c r="G2" i="34"/>
  <c r="C2" i="34" s="1"/>
  <c r="T3" i="32"/>
  <c r="T4" i="32"/>
  <c r="T5" i="32"/>
  <c r="T6" i="32"/>
  <c r="T7" i="32"/>
  <c r="T8" i="32"/>
  <c r="T9" i="32"/>
  <c r="T10" i="32"/>
  <c r="T11" i="32"/>
  <c r="T12" i="32"/>
  <c r="T13" i="32"/>
  <c r="T14" i="32"/>
  <c r="T15" i="32"/>
  <c r="T16" i="32"/>
  <c r="T17" i="32"/>
  <c r="T18" i="32"/>
  <c r="T19" i="32"/>
  <c r="T20" i="32"/>
  <c r="T21" i="32"/>
  <c r="T22" i="32"/>
  <c r="T23" i="32"/>
  <c r="T2" i="32"/>
  <c r="AE7" i="32"/>
  <c r="AE8" i="32"/>
  <c r="AE9" i="32"/>
  <c r="AE10" i="32"/>
  <c r="AE11" i="32"/>
  <c r="AE12" i="32"/>
  <c r="AE13" i="32"/>
  <c r="AE14" i="32"/>
  <c r="AE15" i="32"/>
  <c r="AE16" i="32"/>
  <c r="AE17" i="32"/>
  <c r="AE18" i="32"/>
  <c r="AE19" i="32"/>
  <c r="AE20" i="32"/>
  <c r="AE21" i="32"/>
  <c r="AE22" i="32"/>
  <c r="AE23" i="32"/>
  <c r="AE2" i="32"/>
  <c r="AE3" i="32"/>
  <c r="AE4" i="32"/>
  <c r="AE5" i="32"/>
  <c r="AD5" i="32" s="1"/>
  <c r="AE6" i="32"/>
  <c r="AD6" i="32"/>
  <c r="AD10" i="32"/>
  <c r="AD11" i="32"/>
  <c r="AD12" i="32"/>
  <c r="AD13" i="32"/>
  <c r="AD14" i="32"/>
  <c r="AD15" i="32"/>
  <c r="AD16" i="32"/>
  <c r="AD17" i="32"/>
  <c r="AD18" i="32"/>
  <c r="AD19" i="32"/>
  <c r="AD20" i="32"/>
  <c r="AD21" i="32"/>
  <c r="AD22" i="32"/>
  <c r="AD23" i="32"/>
  <c r="AD2" i="32"/>
  <c r="AD3" i="32"/>
  <c r="AD4" i="32"/>
  <c r="Z16" i="32"/>
  <c r="Z17" i="32"/>
  <c r="Z18" i="32"/>
  <c r="Z19" i="32"/>
  <c r="Z20" i="32"/>
  <c r="Z21" i="32"/>
  <c r="Z22" i="32"/>
  <c r="AC2" i="32"/>
  <c r="AB2" i="32"/>
  <c r="Z3" i="32"/>
  <c r="Z4" i="32"/>
  <c r="Z5" i="32"/>
  <c r="Z6" i="32"/>
  <c r="Z7" i="32"/>
  <c r="Z8" i="32"/>
  <c r="Z9" i="32"/>
  <c r="Z10" i="32"/>
  <c r="Z11" i="32"/>
  <c r="Z12" i="32"/>
  <c r="Z13" i="32"/>
  <c r="Z14" i="32"/>
  <c r="Z15" i="32"/>
  <c r="Y3" i="32"/>
  <c r="Y4" i="32"/>
  <c r="Y5" i="32"/>
  <c r="Y6" i="32"/>
  <c r="Y7" i="32"/>
  <c r="Y8" i="32"/>
  <c r="Y9" i="32"/>
  <c r="Y10" i="32"/>
  <c r="Y11" i="32"/>
  <c r="Y12" i="32"/>
  <c r="Y13" i="32"/>
  <c r="Y14" i="32"/>
  <c r="Y15" i="32"/>
  <c r="Y16" i="32"/>
  <c r="Y17" i="32"/>
  <c r="Y18" i="32"/>
  <c r="Y19" i="32"/>
  <c r="Y20" i="32"/>
  <c r="Y21" i="32"/>
  <c r="Y22" i="32"/>
  <c r="X3" i="32"/>
  <c r="X4" i="32"/>
  <c r="X5" i="32"/>
  <c r="X6" i="32"/>
  <c r="X7" i="32"/>
  <c r="X8" i="32"/>
  <c r="X9" i="32"/>
  <c r="X10" i="32"/>
  <c r="X11" i="32"/>
  <c r="X12" i="32"/>
  <c r="X13" i="32"/>
  <c r="X14" i="32"/>
  <c r="X15" i="32"/>
  <c r="X16" i="32"/>
  <c r="X17" i="32"/>
  <c r="X18" i="32"/>
  <c r="X19" i="32"/>
  <c r="X20" i="32"/>
  <c r="X21" i="32"/>
  <c r="X22" i="32"/>
  <c r="Y2" i="32"/>
  <c r="AA2" i="32" s="1"/>
  <c r="X2" i="32"/>
  <c r="Z2" i="32"/>
  <c r="AB3" i="28"/>
  <c r="AB4" i="28"/>
  <c r="AB5" i="28"/>
  <c r="AB6" i="28"/>
  <c r="AB7" i="28"/>
  <c r="AB8" i="28"/>
  <c r="AB9" i="28"/>
  <c r="AB10" i="28"/>
  <c r="AB11" i="28"/>
  <c r="AB12" i="28"/>
  <c r="AB13" i="28"/>
  <c r="AB14" i="28"/>
  <c r="AB15" i="28"/>
  <c r="AB16" i="28"/>
  <c r="AB17" i="28"/>
  <c r="AB18" i="28"/>
  <c r="AB19" i="28"/>
  <c r="AB20" i="28"/>
  <c r="AB21" i="28"/>
  <c r="AB22" i="28"/>
  <c r="AC3" i="28"/>
  <c r="AB2" i="28"/>
  <c r="AC2" i="28" s="1"/>
  <c r="V3" i="32"/>
  <c r="V4" i="32"/>
  <c r="V5" i="32"/>
  <c r="V6" i="32"/>
  <c r="V7" i="32"/>
  <c r="V8" i="32"/>
  <c r="V9" i="32"/>
  <c r="V10" i="32"/>
  <c r="V11" i="32"/>
  <c r="V12" i="32"/>
  <c r="V13" i="32"/>
  <c r="V14" i="32"/>
  <c r="V15" i="32"/>
  <c r="V16" i="32"/>
  <c r="V17" i="32"/>
  <c r="V18" i="32"/>
  <c r="V19" i="32"/>
  <c r="V20" i="32"/>
  <c r="V21" i="32"/>
  <c r="V22" i="32"/>
  <c r="V2" i="32"/>
  <c r="U1" i="32"/>
  <c r="N6" i="33"/>
  <c r="I2" i="32"/>
  <c r="A2" i="32" s="1"/>
  <c r="M6" i="33"/>
  <c r="N4" i="33"/>
  <c r="N8" i="33"/>
  <c r="N10" i="33"/>
  <c r="N12" i="33"/>
  <c r="N14" i="33"/>
  <c r="N16" i="33"/>
  <c r="N18" i="33"/>
  <c r="N20" i="33"/>
  <c r="N22" i="33"/>
  <c r="N24" i="33"/>
  <c r="N26" i="33"/>
  <c r="N28" i="33"/>
  <c r="N2" i="33"/>
  <c r="H2" i="32" s="1"/>
  <c r="L4" i="33"/>
  <c r="G7" i="32" s="1"/>
  <c r="H6" i="32"/>
  <c r="H10" i="32"/>
  <c r="H14" i="32"/>
  <c r="H18" i="32"/>
  <c r="H22" i="32"/>
  <c r="M8" i="33"/>
  <c r="M10" i="33"/>
  <c r="M12" i="33"/>
  <c r="M14" i="33"/>
  <c r="M16" i="33"/>
  <c r="M18" i="33"/>
  <c r="M20" i="33"/>
  <c r="M22" i="33"/>
  <c r="M24" i="33"/>
  <c r="M26" i="33"/>
  <c r="M28" i="33"/>
  <c r="M4" i="33"/>
  <c r="G3" i="32" s="1"/>
  <c r="M2" i="33"/>
  <c r="L2" i="33"/>
  <c r="G4" i="32" s="1"/>
  <c r="I4" i="32"/>
  <c r="A4" i="32" s="1"/>
  <c r="I5" i="32"/>
  <c r="A5" i="32" s="1"/>
  <c r="I6" i="32"/>
  <c r="I7" i="32"/>
  <c r="A7" i="32" s="1"/>
  <c r="I8" i="32"/>
  <c r="A8" i="32" s="1"/>
  <c r="I9" i="32"/>
  <c r="A9" i="32" s="1"/>
  <c r="I10" i="32"/>
  <c r="I11" i="32"/>
  <c r="A11" i="32" s="1"/>
  <c r="I12" i="32"/>
  <c r="A12" i="32" s="1"/>
  <c r="I13" i="32"/>
  <c r="A13" i="32" s="1"/>
  <c r="I14" i="32"/>
  <c r="A14" i="32" s="1"/>
  <c r="I15" i="32"/>
  <c r="A15" i="32" s="1"/>
  <c r="I16" i="32"/>
  <c r="A16" i="32" s="1"/>
  <c r="I17" i="32"/>
  <c r="A17" i="32" s="1"/>
  <c r="I18" i="32"/>
  <c r="A18" i="32" s="1"/>
  <c r="I19" i="32"/>
  <c r="A19" i="32" s="1"/>
  <c r="I20" i="32"/>
  <c r="A20" i="32" s="1"/>
  <c r="I21" i="32"/>
  <c r="A21" i="32" s="1"/>
  <c r="I22" i="32"/>
  <c r="A22" i="32" s="1"/>
  <c r="I3" i="32"/>
  <c r="A6" i="32"/>
  <c r="B3" i="32"/>
  <c r="B4" i="32"/>
  <c r="B5" i="32"/>
  <c r="B6" i="32"/>
  <c r="B7" i="32"/>
  <c r="B8" i="32"/>
  <c r="B9" i="32"/>
  <c r="B10" i="32"/>
  <c r="B11" i="32"/>
  <c r="B12" i="32"/>
  <c r="B13" i="32"/>
  <c r="B14" i="32"/>
  <c r="B15" i="32"/>
  <c r="B16" i="32"/>
  <c r="B17" i="32"/>
  <c r="B18" i="32"/>
  <c r="B19" i="32"/>
  <c r="B20" i="32"/>
  <c r="B21" i="32"/>
  <c r="B22" i="32"/>
  <c r="B2" i="32"/>
  <c r="P3" i="28"/>
  <c r="P4" i="28"/>
  <c r="P5" i="28"/>
  <c r="P6" i="28"/>
  <c r="P7" i="28"/>
  <c r="P8" i="28"/>
  <c r="P9" i="28"/>
  <c r="P10" i="28"/>
  <c r="P11" i="28"/>
  <c r="P12" i="28"/>
  <c r="P13" i="28"/>
  <c r="P14" i="28"/>
  <c r="P15" i="28"/>
  <c r="P16" i="28"/>
  <c r="P17" i="28"/>
  <c r="P18" i="28"/>
  <c r="P19" i="28"/>
  <c r="P20" i="28"/>
  <c r="P21" i="28"/>
  <c r="P22" i="28"/>
  <c r="H3" i="28"/>
  <c r="H4" i="28"/>
  <c r="H5" i="28"/>
  <c r="H6" i="28"/>
  <c r="H7" i="28"/>
  <c r="H8" i="28"/>
  <c r="H9" i="28"/>
  <c r="H10" i="28"/>
  <c r="H11" i="28"/>
  <c r="H12" i="28"/>
  <c r="H13" i="28"/>
  <c r="H14" i="28"/>
  <c r="H15" i="28"/>
  <c r="H16" i="28"/>
  <c r="H17" i="28"/>
  <c r="H18" i="28"/>
  <c r="H19" i="28"/>
  <c r="H20" i="28"/>
  <c r="H21" i="28"/>
  <c r="H22" i="28"/>
  <c r="H2" i="28"/>
  <c r="G2" i="28"/>
  <c r="G4" i="28"/>
  <c r="G5" i="28"/>
  <c r="G6" i="28"/>
  <c r="G7" i="28"/>
  <c r="G8" i="28"/>
  <c r="G9" i="28"/>
  <c r="G10" i="28"/>
  <c r="G11" i="28"/>
  <c r="G12" i="28"/>
  <c r="G13" i="28"/>
  <c r="G14" i="28"/>
  <c r="G15" i="28"/>
  <c r="G16" i="28"/>
  <c r="G17" i="28"/>
  <c r="G18" i="28"/>
  <c r="G19" i="28"/>
  <c r="G20" i="28"/>
  <c r="G21" i="28"/>
  <c r="G22" i="28"/>
  <c r="G3" i="28"/>
  <c r="AC4" i="28"/>
  <c r="AC5" i="28"/>
  <c r="AC6" i="28"/>
  <c r="AC7" i="28"/>
  <c r="AC8" i="28"/>
  <c r="AC9" i="28"/>
  <c r="AC10" i="28"/>
  <c r="AC11" i="28"/>
  <c r="AC12" i="28"/>
  <c r="AC13" i="28"/>
  <c r="AC14" i="28"/>
  <c r="AC15" i="28"/>
  <c r="AC16" i="28"/>
  <c r="AC17" i="28"/>
  <c r="AC18" i="28"/>
  <c r="AC19" i="28"/>
  <c r="AC20" i="28"/>
  <c r="AC21" i="28"/>
  <c r="AC22" i="28"/>
  <c r="AD4" i="28"/>
  <c r="AD5" i="28" s="1"/>
  <c r="Z4" i="28"/>
  <c r="AA4" i="28" s="1"/>
  <c r="Z5" i="28"/>
  <c r="Z6" i="28"/>
  <c r="Z7" i="28"/>
  <c r="Z8" i="28"/>
  <c r="Z9" i="28"/>
  <c r="Z10" i="28"/>
  <c r="Z11" i="28"/>
  <c r="Z12" i="28"/>
  <c r="Z13" i="28"/>
  <c r="Z14" i="28"/>
  <c r="Z15" i="28"/>
  <c r="Z16" i="28"/>
  <c r="Z17" i="28"/>
  <c r="Z18" i="28"/>
  <c r="Z19" i="28"/>
  <c r="Z20" i="28"/>
  <c r="Z21" i="28"/>
  <c r="Z22" i="28"/>
  <c r="AA3" i="28"/>
  <c r="AA2" i="28"/>
  <c r="AD3" i="28"/>
  <c r="AD2" i="28"/>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218" i="27"/>
  <c r="F219" i="27"/>
  <c r="F220" i="27"/>
  <c r="F221" i="27"/>
  <c r="F222" i="27"/>
  <c r="F223" i="27"/>
  <c r="F224" i="27"/>
  <c r="F225" i="27"/>
  <c r="F226" i="27"/>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 i="27"/>
  <c r="F3" i="27"/>
  <c r="F4" i="27"/>
  <c r="F5" i="27"/>
  <c r="F6" i="27"/>
  <c r="F7" i="27"/>
  <c r="F8" i="27"/>
  <c r="F9" i="27"/>
  <c r="F10" i="27"/>
  <c r="F11" i="27"/>
  <c r="F12" i="27"/>
  <c r="F13" i="27"/>
  <c r="F14" i="27"/>
  <c r="F15" i="27"/>
  <c r="F1" i="27"/>
  <c r="Z2" i="28"/>
  <c r="Z3" i="28"/>
  <c r="S3" i="28"/>
  <c r="S4" i="28"/>
  <c r="S5" i="28"/>
  <c r="S6" i="28"/>
  <c r="S7" i="28"/>
  <c r="S8" i="28"/>
  <c r="S9" i="28"/>
  <c r="S10" i="28"/>
  <c r="S11" i="28"/>
  <c r="S12" i="28"/>
  <c r="S13" i="28"/>
  <c r="S14" i="28"/>
  <c r="S15" i="28"/>
  <c r="S16" i="28"/>
  <c r="S17" i="28"/>
  <c r="S18" i="28"/>
  <c r="S19" i="28"/>
  <c r="S20" i="28"/>
  <c r="S21" i="28"/>
  <c r="S22" i="28"/>
  <c r="U5" i="34" l="1"/>
  <c r="U2" i="34"/>
  <c r="T22" i="34"/>
  <c r="U2" i="32"/>
  <c r="W2" i="32" s="1"/>
  <c r="G19" i="32"/>
  <c r="G15" i="32"/>
  <c r="G11" i="32"/>
  <c r="C11" i="32" s="1"/>
  <c r="H21" i="32"/>
  <c r="H17" i="32"/>
  <c r="H13" i="32"/>
  <c r="H9" i="32"/>
  <c r="D9" i="32" s="1"/>
  <c r="H5" i="32"/>
  <c r="D5" i="32" s="1"/>
  <c r="G22" i="32"/>
  <c r="G18" i="32"/>
  <c r="G14" i="32"/>
  <c r="C14" i="32" s="1"/>
  <c r="G10" i="32"/>
  <c r="C10" i="32" s="1"/>
  <c r="G6" i="32"/>
  <c r="C6" i="32" s="1"/>
  <c r="H20" i="32"/>
  <c r="D20" i="32" s="1"/>
  <c r="H16" i="32"/>
  <c r="D16" i="32" s="1"/>
  <c r="H12" i="32"/>
  <c r="D12" i="32" s="1"/>
  <c r="H8" i="32"/>
  <c r="H4" i="32"/>
  <c r="D4" i="32" s="1"/>
  <c r="G21" i="32"/>
  <c r="C21" i="32" s="1"/>
  <c r="G17" i="32"/>
  <c r="C17" i="32" s="1"/>
  <c r="G13" i="32"/>
  <c r="G9" i="32"/>
  <c r="C9" i="32" s="1"/>
  <c r="G5" i="32"/>
  <c r="C5" i="32" s="1"/>
  <c r="H19" i="32"/>
  <c r="D19" i="32" s="1"/>
  <c r="H15" i="32"/>
  <c r="H11" i="32"/>
  <c r="D11" i="32" s="1"/>
  <c r="H7" i="32"/>
  <c r="D7" i="32" s="1"/>
  <c r="H3" i="32"/>
  <c r="G20" i="32"/>
  <c r="G16" i="32"/>
  <c r="G12" i="32"/>
  <c r="C12" i="32" s="1"/>
  <c r="G8" i="32"/>
  <c r="C8" i="32" s="1"/>
  <c r="G2" i="32"/>
  <c r="C2" i="32" s="1"/>
  <c r="D17" i="32"/>
  <c r="D21" i="32"/>
  <c r="A10" i="32"/>
  <c r="A3" i="32"/>
  <c r="D8" i="32"/>
  <c r="C7" i="32"/>
  <c r="D13" i="32"/>
  <c r="D15" i="32"/>
  <c r="C15" i="32"/>
  <c r="C19" i="32"/>
  <c r="D6" i="32"/>
  <c r="D10" i="32"/>
  <c r="D14" i="32"/>
  <c r="D18" i="32"/>
  <c r="D22" i="32"/>
  <c r="C4" i="32"/>
  <c r="C16" i="32"/>
  <c r="C20" i="32"/>
  <c r="C13" i="32"/>
  <c r="D2" i="32"/>
  <c r="C18" i="32"/>
  <c r="C22" i="32"/>
  <c r="AD6" i="28"/>
  <c r="AA5" i="28"/>
  <c r="U6" i="34" l="1"/>
  <c r="W2" i="34"/>
  <c r="U3" i="32"/>
  <c r="AA6" i="28"/>
  <c r="AD7" i="28"/>
  <c r="U7" i="34" l="1"/>
  <c r="U4" i="32"/>
  <c r="W4" i="32" s="1"/>
  <c r="AA4" i="32" s="1"/>
  <c r="AC3" i="32"/>
  <c r="AB3" i="32"/>
  <c r="W3" i="32"/>
  <c r="AA3" i="32" s="1"/>
  <c r="AD8" i="28"/>
  <c r="AA7" i="28"/>
  <c r="U8" i="34" l="1"/>
  <c r="U5" i="32"/>
  <c r="AC5" i="32" s="1"/>
  <c r="AB4" i="32"/>
  <c r="AC4" i="32"/>
  <c r="U6" i="32"/>
  <c r="AC6" i="32" s="1"/>
  <c r="W5" i="32"/>
  <c r="AA5" i="32" s="1"/>
  <c r="AD9" i="28"/>
  <c r="AA8" i="28"/>
  <c r="U9" i="34" l="1"/>
  <c r="AB5" i="32"/>
  <c r="AB6" i="32"/>
  <c r="U7" i="32"/>
  <c r="W6" i="32"/>
  <c r="AA6" i="32" s="1"/>
  <c r="AD10" i="28"/>
  <c r="AA9" i="28"/>
  <c r="U10" i="34" l="1"/>
  <c r="AC7" i="32"/>
  <c r="AD7" i="32"/>
  <c r="AB7" i="32"/>
  <c r="U8" i="32"/>
  <c r="W7" i="32"/>
  <c r="AA7" i="32" s="1"/>
  <c r="AA10" i="28"/>
  <c r="AD11" i="28"/>
  <c r="U11" i="34" l="1"/>
  <c r="AC8" i="32"/>
  <c r="AD8" i="32"/>
  <c r="AB8" i="32"/>
  <c r="U9" i="32"/>
  <c r="W8" i="32"/>
  <c r="AA8" i="32" s="1"/>
  <c r="AD12" i="28"/>
  <c r="AA11" i="28"/>
  <c r="AC9" i="32" l="1"/>
  <c r="AD9" i="32"/>
  <c r="AB9" i="32"/>
  <c r="U10" i="32"/>
  <c r="AC10" i="32" s="1"/>
  <c r="W9" i="32"/>
  <c r="AA9" i="32" s="1"/>
  <c r="AD13" i="28"/>
  <c r="AA12" i="28"/>
  <c r="AB10" i="32" l="1"/>
  <c r="U11" i="32"/>
  <c r="AC11" i="32" s="1"/>
  <c r="W10" i="32"/>
  <c r="AA10" i="32" s="1"/>
  <c r="AD14" i="28"/>
  <c r="AA13" i="28"/>
  <c r="AB11" i="32" l="1"/>
  <c r="U12" i="32"/>
  <c r="AC12" i="32" s="1"/>
  <c r="W11" i="32"/>
  <c r="AA11" i="32" s="1"/>
  <c r="AA14" i="28"/>
  <c r="AD15" i="28"/>
  <c r="AB12" i="32" l="1"/>
  <c r="U13" i="32"/>
  <c r="AC13" i="32" s="1"/>
  <c r="W12" i="32"/>
  <c r="AA12" i="32" s="1"/>
  <c r="AD16" i="28"/>
  <c r="AA15" i="28"/>
  <c r="AB13" i="32" l="1"/>
  <c r="U14" i="32"/>
  <c r="AC14" i="32" s="1"/>
  <c r="W13" i="32"/>
  <c r="AA13" i="32" s="1"/>
  <c r="AD17" i="28"/>
  <c r="AA16" i="28"/>
  <c r="AB14" i="32" l="1"/>
  <c r="U15" i="32"/>
  <c r="AC15" i="32" s="1"/>
  <c r="W14" i="32"/>
  <c r="AA14" i="32" s="1"/>
  <c r="AD18" i="28"/>
  <c r="AA17" i="28"/>
  <c r="AB15" i="32" l="1"/>
  <c r="U16" i="32"/>
  <c r="AC16" i="32" s="1"/>
  <c r="W15" i="32"/>
  <c r="AA15" i="32" s="1"/>
  <c r="AA18" i="28"/>
  <c r="AD19" i="28"/>
  <c r="AB16" i="32" l="1"/>
  <c r="U17" i="32"/>
  <c r="AC17" i="32" s="1"/>
  <c r="W16" i="32"/>
  <c r="AA16" i="32" s="1"/>
  <c r="AD20" i="28"/>
  <c r="AA19" i="28"/>
  <c r="AB17" i="32" l="1"/>
  <c r="U18" i="32"/>
  <c r="AC18" i="32" s="1"/>
  <c r="W17" i="32"/>
  <c r="AA17" i="32" s="1"/>
  <c r="AD21" i="28"/>
  <c r="AA20" i="28"/>
  <c r="AB18" i="32" l="1"/>
  <c r="U19" i="32"/>
  <c r="AC19" i="32" s="1"/>
  <c r="W18" i="32"/>
  <c r="AA18" i="32" s="1"/>
  <c r="AD22" i="28"/>
  <c r="AA21" i="28"/>
  <c r="AB19" i="32" l="1"/>
  <c r="U20" i="32"/>
  <c r="AC20" i="32" s="1"/>
  <c r="W19" i="32"/>
  <c r="AA19" i="32" s="1"/>
  <c r="AA22" i="28"/>
  <c r="AB20" i="32" l="1"/>
  <c r="U21" i="32"/>
  <c r="AC21" i="32" s="1"/>
  <c r="W20" i="32"/>
  <c r="AA20" i="32" s="1"/>
  <c r="S2" i="28"/>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78" i="30"/>
  <c r="H79" i="30"/>
  <c r="H80" i="30"/>
  <c r="H81" i="30"/>
  <c r="H82" i="30"/>
  <c r="H83" i="30"/>
  <c r="H84" i="30"/>
  <c r="H85" i="30"/>
  <c r="H86" i="30"/>
  <c r="H87" i="30"/>
  <c r="H88" i="30"/>
  <c r="H89" i="30"/>
  <c r="H90" i="30"/>
  <c r="H91" i="30"/>
  <c r="H92" i="30"/>
  <c r="H2"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D67" i="30"/>
  <c r="D68" i="30"/>
  <c r="D69" i="30"/>
  <c r="D70" i="30"/>
  <c r="D71" i="30"/>
  <c r="D72" i="30"/>
  <c r="D73" i="30"/>
  <c r="D74" i="30"/>
  <c r="D75" i="30"/>
  <c r="D76" i="30"/>
  <c r="D77" i="30"/>
  <c r="D78" i="30"/>
  <c r="D79" i="30"/>
  <c r="D80" i="30"/>
  <c r="D81" i="30"/>
  <c r="D82" i="30"/>
  <c r="D83" i="30"/>
  <c r="D84" i="30"/>
  <c r="D85" i="30"/>
  <c r="D86" i="30"/>
  <c r="D87" i="30"/>
  <c r="D88" i="30"/>
  <c r="D89" i="30"/>
  <c r="D90" i="30"/>
  <c r="D91" i="30"/>
  <c r="D92" i="30"/>
  <c r="D3" i="30"/>
  <c r="D4" i="30"/>
  <c r="D5" i="30"/>
  <c r="D6" i="30"/>
  <c r="D7" i="30"/>
  <c r="D8" i="30"/>
  <c r="D2" i="30"/>
  <c r="AB21" i="32" l="1"/>
  <c r="U22" i="32"/>
  <c r="W21" i="32"/>
  <c r="AA21" i="32" s="1"/>
  <c r="I2" i="28"/>
  <c r="I3" i="28"/>
  <c r="I5" i="28"/>
  <c r="I6" i="28"/>
  <c r="I7" i="28"/>
  <c r="I8" i="28"/>
  <c r="I9" i="28"/>
  <c r="I10" i="28"/>
  <c r="I11" i="28"/>
  <c r="I12" i="28"/>
  <c r="I13" i="28"/>
  <c r="I14" i="28"/>
  <c r="I15" i="28"/>
  <c r="I16" i="28"/>
  <c r="I17" i="28"/>
  <c r="I18" i="28"/>
  <c r="I19" i="28"/>
  <c r="I20" i="28"/>
  <c r="I21" i="28"/>
  <c r="I22" i="28"/>
  <c r="AC22" i="32" l="1"/>
  <c r="W22" i="32"/>
  <c r="AA22" i="32" s="1"/>
  <c r="AB22" i="32"/>
  <c r="M14" i="29"/>
  <c r="M15" i="29"/>
  <c r="M16" i="29"/>
  <c r="M17" i="29"/>
  <c r="M18" i="29"/>
  <c r="M19" i="29"/>
  <c r="M20" i="29"/>
  <c r="M21" i="29"/>
  <c r="M22" i="29"/>
  <c r="M23" i="29"/>
  <c r="M24" i="29"/>
  <c r="M25" i="29"/>
  <c r="M26" i="29"/>
  <c r="M27" i="29"/>
  <c r="M28" i="29"/>
  <c r="M29" i="29"/>
  <c r="M30" i="29"/>
  <c r="M31" i="29"/>
  <c r="M32" i="29"/>
  <c r="M33" i="29"/>
  <c r="P33" i="29" s="1"/>
  <c r="M34" i="29"/>
  <c r="M35" i="29"/>
  <c r="M36" i="29"/>
  <c r="M37" i="29"/>
  <c r="P37" i="29" s="1"/>
  <c r="M38" i="29"/>
  <c r="M39" i="29"/>
  <c r="M40" i="29"/>
  <c r="M41" i="29"/>
  <c r="P41" i="29" s="1"/>
  <c r="M42" i="29"/>
  <c r="M43" i="29"/>
  <c r="M44" i="29"/>
  <c r="M45" i="29"/>
  <c r="P45" i="29" s="1"/>
  <c r="M46" i="29"/>
  <c r="M47" i="29"/>
  <c r="M48" i="29"/>
  <c r="M49" i="29"/>
  <c r="P49" i="29" s="1"/>
  <c r="M50" i="29"/>
  <c r="M51" i="29"/>
  <c r="M52" i="29"/>
  <c r="M53" i="29"/>
  <c r="P53" i="29" s="1"/>
  <c r="M54" i="29"/>
  <c r="M55" i="29"/>
  <c r="M56" i="29"/>
  <c r="M57" i="29"/>
  <c r="P57" i="29" s="1"/>
  <c r="M58" i="29"/>
  <c r="M59" i="29"/>
  <c r="M60" i="29"/>
  <c r="M61" i="29"/>
  <c r="P61" i="29" s="1"/>
  <c r="M62" i="29"/>
  <c r="M63" i="29"/>
  <c r="M64" i="29"/>
  <c r="M65" i="29"/>
  <c r="P65" i="29" s="1"/>
  <c r="M66" i="29"/>
  <c r="M67" i="29"/>
  <c r="M68" i="29"/>
  <c r="M69" i="29"/>
  <c r="P69" i="29" s="1"/>
  <c r="M70" i="29"/>
  <c r="M71" i="29"/>
  <c r="M72" i="29"/>
  <c r="M73" i="29"/>
  <c r="P73" i="29" s="1"/>
  <c r="M74" i="29"/>
  <c r="M75" i="29"/>
  <c r="M76" i="29"/>
  <c r="M77" i="29"/>
  <c r="P77" i="29" s="1"/>
  <c r="M78" i="29"/>
  <c r="M79" i="29"/>
  <c r="M80" i="29"/>
  <c r="M81" i="29"/>
  <c r="P81" i="29" s="1"/>
  <c r="M82" i="29"/>
  <c r="M83" i="29"/>
  <c r="M84" i="29"/>
  <c r="M85" i="29"/>
  <c r="P85" i="29" s="1"/>
  <c r="M86" i="29"/>
  <c r="M87" i="29"/>
  <c r="M88" i="29"/>
  <c r="M89" i="29"/>
  <c r="P89" i="29" s="1"/>
  <c r="M90" i="29"/>
  <c r="M91" i="29"/>
  <c r="M92" i="29"/>
  <c r="P14" i="29"/>
  <c r="P15" i="29"/>
  <c r="P16" i="29"/>
  <c r="P17" i="29"/>
  <c r="P18" i="29"/>
  <c r="P19" i="29"/>
  <c r="P20" i="29"/>
  <c r="P21" i="29"/>
  <c r="P22" i="29"/>
  <c r="P23" i="29"/>
  <c r="P24" i="29"/>
  <c r="P25" i="29"/>
  <c r="P26" i="29"/>
  <c r="P27" i="29"/>
  <c r="P28" i="29"/>
  <c r="P29" i="29"/>
  <c r="P30" i="29"/>
  <c r="P31" i="29"/>
  <c r="P32" i="29"/>
  <c r="P34" i="29"/>
  <c r="P35" i="29"/>
  <c r="P36" i="29"/>
  <c r="P38" i="29"/>
  <c r="P39" i="29"/>
  <c r="P40" i="29"/>
  <c r="P42" i="29"/>
  <c r="P43" i="29"/>
  <c r="P44" i="29"/>
  <c r="P46" i="29"/>
  <c r="P47" i="29"/>
  <c r="P48" i="29"/>
  <c r="P50" i="29"/>
  <c r="P51" i="29"/>
  <c r="P52" i="29"/>
  <c r="P54" i="29"/>
  <c r="P55" i="29"/>
  <c r="P56" i="29"/>
  <c r="P58" i="29"/>
  <c r="P59" i="29"/>
  <c r="P60" i="29"/>
  <c r="P62" i="29"/>
  <c r="P63" i="29"/>
  <c r="P64" i="29"/>
  <c r="P66" i="29"/>
  <c r="P67" i="29"/>
  <c r="P68" i="29"/>
  <c r="P70" i="29"/>
  <c r="P71" i="29"/>
  <c r="P72" i="29"/>
  <c r="P74" i="29"/>
  <c r="P75" i="29"/>
  <c r="P76" i="29"/>
  <c r="P78" i="29"/>
  <c r="P79" i="29"/>
  <c r="P80" i="29"/>
  <c r="P82" i="29"/>
  <c r="P83" i="29"/>
  <c r="P84" i="29"/>
  <c r="P86" i="29"/>
  <c r="P87" i="29"/>
  <c r="P88" i="29"/>
  <c r="P90" i="29"/>
  <c r="P91" i="29"/>
  <c r="P92" i="29"/>
  <c r="M13" i="29"/>
  <c r="P13" i="29" s="1"/>
  <c r="J3" i="29"/>
  <c r="J4" i="29"/>
  <c r="J5" i="29"/>
  <c r="J6" i="29"/>
  <c r="J7" i="29"/>
  <c r="J8" i="29"/>
  <c r="J9" i="29"/>
  <c r="J10" i="29"/>
  <c r="J11" i="29"/>
  <c r="J2" i="29"/>
  <c r="P2" i="29" s="1"/>
  <c r="P10" i="29"/>
  <c r="Q14" i="29"/>
  <c r="Q15" i="29"/>
  <c r="Q16" i="29"/>
  <c r="Q17" i="29"/>
  <c r="Q18" i="29"/>
  <c r="Q19" i="29"/>
  <c r="Q20" i="29"/>
  <c r="Q21" i="29"/>
  <c r="Q22" i="29"/>
  <c r="Q23" i="29"/>
  <c r="Q24" i="29"/>
  <c r="Q25" i="29"/>
  <c r="Q26" i="29"/>
  <c r="Q27" i="29"/>
  <c r="Q28" i="29"/>
  <c r="Q29" i="29"/>
  <c r="Q30" i="29"/>
  <c r="Q31" i="29"/>
  <c r="Q32" i="29"/>
  <c r="Q33" i="29"/>
  <c r="Q34" i="29"/>
  <c r="Q35" i="29"/>
  <c r="Q36" i="29"/>
  <c r="Q37" i="29"/>
  <c r="Q38" i="29"/>
  <c r="Q39" i="29"/>
  <c r="Q40" i="29"/>
  <c r="Q41" i="29"/>
  <c r="Q42" i="29"/>
  <c r="Q43" i="29"/>
  <c r="Q44" i="29"/>
  <c r="Q45" i="29"/>
  <c r="Q46" i="29"/>
  <c r="Q47" i="29"/>
  <c r="Q48" i="29"/>
  <c r="Q49" i="29"/>
  <c r="Q50" i="29"/>
  <c r="Q51" i="29"/>
  <c r="Q52" i="29"/>
  <c r="Q53" i="29"/>
  <c r="Q54" i="29"/>
  <c r="Q55" i="29"/>
  <c r="Q56" i="29"/>
  <c r="Q57" i="29"/>
  <c r="Q58" i="29"/>
  <c r="Q59" i="29"/>
  <c r="Q60" i="29"/>
  <c r="Q61" i="29"/>
  <c r="Q62" i="29"/>
  <c r="Q63" i="29"/>
  <c r="Q64" i="29"/>
  <c r="Q65" i="29"/>
  <c r="Q66" i="29"/>
  <c r="Q67" i="29"/>
  <c r="Q68" i="29"/>
  <c r="Q69" i="29"/>
  <c r="Q70" i="29"/>
  <c r="Q71" i="29"/>
  <c r="Q72" i="29"/>
  <c r="Q73" i="29"/>
  <c r="Q74" i="29"/>
  <c r="Q75" i="29"/>
  <c r="Q76" i="29"/>
  <c r="Q77" i="29"/>
  <c r="Q78" i="29"/>
  <c r="Q79" i="29"/>
  <c r="Q80" i="29"/>
  <c r="Q81" i="29"/>
  <c r="Q82" i="29"/>
  <c r="Q83" i="29"/>
  <c r="Q84" i="29"/>
  <c r="Q85" i="29"/>
  <c r="Q86" i="29"/>
  <c r="Q87" i="29"/>
  <c r="Q88" i="29"/>
  <c r="Q89" i="29"/>
  <c r="Q90" i="29"/>
  <c r="Q91" i="29"/>
  <c r="Q92" i="29"/>
  <c r="Q2" i="29"/>
  <c r="P3" i="29"/>
  <c r="Q3" i="29"/>
  <c r="P4" i="29"/>
  <c r="Q4" i="29"/>
  <c r="P5" i="29"/>
  <c r="Q5" i="29"/>
  <c r="P6" i="29"/>
  <c r="Q6" i="29"/>
  <c r="P7" i="29"/>
  <c r="Q7" i="29"/>
  <c r="P8" i="29"/>
  <c r="Q8" i="29"/>
  <c r="P9" i="29"/>
  <c r="Q9" i="29"/>
  <c r="Q10" i="29"/>
  <c r="P11" i="29"/>
  <c r="Q11" i="29"/>
  <c r="Q1" i="29"/>
  <c r="P1" i="29"/>
  <c r="A2" i="28" l="1"/>
  <c r="N16" i="29"/>
  <c r="N23" i="29"/>
  <c r="N24" i="29"/>
  <c r="N25" i="29"/>
  <c r="N26" i="29"/>
  <c r="N27" i="29"/>
  <c r="N28" i="29"/>
  <c r="N29" i="29"/>
  <c r="N30" i="29"/>
  <c r="N31" i="29"/>
  <c r="N32" i="29"/>
  <c r="N33" i="29"/>
  <c r="N34" i="29"/>
  <c r="N35" i="29"/>
  <c r="N36" i="29"/>
  <c r="N37" i="29"/>
  <c r="N38" i="29"/>
  <c r="N39" i="29"/>
  <c r="N40" i="29"/>
  <c r="N41" i="29"/>
  <c r="N42" i="29"/>
  <c r="N43" i="29"/>
  <c r="N44" i="29"/>
  <c r="N45" i="29"/>
  <c r="N46" i="29"/>
  <c r="N47" i="29"/>
  <c r="N48" i="29"/>
  <c r="N49" i="29"/>
  <c r="N50" i="29"/>
  <c r="N51" i="29"/>
  <c r="N52" i="29"/>
  <c r="N53" i="29"/>
  <c r="N54" i="29"/>
  <c r="N55" i="29"/>
  <c r="N56" i="29"/>
  <c r="N57" i="29"/>
  <c r="N58" i="29"/>
  <c r="N59" i="29"/>
  <c r="N60" i="29"/>
  <c r="N61" i="29"/>
  <c r="N62" i="29"/>
  <c r="N63" i="29"/>
  <c r="N64" i="29"/>
  <c r="N65" i="29"/>
  <c r="N66" i="29"/>
  <c r="N67" i="29"/>
  <c r="N68" i="29"/>
  <c r="N69" i="29"/>
  <c r="N70" i="29"/>
  <c r="N71" i="29"/>
  <c r="N72" i="29"/>
  <c r="N73" i="29"/>
  <c r="N74" i="29"/>
  <c r="N75" i="29"/>
  <c r="N76" i="29"/>
  <c r="N77" i="29"/>
  <c r="N78" i="29"/>
  <c r="N79" i="29"/>
  <c r="N80" i="29"/>
  <c r="N81" i="29"/>
  <c r="N82" i="29"/>
  <c r="N83" i="29"/>
  <c r="N84" i="29"/>
  <c r="N85" i="29"/>
  <c r="N86" i="29"/>
  <c r="N87" i="29"/>
  <c r="N88" i="29"/>
  <c r="N89" i="29"/>
  <c r="N90" i="29"/>
  <c r="N91" i="29"/>
  <c r="N92" i="29"/>
  <c r="B3" i="28"/>
  <c r="C3" i="28"/>
  <c r="D3" i="28"/>
  <c r="T3" i="28"/>
  <c r="U3" i="28"/>
  <c r="V3" i="28"/>
  <c r="W3" i="28"/>
  <c r="X3" i="28"/>
  <c r="Y3" i="28"/>
  <c r="B4" i="28"/>
  <c r="C4" i="28"/>
  <c r="D4" i="28"/>
  <c r="I4" i="28"/>
  <c r="A4" i="28" s="1"/>
  <c r="T4" i="28"/>
  <c r="U4" i="28"/>
  <c r="V4" i="28"/>
  <c r="W4" i="28"/>
  <c r="X4" i="28"/>
  <c r="Y4" i="28"/>
  <c r="B5" i="28"/>
  <c r="C5" i="28"/>
  <c r="D5" i="28"/>
  <c r="R5" i="28"/>
  <c r="T5" i="28"/>
  <c r="U5" i="28"/>
  <c r="V5" i="28"/>
  <c r="W5" i="28"/>
  <c r="X5" i="28"/>
  <c r="Y5" i="28"/>
  <c r="B6" i="28"/>
  <c r="C6" i="28"/>
  <c r="D6" i="28"/>
  <c r="T6" i="28"/>
  <c r="U6" i="28"/>
  <c r="V6" i="28"/>
  <c r="W6" i="28"/>
  <c r="X6" i="28"/>
  <c r="Y6" i="28"/>
  <c r="B7" i="28"/>
  <c r="C7" i="28"/>
  <c r="D7" i="28"/>
  <c r="A7" i="28"/>
  <c r="T7" i="28"/>
  <c r="U7" i="28"/>
  <c r="V7" i="28"/>
  <c r="W7" i="28"/>
  <c r="X7" i="28"/>
  <c r="Y7" i="28"/>
  <c r="B8" i="28"/>
  <c r="C8" i="28"/>
  <c r="D8" i="28"/>
  <c r="A8" i="28"/>
  <c r="T8" i="28"/>
  <c r="U8" i="28"/>
  <c r="V8" i="28"/>
  <c r="W8" i="28"/>
  <c r="X8" i="28"/>
  <c r="Y8" i="28"/>
  <c r="B9" i="28"/>
  <c r="C9" i="28"/>
  <c r="D9" i="28"/>
  <c r="R9" i="28"/>
  <c r="T9" i="28"/>
  <c r="U9" i="28"/>
  <c r="V9" i="28"/>
  <c r="W9" i="28"/>
  <c r="X9" i="28"/>
  <c r="Y9" i="28"/>
  <c r="B10" i="28"/>
  <c r="C10" i="28"/>
  <c r="D10" i="28"/>
  <c r="T10" i="28"/>
  <c r="U10" i="28"/>
  <c r="V10" i="28"/>
  <c r="W10" i="28"/>
  <c r="X10" i="28"/>
  <c r="Y10" i="28"/>
  <c r="B11" i="28"/>
  <c r="C11" i="28"/>
  <c r="D11" i="28"/>
  <c r="A11" i="28"/>
  <c r="T11" i="28"/>
  <c r="U11" i="28"/>
  <c r="V11" i="28"/>
  <c r="W11" i="28"/>
  <c r="X11" i="28"/>
  <c r="Y11" i="28"/>
  <c r="B12" i="28"/>
  <c r="C12" i="28"/>
  <c r="D12" i="28"/>
  <c r="A12" i="28"/>
  <c r="T12" i="28"/>
  <c r="U12" i="28"/>
  <c r="V12" i="28"/>
  <c r="W12" i="28"/>
  <c r="X12" i="28"/>
  <c r="Y12" i="28"/>
  <c r="B13" i="28"/>
  <c r="C13" i="28"/>
  <c r="D13" i="28"/>
  <c r="R13" i="28"/>
  <c r="T13" i="28"/>
  <c r="U13" i="28"/>
  <c r="V13" i="28"/>
  <c r="W13" i="28"/>
  <c r="X13" i="28"/>
  <c r="Y13" i="28"/>
  <c r="B14" i="28"/>
  <c r="C14" i="28"/>
  <c r="D14" i="28"/>
  <c r="T14" i="28"/>
  <c r="U14" i="28"/>
  <c r="V14" i="28"/>
  <c r="W14" i="28"/>
  <c r="X14" i="28"/>
  <c r="Y14" i="28"/>
  <c r="B15" i="28"/>
  <c r="C15" i="28"/>
  <c r="D15" i="28"/>
  <c r="A15" i="28"/>
  <c r="T15" i="28"/>
  <c r="U15" i="28"/>
  <c r="V15" i="28"/>
  <c r="W15" i="28"/>
  <c r="X15" i="28"/>
  <c r="Y15" i="28"/>
  <c r="B16" i="28"/>
  <c r="C16" i="28"/>
  <c r="D16" i="28"/>
  <c r="A16" i="28"/>
  <c r="T16" i="28"/>
  <c r="U16" i="28"/>
  <c r="V16" i="28"/>
  <c r="W16" i="28"/>
  <c r="X16" i="28"/>
  <c r="Y16" i="28"/>
  <c r="B17" i="28"/>
  <c r="C17" i="28"/>
  <c r="D17" i="28"/>
  <c r="A17" i="28"/>
  <c r="T17" i="28"/>
  <c r="U17" i="28"/>
  <c r="V17" i="28"/>
  <c r="W17" i="28"/>
  <c r="X17" i="28"/>
  <c r="Y17" i="28"/>
  <c r="B18" i="28"/>
  <c r="C18" i="28"/>
  <c r="D18" i="28"/>
  <c r="T18" i="28"/>
  <c r="U18" i="28"/>
  <c r="V18" i="28"/>
  <c r="W18" i="28"/>
  <c r="X18" i="28"/>
  <c r="Y18" i="28"/>
  <c r="B19" i="28"/>
  <c r="C19" i="28"/>
  <c r="D19" i="28"/>
  <c r="A19" i="28"/>
  <c r="T19" i="28"/>
  <c r="U19" i="28"/>
  <c r="V19" i="28"/>
  <c r="W19" i="28"/>
  <c r="X19" i="28"/>
  <c r="Y19" i="28"/>
  <c r="B20" i="28"/>
  <c r="C20" i="28"/>
  <c r="D20" i="28"/>
  <c r="A20" i="28"/>
  <c r="T20" i="28"/>
  <c r="U20" i="28"/>
  <c r="V20" i="28"/>
  <c r="W20" i="28"/>
  <c r="X20" i="28"/>
  <c r="Y20" i="28"/>
  <c r="B21" i="28"/>
  <c r="C21" i="28"/>
  <c r="D21" i="28"/>
  <c r="A21" i="28"/>
  <c r="T21" i="28"/>
  <c r="U21" i="28"/>
  <c r="V21" i="28"/>
  <c r="W21" i="28"/>
  <c r="X21" i="28"/>
  <c r="Y21" i="28"/>
  <c r="B22" i="28"/>
  <c r="C22" i="28"/>
  <c r="D22" i="28"/>
  <c r="T22" i="28"/>
  <c r="U22" i="28"/>
  <c r="V22" i="28"/>
  <c r="W22" i="28"/>
  <c r="X22" i="28"/>
  <c r="Y22" i="28"/>
  <c r="H19" i="29"/>
  <c r="H20" i="29" s="1"/>
  <c r="I19" i="29"/>
  <c r="L20" i="29"/>
  <c r="L21" i="29"/>
  <c r="L22" i="29" s="1"/>
  <c r="L19" i="29"/>
  <c r="K19" i="29"/>
  <c r="K21" i="29" s="1"/>
  <c r="Y2" i="28"/>
  <c r="W2" i="28"/>
  <c r="U2" i="28"/>
  <c r="T2" i="28"/>
  <c r="I18" i="29"/>
  <c r="I17" i="29"/>
  <c r="I16" i="29"/>
  <c r="I15" i="29"/>
  <c r="I14" i="29"/>
  <c r="K18" i="29"/>
  <c r="N18" i="29" s="1"/>
  <c r="K17" i="29"/>
  <c r="J18" i="29"/>
  <c r="J17" i="29"/>
  <c r="K14" i="29"/>
  <c r="N14" i="29" s="1"/>
  <c r="K13" i="29"/>
  <c r="N13" i="29"/>
  <c r="Q13" i="29" s="1"/>
  <c r="I13" i="29"/>
  <c r="Y1" i="28"/>
  <c r="T1" i="28"/>
  <c r="U1" i="28"/>
  <c r="V1" i="28"/>
  <c r="X1" i="28"/>
  <c r="V2" i="28"/>
  <c r="X2" i="28"/>
  <c r="H1" i="29"/>
  <c r="C2" i="28"/>
  <c r="D2" i="28"/>
  <c r="B2" i="28"/>
  <c r="H21" i="29" l="1"/>
  <c r="N17" i="29"/>
  <c r="I20" i="29"/>
  <c r="N20" i="29" s="1"/>
  <c r="N19" i="29"/>
  <c r="N15" i="29"/>
  <c r="K20" i="29"/>
  <c r="K22" i="29" s="1"/>
  <c r="I21" i="29"/>
  <c r="R21" i="28"/>
  <c r="R17" i="28"/>
  <c r="A22" i="28"/>
  <c r="R20" i="28"/>
  <c r="A18" i="28"/>
  <c r="R16" i="28"/>
  <c r="A14" i="28"/>
  <c r="R12" i="28"/>
  <c r="A10" i="28"/>
  <c r="R8" i="28"/>
  <c r="A6" i="28"/>
  <c r="R4" i="28"/>
  <c r="R22" i="28"/>
  <c r="R19" i="28"/>
  <c r="R15" i="28"/>
  <c r="A13" i="28"/>
  <c r="R11" i="28"/>
  <c r="A9" i="28"/>
  <c r="R7" i="28"/>
  <c r="A5" i="28"/>
  <c r="R18" i="28"/>
  <c r="R14" i="28"/>
  <c r="R10" i="28"/>
  <c r="R6" i="28"/>
  <c r="R2" i="28"/>
  <c r="P2" i="28"/>
  <c r="H22" i="29" l="1"/>
  <c r="N21" i="29"/>
  <c r="I22" i="29"/>
  <c r="C7" i="15"/>
  <c r="N22" i="29" l="1"/>
  <c r="G8" i="6"/>
  <c r="A3" i="28" l="1"/>
  <c r="R3" i="28"/>
  <c r="C51" i="5"/>
  <c r="C55" i="5"/>
  <c r="C59" i="5"/>
  <c r="C63" i="5"/>
  <c r="C67" i="5"/>
  <c r="C71" i="5"/>
  <c r="C75" i="5"/>
  <c r="C79" i="5"/>
  <c r="C83" i="5"/>
  <c r="C87" i="5"/>
  <c r="C91" i="5"/>
  <c r="C107" i="5"/>
  <c r="C111" i="5"/>
  <c r="C115" i="5"/>
  <c r="C119" i="5"/>
  <c r="C123" i="5"/>
  <c r="M68" i="5"/>
  <c r="C68" i="5" s="1"/>
  <c r="M69" i="5"/>
  <c r="C69" i="5" s="1"/>
  <c r="M70" i="5"/>
  <c r="C70" i="5" s="1"/>
  <c r="M71" i="5"/>
  <c r="M72" i="5"/>
  <c r="C72" i="5" s="1"/>
  <c r="M73" i="5"/>
  <c r="C73" i="5" s="1"/>
  <c r="M74" i="5"/>
  <c r="C74" i="5" s="1"/>
  <c r="M75" i="5"/>
  <c r="M76" i="5"/>
  <c r="C76" i="5" s="1"/>
  <c r="M77" i="5"/>
  <c r="C77" i="5" s="1"/>
  <c r="M78" i="5"/>
  <c r="C78" i="5" s="1"/>
  <c r="M79" i="5"/>
  <c r="M80" i="5"/>
  <c r="C80" i="5" s="1"/>
  <c r="M81" i="5"/>
  <c r="C81" i="5" s="1"/>
  <c r="M82" i="5"/>
  <c r="C82" i="5" s="1"/>
  <c r="M83" i="5"/>
  <c r="M84" i="5"/>
  <c r="C84" i="5" s="1"/>
  <c r="M85" i="5"/>
  <c r="C85" i="5" s="1"/>
  <c r="M86" i="5"/>
  <c r="C86" i="5" s="1"/>
  <c r="M87" i="5"/>
  <c r="M88" i="5"/>
  <c r="C88" i="5" s="1"/>
  <c r="M89" i="5"/>
  <c r="C89" i="5" s="1"/>
  <c r="M90" i="5"/>
  <c r="C90" i="5" s="1"/>
  <c r="M91" i="5"/>
  <c r="M92" i="5"/>
  <c r="C92" i="5" s="1"/>
  <c r="M93" i="5"/>
  <c r="C93" i="5" s="1"/>
  <c r="M94" i="5"/>
  <c r="C94" i="5" s="1"/>
  <c r="M96" i="5"/>
  <c r="C96" i="5" s="1"/>
  <c r="M97" i="5"/>
  <c r="C97" i="5" s="1"/>
  <c r="M98" i="5"/>
  <c r="C98" i="5" s="1"/>
  <c r="M100" i="5"/>
  <c r="C100" i="5" s="1"/>
  <c r="M102" i="5"/>
  <c r="C102" i="5" s="1"/>
  <c r="M104" i="5"/>
  <c r="C104" i="5" s="1"/>
  <c r="M105" i="5"/>
  <c r="C105" i="5" s="1"/>
  <c r="M106" i="5"/>
  <c r="C106" i="5" s="1"/>
  <c r="M107" i="5"/>
  <c r="M108" i="5"/>
  <c r="C108" i="5" s="1"/>
  <c r="M110" i="5"/>
  <c r="C110" i="5" s="1"/>
  <c r="M111" i="5"/>
  <c r="M112" i="5"/>
  <c r="C112" i="5" s="1"/>
  <c r="M113" i="5"/>
  <c r="C113" i="5" s="1"/>
  <c r="M114" i="5"/>
  <c r="C114" i="5" s="1"/>
  <c r="M115" i="5"/>
  <c r="M116" i="5"/>
  <c r="C116" i="5" s="1"/>
  <c r="M117" i="5"/>
  <c r="C117" i="5" s="1"/>
  <c r="M118" i="5"/>
  <c r="C118" i="5" s="1"/>
  <c r="M119" i="5"/>
  <c r="M120" i="5"/>
  <c r="C120" i="5" s="1"/>
  <c r="M121" i="5"/>
  <c r="C121" i="5" s="1"/>
  <c r="M122" i="5"/>
  <c r="C122" i="5" s="1"/>
  <c r="M123" i="5"/>
  <c r="M50" i="5"/>
  <c r="C50" i="5" s="1"/>
  <c r="M51" i="5"/>
  <c r="M52" i="5"/>
  <c r="C52" i="5" s="1"/>
  <c r="M54" i="5"/>
  <c r="C54" i="5" s="1"/>
  <c r="M55" i="5"/>
  <c r="M56" i="5"/>
  <c r="C56" i="5" s="1"/>
  <c r="M57" i="5"/>
  <c r="C57" i="5" s="1"/>
  <c r="M58" i="5"/>
  <c r="C58" i="5" s="1"/>
  <c r="M59" i="5"/>
  <c r="M60" i="5"/>
  <c r="C60" i="5" s="1"/>
  <c r="M61" i="5"/>
  <c r="C61" i="5" s="1"/>
  <c r="M62" i="5"/>
  <c r="C62" i="5" s="1"/>
  <c r="M63" i="5"/>
  <c r="M64" i="5"/>
  <c r="C64" i="5" s="1"/>
  <c r="M65" i="5"/>
  <c r="C65" i="5" s="1"/>
  <c r="M66" i="5"/>
  <c r="C66" i="5" s="1"/>
  <c r="M67" i="5"/>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L2117" i="1" l="1"/>
  <c r="L1995" i="1"/>
  <c r="L1897" i="1"/>
  <c r="L1776" i="1"/>
  <c r="L1631" i="1"/>
  <c r="L1172" i="1"/>
  <c r="L955" i="1"/>
  <c r="L210" i="1"/>
  <c r="L17" i="1"/>
  <c r="L124" i="5" l="1"/>
  <c r="O124" i="5" l="1"/>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O103" i="5" l="1"/>
  <c r="M103" i="5"/>
  <c r="C103" i="5" s="1"/>
  <c r="O95" i="5"/>
  <c r="M95" i="5"/>
  <c r="C95" i="5" s="1"/>
  <c r="O109" i="5"/>
  <c r="M109" i="5"/>
  <c r="C109" i="5" s="1"/>
  <c r="O49" i="5"/>
  <c r="G113" i="5"/>
  <c r="G114" i="5" s="1"/>
  <c r="N101" i="5" l="1"/>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B10" i="6" l="1"/>
  <c r="AP20" i="1" l="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P2116" i="1"/>
  <c r="AQ2116" i="1"/>
  <c r="AR2116" i="1"/>
  <c r="AS2116" i="1"/>
  <c r="AT2116" i="1"/>
  <c r="AP2117" i="1"/>
  <c r="AQ2117" i="1"/>
  <c r="AR2117" i="1"/>
  <c r="AS2117" i="1"/>
  <c r="AT19" i="1"/>
  <c r="AS19" i="1"/>
  <c r="AR19" i="1"/>
  <c r="AQ19" i="1"/>
  <c r="AT2117" i="1" l="1"/>
  <c r="I210" i="1"/>
  <c r="I17" i="1"/>
  <c r="AR210" i="1" l="1"/>
  <c r="AS210" i="1"/>
  <c r="AP210" i="1"/>
  <c r="AQ210" i="1"/>
  <c r="AP1776" i="1"/>
  <c r="AQ1776" i="1"/>
  <c r="AR1776" i="1"/>
  <c r="AS1776" i="1"/>
  <c r="AQ1631" i="1"/>
  <c r="AS1631" i="1"/>
  <c r="AR1631" i="1"/>
  <c r="AP1631" i="1"/>
  <c r="AQ955" i="1"/>
  <c r="AR955" i="1"/>
  <c r="AP955" i="1"/>
  <c r="AS955" i="1"/>
  <c r="AS1897" i="1"/>
  <c r="AP1897" i="1"/>
  <c r="AQ1897" i="1"/>
  <c r="AR1897" i="1"/>
  <c r="AP1172" i="1"/>
  <c r="AS1172" i="1"/>
  <c r="AQ1172" i="1"/>
  <c r="AR1172" i="1"/>
  <c r="AQ1995" i="1"/>
  <c r="AR1995" i="1"/>
  <c r="AS1995" i="1"/>
  <c r="AP1995" i="1"/>
  <c r="AU15" i="1"/>
  <c r="B22" i="6" s="1"/>
  <c r="AP19" i="1"/>
  <c r="AT1897" i="1" l="1"/>
  <c r="AT1995" i="1"/>
  <c r="AT1631" i="1"/>
  <c r="AT955" i="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Z1814" i="1"/>
  <c r="K1814" i="1"/>
  <c r="J1814" i="1"/>
  <c r="A1814" i="1"/>
  <c r="AG1813" i="1"/>
  <c r="Z1813" i="1"/>
  <c r="K1813" i="1"/>
  <c r="J1813" i="1"/>
  <c r="A1813" i="1"/>
  <c r="AK1812" i="1"/>
  <c r="AG1812" i="1"/>
  <c r="Z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L2045" i="1"/>
  <c r="J2067" i="1" s="1"/>
  <c r="S2061" i="1"/>
  <c r="AC2061" i="1" s="1"/>
  <c r="AB2061" i="1" s="1"/>
  <c r="AA2061" i="1" s="1"/>
  <c r="S2080" i="1"/>
  <c r="AC2080" i="1" s="1"/>
  <c r="AB2080" i="1" s="1"/>
  <c r="AA2080" i="1" s="1"/>
  <c r="S2088" i="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S1789" i="1"/>
  <c r="AJ1789" i="1" s="1"/>
  <c r="AI1789" i="1" s="1"/>
  <c r="AH1789" i="1" s="1"/>
  <c r="V1798" i="1"/>
  <c r="W1798" i="1" s="1"/>
  <c r="AJ1798" i="1"/>
  <c r="AI1798" i="1" s="1"/>
  <c r="AH1798" i="1" s="1"/>
  <c r="S1826" i="1"/>
  <c r="S1829" i="1"/>
  <c r="AC1829" i="1" s="1"/>
  <c r="AB1829" i="1" s="1"/>
  <c r="AA1829" i="1" s="1"/>
  <c r="S1831" i="1"/>
  <c r="S1839" i="1"/>
  <c r="AJ1839" i="1" s="1"/>
  <c r="AI1839" i="1" s="1"/>
  <c r="AH1839" i="1" s="1"/>
  <c r="S2058" i="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S148" i="1"/>
  <c r="AC148" i="1" s="1"/>
  <c r="AB148" i="1" s="1"/>
  <c r="AA148" i="1" s="1"/>
  <c r="S156" i="1"/>
  <c r="AJ156" i="1" s="1"/>
  <c r="AI156" i="1" s="1"/>
  <c r="AH156" i="1" s="1"/>
  <c r="S159" i="1"/>
  <c r="AC159" i="1" s="1"/>
  <c r="AB159" i="1" s="1"/>
  <c r="S291" i="1"/>
  <c r="AJ291" i="1" s="1"/>
  <c r="AI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AC2004" i="1"/>
  <c r="AB2004" i="1" s="1"/>
  <c r="AA2004"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V159" i="1"/>
  <c r="W159" i="1" s="1"/>
  <c r="S163" i="1"/>
  <c r="Z164" i="1"/>
  <c r="S182" i="1"/>
  <c r="S187" i="1"/>
  <c r="S188" i="1"/>
  <c r="S190" i="1"/>
  <c r="S192" i="1"/>
  <c r="S194" i="1"/>
  <c r="S196" i="1"/>
  <c r="S198" i="1"/>
  <c r="S200" i="1"/>
  <c r="S202" i="1"/>
  <c r="S204" i="1"/>
  <c r="S206" i="1"/>
  <c r="L212" i="1"/>
  <c r="J234" i="1" s="1"/>
  <c r="S224" i="1"/>
  <c r="V238" i="1"/>
  <c r="W238" i="1" s="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I489" i="1"/>
  <c r="AH489"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V489" i="1"/>
  <c r="W489" i="1" s="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V682" i="1"/>
  <c r="W682" i="1" s="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AJ1236" i="1"/>
  <c r="AI1236" i="1" s="1"/>
  <c r="AH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552" i="1"/>
  <c r="W1552" i="1" s="1"/>
  <c r="AC1552" i="1"/>
  <c r="AB1552" i="1" s="1"/>
  <c r="AA1552" i="1" s="1"/>
  <c r="AJ1552" i="1"/>
  <c r="AI1552" i="1" s="1"/>
  <c r="AH1552" i="1" s="1"/>
  <c r="V1619" i="1"/>
  <c r="W1619" i="1" s="1"/>
  <c r="AC1619" i="1"/>
  <c r="AB1619" i="1" s="1"/>
  <c r="AA1619" i="1" s="1"/>
  <c r="AJ1619" i="1"/>
  <c r="AI1619" i="1" s="1"/>
  <c r="AH1619" i="1" s="1"/>
  <c r="AJ1652" i="1"/>
  <c r="AI1652" i="1" s="1"/>
  <c r="AH1652" i="1" s="1"/>
  <c r="V1652" i="1"/>
  <c r="W1652" i="1" s="1"/>
  <c r="AC1652" i="1"/>
  <c r="AB1652" i="1" s="1"/>
  <c r="AA1652" i="1" s="1"/>
  <c r="V1426" i="1"/>
  <c r="W1426" i="1" s="1"/>
  <c r="AJ1426" i="1"/>
  <c r="AI1426" i="1" s="1"/>
  <c r="AH1426"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V1761" i="1"/>
  <c r="W1761" i="1" s="1"/>
  <c r="AC1761" i="1"/>
  <c r="AB1761" i="1" s="1"/>
  <c r="AA1761" i="1" s="1"/>
  <c r="AJ1761" i="1"/>
  <c r="AI1761" i="1" s="1"/>
  <c r="AH1761" i="1" s="1"/>
  <c r="AI1812" i="1"/>
  <c r="AH1812"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AC1441" i="1"/>
  <c r="AB1441" i="1" s="1"/>
  <c r="AA1441" i="1" s="1"/>
  <c r="S1547" i="1"/>
  <c r="AC1586" i="1"/>
  <c r="AB1586" i="1" s="1"/>
  <c r="AA1586" i="1" s="1"/>
  <c r="J1630" i="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AJ1783" i="1"/>
  <c r="AI1783" i="1" s="1"/>
  <c r="AH1783" i="1" s="1"/>
  <c r="V1783" i="1"/>
  <c r="W1783" i="1" s="1"/>
  <c r="AC1826" i="1"/>
  <c r="AB1826" i="1" s="1"/>
  <c r="AJ1826" i="1"/>
  <c r="AI1826" i="1" s="1"/>
  <c r="V1826" i="1"/>
  <c r="W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J1660" i="1"/>
  <c r="AI1660" i="1" s="1"/>
  <c r="AH1660" i="1" s="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V1812" i="1"/>
  <c r="W1812" i="1" s="1"/>
  <c r="S1817" i="1"/>
  <c r="S1819" i="1"/>
  <c r="AJ1838" i="1"/>
  <c r="AI1838" i="1" s="1"/>
  <c r="AH1838" i="1" s="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V1731" i="1"/>
  <c r="W1731" i="1" s="1"/>
  <c r="S1734" i="1"/>
  <c r="S1740" i="1"/>
  <c r="S1742" i="1"/>
  <c r="S1747" i="1"/>
  <c r="AJ1782" i="1"/>
  <c r="AI1782" i="1" s="1"/>
  <c r="AH1782" i="1" s="1"/>
  <c r="S1802" i="1"/>
  <c r="S1803" i="1"/>
  <c r="S1811" i="1"/>
  <c r="S1706" i="1"/>
  <c r="S1707" i="1"/>
  <c r="S1716" i="1"/>
  <c r="S1722" i="1"/>
  <c r="AA1783"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V2011" i="1"/>
  <c r="W2011"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AJ2004" i="1"/>
  <c r="AI2004" i="1" s="1"/>
  <c r="AH2004" i="1" s="1"/>
  <c r="S2012" i="1"/>
  <c r="S2023" i="1"/>
  <c r="V2048" i="1"/>
  <c r="W2048" i="1" s="1"/>
  <c r="AH2048" i="1"/>
  <c r="V2053" i="1"/>
  <c r="W2053" i="1" s="1"/>
  <c r="V2080" i="1"/>
  <c r="W2080" i="1" s="1"/>
  <c r="S1997" i="1"/>
  <c r="S2000" i="1"/>
  <c r="S1999" i="1"/>
  <c r="S1998" i="1"/>
  <c r="S2001" i="1"/>
  <c r="S2003" i="1"/>
  <c r="S2005" i="1"/>
  <c r="S2007" i="1"/>
  <c r="S2009" i="1"/>
  <c r="AA2011"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J2088" i="1"/>
  <c r="AI2088" i="1" s="1"/>
  <c r="AH2088"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V2054" i="1"/>
  <c r="W2054" i="1" s="1"/>
  <c r="AC2054" i="1"/>
  <c r="AB2054" i="1" s="1"/>
  <c r="AA2054" i="1" s="1"/>
  <c r="AJ2058" i="1"/>
  <c r="AI2058" i="1" s="1"/>
  <c r="AH2058" i="1" s="1"/>
  <c r="AC2058" i="1"/>
  <c r="AB2058" i="1" s="1"/>
  <c r="AA2058" i="1" s="1"/>
  <c r="V2058" i="1"/>
  <c r="W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AA2064"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H291" i="1"/>
  <c r="AA309" i="1"/>
  <c r="AA344" i="1"/>
  <c r="AH358" i="1"/>
  <c r="AH439" i="1"/>
  <c r="AH478" i="1"/>
  <c r="AA483" i="1"/>
  <c r="V1448" i="1" l="1"/>
  <c r="W1448" i="1" s="1"/>
  <c r="AC489" i="1"/>
  <c r="AB489" i="1" s="1"/>
  <c r="AA489" i="1" s="1"/>
  <c r="AC481" i="1"/>
  <c r="AB481" i="1" s="1"/>
  <c r="AA481"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S1922" i="1" s="1"/>
  <c r="AA1921" i="1"/>
  <c r="AA1922" i="1" s="1"/>
  <c r="AR1922" i="1" s="1"/>
  <c r="AA160" i="1" l="1"/>
  <c r="AA161" i="1" s="1"/>
  <c r="AR161" i="1" s="1"/>
  <c r="AH1605" i="1"/>
  <c r="AH1606" i="1" s="1"/>
  <c r="AS1606" i="1" s="1"/>
  <c r="AH2066" i="1"/>
  <c r="AH2067" i="1" s="1"/>
  <c r="AS2067" i="1" s="1"/>
  <c r="AA2066" i="1"/>
  <c r="AA2067" i="1" s="1"/>
  <c r="AR2067" i="1" s="1"/>
  <c r="AH569" i="1"/>
  <c r="AH570" i="1" s="1"/>
  <c r="AS570" i="1" s="1"/>
  <c r="AH1459" i="1"/>
  <c r="AH1460" i="1" s="1"/>
  <c r="AS1460" i="1" s="1"/>
  <c r="AH1726" i="1"/>
  <c r="AH1727" i="1" s="1"/>
  <c r="AS1727" i="1" s="1"/>
  <c r="W1315" i="1"/>
  <c r="V1315" i="1" s="1"/>
  <c r="AA1726" i="1"/>
  <c r="AA1727" i="1" s="1"/>
  <c r="AR1727" i="1" s="1"/>
  <c r="W1726" i="1"/>
  <c r="AA1799" i="1"/>
  <c r="AA1800" i="1" s="1"/>
  <c r="AR1800" i="1" s="1"/>
  <c r="W1629" i="1"/>
  <c r="W1581" i="1"/>
  <c r="V1581" i="1" s="1"/>
  <c r="W1847" i="1"/>
  <c r="V1847" i="1" s="1"/>
  <c r="AH160" i="1"/>
  <c r="AH161" i="1" s="1"/>
  <c r="AS161" i="1" s="1"/>
  <c r="AA1945" i="1"/>
  <c r="AA1946" i="1" s="1"/>
  <c r="AR1946" i="1" s="1"/>
  <c r="W305" i="1"/>
  <c r="V305" i="1" s="1"/>
  <c r="AH473" i="1"/>
  <c r="AH474" i="1" s="1"/>
  <c r="AS474" i="1" s="1"/>
  <c r="AH497" i="1"/>
  <c r="AH498" i="1" s="1"/>
  <c r="AS498" i="1" s="1"/>
  <c r="W881" i="1"/>
  <c r="W882" i="1" s="1"/>
  <c r="AQ882" i="1" s="1"/>
  <c r="AA1629" i="1"/>
  <c r="AA1630" i="1" s="1"/>
  <c r="AR1630" i="1" s="1"/>
  <c r="AH1799" i="1"/>
  <c r="AH1800" i="1" s="1"/>
  <c r="AS1800" i="1" s="1"/>
  <c r="AH2042" i="1"/>
  <c r="AH2043" i="1" s="1"/>
  <c r="AS2043" i="1" s="1"/>
  <c r="AA1315" i="1"/>
  <c r="AA1316" i="1" s="1"/>
  <c r="AR1316" i="1" s="1"/>
  <c r="W2066" i="1"/>
  <c r="W2067" i="1" s="1"/>
  <c r="AQ2067" i="1" s="1"/>
  <c r="AH40" i="1"/>
  <c r="AH41" i="1" s="1"/>
  <c r="AS41" i="1" s="1"/>
  <c r="AA257" i="1"/>
  <c r="AA258" i="1" s="1"/>
  <c r="AR258" i="1" s="1"/>
  <c r="AH1315" i="1"/>
  <c r="AH1316" i="1" s="1"/>
  <c r="AS1316" i="1" s="1"/>
  <c r="W160" i="1"/>
  <c r="W809" i="1"/>
  <c r="V809" i="1" s="1"/>
  <c r="AH1483" i="1"/>
  <c r="AH1484" i="1" s="1"/>
  <c r="AS1484" i="1" s="1"/>
  <c r="W545" i="1"/>
  <c r="V545" i="1" s="1"/>
  <c r="AH329" i="1"/>
  <c r="AH330" i="1" s="1"/>
  <c r="AS330" i="1" s="1"/>
  <c r="AA761" i="1"/>
  <c r="AA762" i="1" s="1"/>
  <c r="AR762" i="1" s="1"/>
  <c r="AH377" i="1"/>
  <c r="AH378" i="1" s="1"/>
  <c r="AS378" i="1" s="1"/>
  <c r="AA1411" i="1"/>
  <c r="AA1412" i="1" s="1"/>
  <c r="AR1412" i="1" s="1"/>
  <c r="AH1629" i="1"/>
  <c r="AH1630" i="1" s="1"/>
  <c r="AS1630" i="1" s="1"/>
  <c r="W1799" i="1"/>
  <c r="W1800" i="1" s="1"/>
  <c r="AQ1800" i="1" s="1"/>
  <c r="AH1581" i="1"/>
  <c r="AH1582" i="1" s="1"/>
  <c r="AS1582" i="1" s="1"/>
  <c r="AA449" i="1"/>
  <c r="AA450" i="1" s="1"/>
  <c r="AR450" i="1" s="1"/>
  <c r="AA281" i="1"/>
  <c r="AA282" i="1" s="1"/>
  <c r="AR282" i="1" s="1"/>
  <c r="W425" i="1"/>
  <c r="W426" i="1" s="1"/>
  <c r="AQ426" i="1" s="1"/>
  <c r="W353" i="1"/>
  <c r="W354" i="1" s="1"/>
  <c r="AQ354" i="1" s="1"/>
  <c r="AA473" i="1"/>
  <c r="AA474" i="1" s="1"/>
  <c r="AR474" i="1" s="1"/>
  <c r="AH881" i="1"/>
  <c r="AH882" i="1" s="1"/>
  <c r="AS882" i="1" s="1"/>
  <c r="W1435" i="1"/>
  <c r="W1436" i="1" s="1"/>
  <c r="AQ1436" i="1" s="1"/>
  <c r="W1459" i="1"/>
  <c r="AH2018" i="1"/>
  <c r="AH2019" i="1" s="1"/>
  <c r="AS2019" i="1" s="1"/>
  <c r="W2090" i="1"/>
  <c r="W2091" i="1" s="1"/>
  <c r="AQ2091" i="1" s="1"/>
  <c r="AA1581" i="1"/>
  <c r="AA1582" i="1" s="1"/>
  <c r="AR1582" i="1" s="1"/>
  <c r="W1605" i="1"/>
  <c r="W1606" i="1" s="1"/>
  <c r="AQ1606" i="1" s="1"/>
  <c r="AH2090" i="1"/>
  <c r="AH2091" i="1" s="1"/>
  <c r="AS2091" i="1" s="1"/>
  <c r="AH281" i="1"/>
  <c r="AH282" i="1" s="1"/>
  <c r="AS282" i="1" s="1"/>
  <c r="AA689" i="1"/>
  <c r="AA690" i="1" s="1"/>
  <c r="AR690" i="1" s="1"/>
  <c r="W1945" i="1"/>
  <c r="W1946" i="1" s="1"/>
  <c r="AQ1946" i="1" s="1"/>
  <c r="AH257" i="1"/>
  <c r="AH258" i="1" s="1"/>
  <c r="AS258" i="1" s="1"/>
  <c r="AA329" i="1"/>
  <c r="AA330" i="1" s="1"/>
  <c r="AR330" i="1" s="1"/>
  <c r="AA305" i="1"/>
  <c r="AA306" i="1" s="1"/>
  <c r="AR306" i="1" s="1"/>
  <c r="AH1387" i="1"/>
  <c r="AH1388" i="1" s="1"/>
  <c r="AS1388" i="1" s="1"/>
  <c r="AA1459" i="1"/>
  <c r="AA1460" i="1" s="1"/>
  <c r="AR1460" i="1" s="1"/>
  <c r="AH1750" i="1"/>
  <c r="AH1751" i="1" s="1"/>
  <c r="AS1751" i="1" s="1"/>
  <c r="AA2090" i="1"/>
  <c r="AA2091" i="1" s="1"/>
  <c r="AR2091" i="1" s="1"/>
  <c r="AH449" i="1"/>
  <c r="AH450" i="1" s="1"/>
  <c r="AS450" i="1" s="1"/>
  <c r="AA569" i="1"/>
  <c r="AA570" i="1" s="1"/>
  <c r="AR570" i="1" s="1"/>
  <c r="V2090" i="1"/>
  <c r="V425" i="1"/>
  <c r="AH737" i="1"/>
  <c r="AH738" i="1" s="1"/>
  <c r="AS738" i="1" s="1"/>
  <c r="AH641" i="1"/>
  <c r="AH642" i="1" s="1"/>
  <c r="AS642" i="1" s="1"/>
  <c r="AH136" i="1"/>
  <c r="AH137" i="1" s="1"/>
  <c r="AS137" i="1" s="1"/>
  <c r="AH425" i="1"/>
  <c r="AH426" i="1" s="1"/>
  <c r="AS426" i="1" s="1"/>
  <c r="W1026" i="1"/>
  <c r="AA1098" i="1"/>
  <c r="AA1099" i="1" s="1"/>
  <c r="AR1099" i="1" s="1"/>
  <c r="W1483" i="1"/>
  <c r="AA1654" i="1"/>
  <c r="AA1655" i="1" s="1"/>
  <c r="AR1655" i="1" s="1"/>
  <c r="AH1678" i="1"/>
  <c r="AH1679" i="1" s="1"/>
  <c r="AS1679" i="1" s="1"/>
  <c r="AH1969" i="1"/>
  <c r="AH1970" i="1" s="1"/>
  <c r="AS1970" i="1" s="1"/>
  <c r="AA2042" i="1"/>
  <c r="AA2043" i="1" s="1"/>
  <c r="AR2043" i="1" s="1"/>
  <c r="AA136" i="1"/>
  <c r="AA137" i="1" s="1"/>
  <c r="AR137" i="1" s="1"/>
  <c r="AH401" i="1"/>
  <c r="AH402" i="1" s="1"/>
  <c r="AS402" i="1" s="1"/>
  <c r="AH521" i="1"/>
  <c r="AH522" i="1" s="1"/>
  <c r="AS522" i="1" s="1"/>
  <c r="W689" i="1"/>
  <c r="AH713" i="1"/>
  <c r="AH714" i="1" s="1"/>
  <c r="AS714" i="1" s="1"/>
  <c r="AH761" i="1"/>
  <c r="AH762" i="1" s="1"/>
  <c r="AS762" i="1" s="1"/>
  <c r="AH833" i="1"/>
  <c r="AH834" i="1" s="1"/>
  <c r="AS834" i="1" s="1"/>
  <c r="AH1219" i="1"/>
  <c r="AH1220" i="1" s="1"/>
  <c r="AS1220" i="1" s="1"/>
  <c r="W1363" i="1"/>
  <c r="W1774" i="1"/>
  <c r="AH1555" i="1"/>
  <c r="AH1556" i="1" s="1"/>
  <c r="AS1556" i="1" s="1"/>
  <c r="W40" i="1"/>
  <c r="W64" i="1"/>
  <c r="AH545" i="1"/>
  <c r="AH546" i="1" s="1"/>
  <c r="AS546" i="1" s="1"/>
  <c r="AH665" i="1"/>
  <c r="AH666" i="1" s="1"/>
  <c r="AS666" i="1" s="1"/>
  <c r="W281" i="1"/>
  <c r="W497" i="1"/>
  <c r="AH1170" i="1"/>
  <c r="AH1171" i="1" s="1"/>
  <c r="AS1171" i="1" s="1"/>
  <c r="AA905" i="1"/>
  <c r="AA906" i="1" s="1"/>
  <c r="AR906" i="1" s="1"/>
  <c r="AH929" i="1"/>
  <c r="AH930" i="1" s="1"/>
  <c r="AS930" i="1" s="1"/>
  <c r="AA857" i="1"/>
  <c r="AA858" i="1" s="1"/>
  <c r="AR858" i="1" s="1"/>
  <c r="AA953" i="1"/>
  <c r="AA954" i="1" s="1"/>
  <c r="AR954" i="1" s="1"/>
  <c r="W1507" i="1"/>
  <c r="W1339" i="1"/>
  <c r="W1702" i="1"/>
  <c r="AH112" i="1"/>
  <c r="AH113" i="1" s="1"/>
  <c r="AS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AS594" i="1" s="1"/>
  <c r="W785" i="1"/>
  <c r="AH978" i="1"/>
  <c r="AH979" i="1" s="1"/>
  <c r="AS979" i="1" s="1"/>
  <c r="AH1050" i="1"/>
  <c r="AH1051" i="1" s="1"/>
  <c r="AS1051" i="1" s="1"/>
  <c r="AA1146" i="1"/>
  <c r="AA1147" i="1" s="1"/>
  <c r="AR1147" i="1" s="1"/>
  <c r="W1267" i="1"/>
  <c r="W1243" i="1"/>
  <c r="W1531" i="1"/>
  <c r="W1387" i="1"/>
  <c r="W1555" i="1"/>
  <c r="AA1823" i="1"/>
  <c r="AA1824" i="1" s="1"/>
  <c r="AR1824" i="1" s="1"/>
  <c r="AH1993" i="1"/>
  <c r="AH1994" i="1" s="1"/>
  <c r="AS1994" i="1" s="1"/>
  <c r="AA1026" i="1"/>
  <c r="AA1027" i="1" s="1"/>
  <c r="AR1027" i="1" s="1"/>
  <c r="AH1098" i="1"/>
  <c r="AH1099" i="1" s="1"/>
  <c r="AS1099" i="1" s="1"/>
  <c r="AA881" i="1"/>
  <c r="AA882" i="1" s="1"/>
  <c r="AR882" i="1" s="1"/>
  <c r="W1074" i="1"/>
  <c r="AH1435" i="1"/>
  <c r="AH1436" i="1" s="1"/>
  <c r="AS1436" i="1" s="1"/>
  <c r="AA1774" i="1"/>
  <c r="AA1775" i="1" s="1"/>
  <c r="AR1775" i="1" s="1"/>
  <c r="AA1895" i="1"/>
  <c r="AA1896" i="1" s="1"/>
  <c r="AR1896" i="1" s="1"/>
  <c r="W136" i="1"/>
  <c r="W521" i="1"/>
  <c r="AA401" i="1"/>
  <c r="AA402" i="1" s="1"/>
  <c r="AR402" i="1" s="1"/>
  <c r="AA521" i="1"/>
  <c r="AA522" i="1" s="1"/>
  <c r="AR522" i="1" s="1"/>
  <c r="AH617" i="1"/>
  <c r="AH618" i="1" s="1"/>
  <c r="AS618" i="1" s="1"/>
  <c r="AH689" i="1"/>
  <c r="AH690" i="1" s="1"/>
  <c r="AS690" i="1" s="1"/>
  <c r="AA713" i="1"/>
  <c r="AA714" i="1" s="1"/>
  <c r="AR714" i="1" s="1"/>
  <c r="W833" i="1"/>
  <c r="W1122" i="1"/>
  <c r="AH1267" i="1"/>
  <c r="AH1268" i="1" s="1"/>
  <c r="AS1268" i="1" s="1"/>
  <c r="W1219" i="1"/>
  <c r="AA1363" i="1"/>
  <c r="AA1364" i="1" s="1"/>
  <c r="AR1364" i="1" s="1"/>
  <c r="AH1774" i="1"/>
  <c r="AH1775" i="1" s="1"/>
  <c r="AS1775" i="1" s="1"/>
  <c r="W1411" i="1"/>
  <c r="W1871" i="1"/>
  <c r="AA1605" i="1"/>
  <c r="AA1606" i="1" s="1"/>
  <c r="AR1606" i="1" s="1"/>
  <c r="W1750" i="1"/>
  <c r="AH1847" i="1"/>
  <c r="AH1848" i="1" s="1"/>
  <c r="AS1848" i="1" s="1"/>
  <c r="AH212" i="1"/>
  <c r="AH233" i="1" s="1"/>
  <c r="AH234" i="1" s="1"/>
  <c r="AS234" i="1" s="1"/>
  <c r="M2096" i="1"/>
  <c r="S2098" i="1" s="1"/>
  <c r="M2095" i="1"/>
  <c r="W257" i="1"/>
  <c r="W449" i="1"/>
  <c r="W665" i="1"/>
  <c r="W377" i="1"/>
  <c r="AH905" i="1"/>
  <c r="AH906" i="1" s="1"/>
  <c r="AS906" i="1" s="1"/>
  <c r="W929" i="1"/>
  <c r="W857" i="1"/>
  <c r="W953" i="1"/>
  <c r="W1195" i="1"/>
  <c r="AA1507" i="1"/>
  <c r="AA1508" i="1" s="1"/>
  <c r="AR1508" i="1" s="1"/>
  <c r="W1895" i="1"/>
  <c r="AH1339" i="1"/>
  <c r="AH1340" i="1" s="1"/>
  <c r="AS1340" i="1" s="1"/>
  <c r="AA1702" i="1"/>
  <c r="AA1703" i="1" s="1"/>
  <c r="AR1703" i="1" s="1"/>
  <c r="AH88" i="1"/>
  <c r="AH89" i="1" s="1"/>
  <c r="AS89" i="1" s="1"/>
  <c r="AA785" i="1"/>
  <c r="AA786" i="1" s="1"/>
  <c r="AR786" i="1" s="1"/>
  <c r="W978" i="1"/>
  <c r="W1002" i="1"/>
  <c r="AH1146" i="1"/>
  <c r="AH1147" i="1" s="1"/>
  <c r="AS1147" i="1" s="1"/>
  <c r="AA1267" i="1"/>
  <c r="AA1268" i="1" s="1"/>
  <c r="AR1268" i="1" s="1"/>
  <c r="AA1243" i="1"/>
  <c r="AA1244" i="1" s="1"/>
  <c r="AR1244" i="1" s="1"/>
  <c r="AA1678" i="1"/>
  <c r="AA1679" i="1" s="1"/>
  <c r="AR1679" i="1" s="1"/>
  <c r="W1291" i="1"/>
  <c r="AA1555" i="1"/>
  <c r="AA1556" i="1" s="1"/>
  <c r="AR1556" i="1" s="1"/>
  <c r="AH208" i="1"/>
  <c r="AH209" i="1" s="1"/>
  <c r="AS209" i="1" s="1"/>
  <c r="AH1945" i="1"/>
  <c r="AH1946" i="1" s="1"/>
  <c r="AS1946" i="1" s="1"/>
  <c r="W88" i="1"/>
  <c r="W208" i="1"/>
  <c r="AA593" i="1"/>
  <c r="AA594" i="1" s="1"/>
  <c r="AR594" i="1" s="1"/>
  <c r="AA809" i="1"/>
  <c r="AA810" i="1" s="1"/>
  <c r="AR810" i="1" s="1"/>
  <c r="AA353" i="1"/>
  <c r="AA354" i="1" s="1"/>
  <c r="AR354" i="1" s="1"/>
  <c r="W473" i="1"/>
  <c r="W737" i="1"/>
  <c r="AA641" i="1"/>
  <c r="AA642" i="1" s="1"/>
  <c r="AR642" i="1" s="1"/>
  <c r="AH1026" i="1"/>
  <c r="AH1027" i="1" s="1"/>
  <c r="AS1027" i="1" s="1"/>
  <c r="AA1074" i="1"/>
  <c r="AA1075" i="1" s="1"/>
  <c r="AR1075" i="1" s="1"/>
  <c r="AH1654" i="1"/>
  <c r="AH1655" i="1" s="1"/>
  <c r="AS1655" i="1" s="1"/>
  <c r="AA1969" i="1"/>
  <c r="AA1970" i="1" s="1"/>
  <c r="AR1970" i="1" s="1"/>
  <c r="AA2018" i="1"/>
  <c r="AA2019" i="1" s="1"/>
  <c r="AR2019" i="1" s="1"/>
  <c r="AA617" i="1"/>
  <c r="AA618" i="1" s="1"/>
  <c r="AR618" i="1" s="1"/>
  <c r="AA833" i="1"/>
  <c r="AA834" i="1" s="1"/>
  <c r="AR834" i="1" s="1"/>
  <c r="AA1122" i="1"/>
  <c r="AA1123" i="1" s="1"/>
  <c r="AR1123" i="1" s="1"/>
  <c r="AA1219" i="1"/>
  <c r="AA1220" i="1" s="1"/>
  <c r="AR1220" i="1" s="1"/>
  <c r="W1678" i="1"/>
  <c r="AH1411" i="1"/>
  <c r="AH1412" i="1" s="1"/>
  <c r="AS1412" i="1" s="1"/>
  <c r="AH1871" i="1"/>
  <c r="AH1872" i="1" s="1"/>
  <c r="AS1872" i="1" s="1"/>
  <c r="AA1847" i="1"/>
  <c r="AA1848" i="1" s="1"/>
  <c r="AR1848" i="1" s="1"/>
  <c r="W593" i="1"/>
  <c r="AA665" i="1"/>
  <c r="AA666" i="1" s="1"/>
  <c r="AR666" i="1" s="1"/>
  <c r="AA497" i="1"/>
  <c r="AA498" i="1" s="1"/>
  <c r="AR498" i="1" s="1"/>
  <c r="W1170" i="1"/>
  <c r="AA929" i="1"/>
  <c r="AA930" i="1" s="1"/>
  <c r="AR930" i="1" s="1"/>
  <c r="AA1195" i="1"/>
  <c r="AA1196" i="1" s="1"/>
  <c r="AR1196" i="1" s="1"/>
  <c r="AH1507" i="1"/>
  <c r="AH1508" i="1" s="1"/>
  <c r="AS1508" i="1" s="1"/>
  <c r="AA1339" i="1"/>
  <c r="AA1340" i="1" s="1"/>
  <c r="AR1340" i="1" s="1"/>
  <c r="AH1702" i="1"/>
  <c r="AH1703" i="1" s="1"/>
  <c r="AS1703" i="1" s="1"/>
  <c r="AA112" i="1"/>
  <c r="AA113" i="1" s="1"/>
  <c r="AR113" i="1" s="1"/>
  <c r="AH64" i="1"/>
  <c r="AH65" i="1" s="1"/>
  <c r="AS65" i="1" s="1"/>
  <c r="AA88" i="1"/>
  <c r="AA89" i="1" s="1"/>
  <c r="AR89" i="1" s="1"/>
  <c r="W329" i="1"/>
  <c r="AA425" i="1"/>
  <c r="AA426" i="1" s="1"/>
  <c r="AR426" i="1" s="1"/>
  <c r="AA978" i="1"/>
  <c r="AA979" i="1" s="1"/>
  <c r="AR979" i="1" s="1"/>
  <c r="W1050" i="1"/>
  <c r="AA1002" i="1"/>
  <c r="AA1003" i="1" s="1"/>
  <c r="AR1003" i="1" s="1"/>
  <c r="AH1243" i="1"/>
  <c r="AH1244" i="1" s="1"/>
  <c r="AS1244" i="1" s="1"/>
  <c r="AH1291" i="1"/>
  <c r="AH1292" i="1" s="1"/>
  <c r="AS1292" i="1" s="1"/>
  <c r="W1823" i="1"/>
  <c r="AA1993" i="1"/>
  <c r="AA1994" i="1" s="1"/>
  <c r="AR1994" i="1" s="1"/>
  <c r="AH353" i="1"/>
  <c r="AH354" i="1" s="1"/>
  <c r="AS354" i="1" s="1"/>
  <c r="AH809" i="1"/>
  <c r="AH810" i="1" s="1"/>
  <c r="AS810" i="1" s="1"/>
  <c r="AH305" i="1"/>
  <c r="AH306" i="1" s="1"/>
  <c r="AS306" i="1" s="1"/>
  <c r="AA737" i="1"/>
  <c r="AA738" i="1" s="1"/>
  <c r="AR738" i="1" s="1"/>
  <c r="W1098" i="1"/>
  <c r="AH1074" i="1"/>
  <c r="AH1075" i="1" s="1"/>
  <c r="AS1075" i="1" s="1"/>
  <c r="AA1483" i="1"/>
  <c r="AA1484" i="1" s="1"/>
  <c r="AR1484" i="1" s="1"/>
  <c r="AH1531" i="1"/>
  <c r="AH1532" i="1" s="1"/>
  <c r="AS1532" i="1" s="1"/>
  <c r="W1654" i="1"/>
  <c r="AA1435" i="1"/>
  <c r="AA1436" i="1" s="1"/>
  <c r="AR1436" i="1" s="1"/>
  <c r="W1969" i="1"/>
  <c r="W2042" i="1"/>
  <c r="W2018" i="1"/>
  <c r="W617" i="1"/>
  <c r="W713" i="1"/>
  <c r="W761" i="1"/>
  <c r="AH1122" i="1"/>
  <c r="AH1123" i="1" s="1"/>
  <c r="AS1123" i="1" s="1"/>
  <c r="AH1363" i="1"/>
  <c r="AH1364" i="1" s="1"/>
  <c r="AS1364" i="1" s="1"/>
  <c r="AA1871" i="1"/>
  <c r="AA1872" i="1" s="1"/>
  <c r="AR1872" i="1" s="1"/>
  <c r="AA1750" i="1"/>
  <c r="AA1751" i="1" s="1"/>
  <c r="AR1751" i="1" s="1"/>
  <c r="AA40" i="1"/>
  <c r="AA41" i="1" s="1"/>
  <c r="AR41" i="1" s="1"/>
  <c r="W233" i="1"/>
  <c r="W569" i="1"/>
  <c r="AA377" i="1"/>
  <c r="AA378" i="1" s="1"/>
  <c r="AR378" i="1" s="1"/>
  <c r="AA1170" i="1"/>
  <c r="AA1171" i="1" s="1"/>
  <c r="AR1171" i="1" s="1"/>
  <c r="W905" i="1"/>
  <c r="AH857" i="1"/>
  <c r="AH858" i="1" s="1"/>
  <c r="AS858" i="1" s="1"/>
  <c r="AH953" i="1"/>
  <c r="AH954" i="1" s="1"/>
  <c r="AS954" i="1" s="1"/>
  <c r="AH1195" i="1"/>
  <c r="AH1196" i="1" s="1"/>
  <c r="AS1196" i="1" s="1"/>
  <c r="W112" i="1"/>
  <c r="W184" i="1"/>
  <c r="W641" i="1"/>
  <c r="AH785" i="1"/>
  <c r="AH786" i="1" s="1"/>
  <c r="AS786" i="1" s="1"/>
  <c r="AA1050" i="1"/>
  <c r="AA1051" i="1" s="1"/>
  <c r="AR1051" i="1" s="1"/>
  <c r="AH1002" i="1"/>
  <c r="AH1003" i="1" s="1"/>
  <c r="AS1003" i="1" s="1"/>
  <c r="W1146" i="1"/>
  <c r="AA1531" i="1"/>
  <c r="AA1532" i="1" s="1"/>
  <c r="AR1532" i="1" s="1"/>
  <c r="AA1387" i="1"/>
  <c r="AA1388" i="1" s="1"/>
  <c r="AR1388" i="1" s="1"/>
  <c r="AH1895" i="1"/>
  <c r="AH1896" i="1" s="1"/>
  <c r="AS1896" i="1" s="1"/>
  <c r="AA1291" i="1"/>
  <c r="AA1292" i="1" s="1"/>
  <c r="AR1292" i="1" s="1"/>
  <c r="AH1823" i="1"/>
  <c r="AH1824" i="1" s="1"/>
  <c r="AS1824" i="1" s="1"/>
  <c r="W1993" i="1"/>
  <c r="V1921" i="1"/>
  <c r="P1921" i="1" s="1"/>
  <c r="W1922" i="1"/>
  <c r="AQ1922" i="1" s="1"/>
  <c r="AR15" i="1" l="1"/>
  <c r="B18" i="6" s="1"/>
  <c r="AS15" i="1"/>
  <c r="B19" i="6" s="1"/>
  <c r="W1316" i="1"/>
  <c r="AQ1316" i="1" s="1"/>
  <c r="P1315" i="1"/>
  <c r="P1316" i="1" s="1"/>
  <c r="AP1316" i="1" s="1"/>
  <c r="AT1316" i="1" s="1"/>
  <c r="W546" i="1"/>
  <c r="AQ546" i="1" s="1"/>
  <c r="V881" i="1"/>
  <c r="P881" i="1" s="1"/>
  <c r="V1435" i="1"/>
  <c r="P1435" i="1" s="1"/>
  <c r="W1848" i="1"/>
  <c r="AQ1848" i="1" s="1"/>
  <c r="W810" i="1"/>
  <c r="AQ810" i="1" s="1"/>
  <c r="W1582" i="1"/>
  <c r="AQ1582" i="1" s="1"/>
  <c r="V1945" i="1"/>
  <c r="P1945" i="1" s="1"/>
  <c r="AM1945" i="1" s="1"/>
  <c r="W306" i="1"/>
  <c r="AQ306" i="1" s="1"/>
  <c r="V1605" i="1"/>
  <c r="P1605" i="1" s="1"/>
  <c r="V353" i="1"/>
  <c r="P353" i="1" s="1"/>
  <c r="W1630" i="1"/>
  <c r="AQ1630" i="1" s="1"/>
  <c r="V1629" i="1"/>
  <c r="P1629" i="1" s="1"/>
  <c r="V2066" i="1"/>
  <c r="P2066" i="1" s="1"/>
  <c r="P2067" i="1" s="1"/>
  <c r="AP2067" i="1" s="1"/>
  <c r="AT2067" i="1" s="1"/>
  <c r="V1726" i="1"/>
  <c r="P1726" i="1" s="1"/>
  <c r="P1727" i="1" s="1"/>
  <c r="AP1727" i="1" s="1"/>
  <c r="AT1727" i="1" s="1"/>
  <c r="W1727" i="1"/>
  <c r="AQ1727" i="1" s="1"/>
  <c r="V1799" i="1"/>
  <c r="P1799" i="1" s="1"/>
  <c r="P1800" i="1" s="1"/>
  <c r="AP1800" i="1" s="1"/>
  <c r="AT1800" i="1" s="1"/>
  <c r="P1581" i="1"/>
  <c r="P1582" i="1" s="1"/>
  <c r="AP1582" i="1" s="1"/>
  <c r="W161" i="1"/>
  <c r="AQ161" i="1" s="1"/>
  <c r="V160" i="1"/>
  <c r="P160" i="1" s="1"/>
  <c r="P2090" i="1"/>
  <c r="P2091" i="1" s="1"/>
  <c r="AP2091" i="1" s="1"/>
  <c r="AT2091" i="1" s="1"/>
  <c r="W1460" i="1"/>
  <c r="AQ1460" i="1" s="1"/>
  <c r="V1459" i="1"/>
  <c r="P1459" i="1" s="1"/>
  <c r="V1993" i="1"/>
  <c r="P1993" i="1" s="1"/>
  <c r="W1994" i="1"/>
  <c r="AQ1994" i="1" s="1"/>
  <c r="W185" i="1"/>
  <c r="AQ185" i="1" s="1"/>
  <c r="V184" i="1"/>
  <c r="P184" i="1" s="1"/>
  <c r="V569" i="1"/>
  <c r="P569" i="1" s="1"/>
  <c r="W570" i="1"/>
  <c r="AQ570" i="1" s="1"/>
  <c r="V1969" i="1"/>
  <c r="P1969" i="1" s="1"/>
  <c r="W1970" i="1"/>
  <c r="AQ1970" i="1" s="1"/>
  <c r="W1824" i="1"/>
  <c r="AQ1824" i="1" s="1"/>
  <c r="V1823" i="1"/>
  <c r="P1823" i="1" s="1"/>
  <c r="W1171" i="1"/>
  <c r="AQ1171" i="1" s="1"/>
  <c r="V1170" i="1"/>
  <c r="P1170" i="1" s="1"/>
  <c r="W738" i="1"/>
  <c r="AQ738" i="1" s="1"/>
  <c r="V737" i="1"/>
  <c r="P737" i="1" s="1"/>
  <c r="V1291" i="1"/>
  <c r="P1291" i="1" s="1"/>
  <c r="W1292" i="1"/>
  <c r="AQ1292" i="1" s="1"/>
  <c r="W930" i="1"/>
  <c r="AQ930" i="1" s="1"/>
  <c r="V929" i="1"/>
  <c r="P929" i="1" s="1"/>
  <c r="W1872" i="1"/>
  <c r="AQ1872" i="1" s="1"/>
  <c r="V1871" i="1"/>
  <c r="P1871" i="1" s="1"/>
  <c r="W1775" i="1"/>
  <c r="AQ1775" i="1" s="1"/>
  <c r="V1774" i="1"/>
  <c r="P1774" i="1" s="1"/>
  <c r="W1484" i="1"/>
  <c r="AQ1484" i="1" s="1"/>
  <c r="V1483" i="1"/>
  <c r="P1483" i="1" s="1"/>
  <c r="V112" i="1"/>
  <c r="W113" i="1"/>
  <c r="AQ113" i="1" s="1"/>
  <c r="AT113" i="1" s="1"/>
  <c r="W209" i="1"/>
  <c r="AQ209" i="1" s="1"/>
  <c r="V208" i="1"/>
  <c r="P208" i="1" s="1"/>
  <c r="W1003" i="1"/>
  <c r="AQ1003" i="1" s="1"/>
  <c r="V1002" i="1"/>
  <c r="P1002" i="1" s="1"/>
  <c r="V257" i="1"/>
  <c r="P257" i="1" s="1"/>
  <c r="W258" i="1"/>
  <c r="AQ258" i="1" s="1"/>
  <c r="V1411" i="1"/>
  <c r="P1411" i="1" s="1"/>
  <c r="W1412" i="1"/>
  <c r="AQ1412" i="1" s="1"/>
  <c r="W1556" i="1"/>
  <c r="AQ1556" i="1" s="1"/>
  <c r="V1555" i="1"/>
  <c r="P1555" i="1" s="1"/>
  <c r="W786" i="1"/>
  <c r="AQ786" i="1" s="1"/>
  <c r="V785" i="1"/>
  <c r="P785" i="1" s="1"/>
  <c r="W1508" i="1"/>
  <c r="AQ1508" i="1" s="1"/>
  <c r="V1507" i="1"/>
  <c r="P1507" i="1" s="1"/>
  <c r="P809" i="1"/>
  <c r="W1147" i="1"/>
  <c r="AQ1147" i="1" s="1"/>
  <c r="V1146" i="1"/>
  <c r="P1146" i="1" s="1"/>
  <c r="V641" i="1"/>
  <c r="P641" i="1" s="1"/>
  <c r="W642" i="1"/>
  <c r="AQ642" i="1" s="1"/>
  <c r="W2019" i="1"/>
  <c r="AQ2019" i="1" s="1"/>
  <c r="V2018" i="1"/>
  <c r="P2018" i="1" s="1"/>
  <c r="P2019" i="1" s="1"/>
  <c r="AP2019" i="1" s="1"/>
  <c r="AT2019" i="1" s="1"/>
  <c r="W1655" i="1"/>
  <c r="AQ1655" i="1" s="1"/>
  <c r="AT1655" i="1" s="1"/>
  <c r="V1654" i="1"/>
  <c r="W1099" i="1"/>
  <c r="AQ1099" i="1" s="1"/>
  <c r="V1098" i="1"/>
  <c r="P1098" i="1" s="1"/>
  <c r="W89" i="1"/>
  <c r="AQ89" i="1" s="1"/>
  <c r="AT89" i="1" s="1"/>
  <c r="V88" i="1"/>
  <c r="W979" i="1"/>
  <c r="AQ979" i="1" s="1"/>
  <c r="V978" i="1"/>
  <c r="P978" i="1" s="1"/>
  <c r="V953" i="1"/>
  <c r="P953" i="1" s="1"/>
  <c r="W954" i="1"/>
  <c r="AQ954" i="1" s="1"/>
  <c r="W378" i="1"/>
  <c r="AQ378" i="1" s="1"/>
  <c r="V377" i="1"/>
  <c r="P377" i="1" s="1"/>
  <c r="J2118" i="1"/>
  <c r="S2100" i="1"/>
  <c r="V1750" i="1"/>
  <c r="P1750" i="1" s="1"/>
  <c r="W1751" i="1"/>
  <c r="AQ1751" i="1" s="1"/>
  <c r="W1123" i="1"/>
  <c r="AQ1123" i="1" s="1"/>
  <c r="V1122" i="1"/>
  <c r="P1122" i="1" s="1"/>
  <c r="W137" i="1"/>
  <c r="AQ137" i="1" s="1"/>
  <c r="AT137" i="1" s="1"/>
  <c r="V136" i="1"/>
  <c r="W1075" i="1"/>
  <c r="AQ1075" i="1" s="1"/>
  <c r="V1074" i="1"/>
  <c r="P1074" i="1" s="1"/>
  <c r="V1387" i="1"/>
  <c r="P1387" i="1" s="1"/>
  <c r="W1388" i="1"/>
  <c r="AQ1388" i="1" s="1"/>
  <c r="V689" i="1"/>
  <c r="P689" i="1" s="1"/>
  <c r="W690" i="1"/>
  <c r="AQ690" i="1" s="1"/>
  <c r="W1027" i="1"/>
  <c r="AQ1027" i="1" s="1"/>
  <c r="V1026" i="1"/>
  <c r="P1026" i="1" s="1"/>
  <c r="P425" i="1"/>
  <c r="K426" i="1" s="1"/>
  <c r="P545" i="1"/>
  <c r="V713" i="1"/>
  <c r="P713" i="1" s="1"/>
  <c r="W714" i="1"/>
  <c r="AQ714" i="1" s="1"/>
  <c r="W1051" i="1"/>
  <c r="AQ1051" i="1" s="1"/>
  <c r="V1050" i="1"/>
  <c r="P1050" i="1" s="1"/>
  <c r="V449" i="1"/>
  <c r="P449" i="1" s="1"/>
  <c r="W450" i="1"/>
  <c r="AQ450" i="1" s="1"/>
  <c r="V1219" i="1"/>
  <c r="P1219" i="1" s="1"/>
  <c r="W1220" i="1"/>
  <c r="AQ1220" i="1" s="1"/>
  <c r="W1244" i="1"/>
  <c r="AQ1244" i="1" s="1"/>
  <c r="V1243" i="1"/>
  <c r="P1243" i="1" s="1"/>
  <c r="V1339" i="1"/>
  <c r="P1339" i="1" s="1"/>
  <c r="W1340" i="1"/>
  <c r="AQ1340" i="1" s="1"/>
  <c r="W282" i="1"/>
  <c r="AQ282" i="1" s="1"/>
  <c r="V281" i="1"/>
  <c r="P281" i="1" s="1"/>
  <c r="W41" i="1"/>
  <c r="AQ41" i="1" s="1"/>
  <c r="AT41" i="1" s="1"/>
  <c r="V40" i="1"/>
  <c r="V905" i="1"/>
  <c r="P905" i="1" s="1"/>
  <c r="W906" i="1"/>
  <c r="AQ906" i="1" s="1"/>
  <c r="W234" i="1"/>
  <c r="AQ234" i="1" s="1"/>
  <c r="V233" i="1"/>
  <c r="P233" i="1" s="1"/>
  <c r="V617" i="1"/>
  <c r="P617" i="1" s="1"/>
  <c r="W618" i="1"/>
  <c r="AQ618" i="1" s="1"/>
  <c r="V473" i="1"/>
  <c r="P473" i="1" s="1"/>
  <c r="W474" i="1"/>
  <c r="AQ474" i="1" s="1"/>
  <c r="W1196" i="1"/>
  <c r="AQ1196" i="1" s="1"/>
  <c r="V1195" i="1"/>
  <c r="P1195" i="1" s="1"/>
  <c r="V521" i="1"/>
  <c r="P521" i="1" s="1"/>
  <c r="W522" i="1"/>
  <c r="AQ522" i="1" s="1"/>
  <c r="V1267" i="1"/>
  <c r="P1267" i="1" s="1"/>
  <c r="W1268" i="1"/>
  <c r="AQ1268" i="1" s="1"/>
  <c r="W1364" i="1"/>
  <c r="AQ1364" i="1" s="1"/>
  <c r="V1363" i="1"/>
  <c r="P1363" i="1" s="1"/>
  <c r="V761" i="1"/>
  <c r="P761" i="1" s="1"/>
  <c r="W762" i="1"/>
  <c r="AQ762" i="1" s="1"/>
  <c r="V2042" i="1"/>
  <c r="P2042" i="1" s="1"/>
  <c r="W2043" i="1"/>
  <c r="AQ2043" i="1" s="1"/>
  <c r="W330" i="1"/>
  <c r="AQ330" i="1" s="1"/>
  <c r="V329" i="1"/>
  <c r="P329" i="1" s="1"/>
  <c r="V593" i="1"/>
  <c r="P593" i="1" s="1"/>
  <c r="W594" i="1"/>
  <c r="AQ594" i="1" s="1"/>
  <c r="V1678" i="1"/>
  <c r="W1679" i="1"/>
  <c r="AQ1679" i="1" s="1"/>
  <c r="AT1679" i="1" s="1"/>
  <c r="V1895" i="1"/>
  <c r="P1895" i="1" s="1"/>
  <c r="W1896" i="1"/>
  <c r="AQ1896" i="1" s="1"/>
  <c r="V857" i="1"/>
  <c r="P857" i="1" s="1"/>
  <c r="W858" i="1"/>
  <c r="AQ858" i="1" s="1"/>
  <c r="W666" i="1"/>
  <c r="AQ666" i="1" s="1"/>
  <c r="V665" i="1"/>
  <c r="P665" i="1" s="1"/>
  <c r="AJ2098" i="1"/>
  <c r="AI2098" i="1" s="1"/>
  <c r="AH2098" i="1" s="1"/>
  <c r="AC2098" i="1"/>
  <c r="AB2098" i="1" s="1"/>
  <c r="AA2098" i="1" s="1"/>
  <c r="V2098" i="1"/>
  <c r="W2098" i="1" s="1"/>
  <c r="W834" i="1"/>
  <c r="AQ834" i="1" s="1"/>
  <c r="V833" i="1"/>
  <c r="P833" i="1" s="1"/>
  <c r="V1531" i="1"/>
  <c r="P1531" i="1" s="1"/>
  <c r="W1532" i="1"/>
  <c r="AQ1532" i="1" s="1"/>
  <c r="V401" i="1"/>
  <c r="P401" i="1" s="1"/>
  <c r="W402" i="1"/>
  <c r="AQ402" i="1" s="1"/>
  <c r="W1703" i="1"/>
  <c r="AQ1703" i="1" s="1"/>
  <c r="AT1703" i="1" s="1"/>
  <c r="V1702" i="1"/>
  <c r="W498" i="1"/>
  <c r="AQ498" i="1" s="1"/>
  <c r="V497" i="1"/>
  <c r="P497" i="1" s="1"/>
  <c r="V64" i="1"/>
  <c r="W65" i="1"/>
  <c r="AQ65" i="1" s="1"/>
  <c r="AT65" i="1" s="1"/>
  <c r="P1847" i="1"/>
  <c r="P305" i="1"/>
  <c r="P1922" i="1"/>
  <c r="AP1922" i="1" s="1"/>
  <c r="AT1922" i="1" s="1"/>
  <c r="AM1921" i="1"/>
  <c r="K1922" i="1"/>
  <c r="AN1922" i="1" s="1"/>
  <c r="K1946" i="1" l="1"/>
  <c r="AN1946" i="1" s="1"/>
  <c r="AM2066" i="1"/>
  <c r="K1727" i="1"/>
  <c r="AN1727" i="1" s="1"/>
  <c r="AT1582" i="1"/>
  <c r="AM1315" i="1"/>
  <c r="AQ15" i="1"/>
  <c r="E8" i="6" s="1"/>
  <c r="P1946" i="1"/>
  <c r="AP1946" i="1" s="1"/>
  <c r="AT1946" i="1" s="1"/>
  <c r="K1316" i="1"/>
  <c r="AN1316" i="1" s="1"/>
  <c r="P882" i="1"/>
  <c r="AP882" i="1" s="1"/>
  <c r="AT882" i="1" s="1"/>
  <c r="AM881" i="1"/>
  <c r="AM2090" i="1"/>
  <c r="K2067" i="1"/>
  <c r="AN2067" i="1" s="1"/>
  <c r="AM1726" i="1"/>
  <c r="K2091" i="1"/>
  <c r="AN2091" i="1" s="1"/>
  <c r="K882" i="1"/>
  <c r="AN882" i="1" s="1"/>
  <c r="K161" i="1"/>
  <c r="AN161" i="1" s="1"/>
  <c r="P161" i="1"/>
  <c r="AP161" i="1" s="1"/>
  <c r="AT161" i="1" s="1"/>
  <c r="AM160" i="1"/>
  <c r="AM1581" i="1"/>
  <c r="K1582" i="1"/>
  <c r="AN1582" i="1" s="1"/>
  <c r="P1460" i="1"/>
  <c r="AP1460" i="1" s="1"/>
  <c r="AT1460" i="1" s="1"/>
  <c r="AM1459" i="1"/>
  <c r="K1460" i="1"/>
  <c r="AN1460" i="1" s="1"/>
  <c r="AM1799" i="1"/>
  <c r="K1800" i="1"/>
  <c r="AN1800" i="1" s="1"/>
  <c r="K1630" i="1"/>
  <c r="AN1630" i="1" s="1"/>
  <c r="AM1629" i="1"/>
  <c r="P1630" i="1"/>
  <c r="AP1630" i="1" s="1"/>
  <c r="AT1630" i="1" s="1"/>
  <c r="K1896" i="1"/>
  <c r="AN1896" i="1" s="1"/>
  <c r="P1896" i="1"/>
  <c r="AP1896" i="1" s="1"/>
  <c r="AT1896" i="1" s="1"/>
  <c r="AM1895" i="1"/>
  <c r="AM593" i="1"/>
  <c r="P594" i="1"/>
  <c r="AP594" i="1" s="1"/>
  <c r="AT594" i="1" s="1"/>
  <c r="K594" i="1"/>
  <c r="AN594" i="1" s="1"/>
  <c r="P2043" i="1"/>
  <c r="AP2043" i="1" s="1"/>
  <c r="AT2043" i="1" s="1"/>
  <c r="AM2042" i="1"/>
  <c r="K2043" i="1"/>
  <c r="AN2043" i="1" s="1"/>
  <c r="K522" i="1"/>
  <c r="AN522" i="1" s="1"/>
  <c r="AM521" i="1"/>
  <c r="P522" i="1"/>
  <c r="AP522" i="1" s="1"/>
  <c r="AT522" i="1" s="1"/>
  <c r="AM473" i="1"/>
  <c r="K474" i="1"/>
  <c r="AN474" i="1" s="1"/>
  <c r="P474" i="1"/>
  <c r="AP474" i="1" s="1"/>
  <c r="AT474" i="1" s="1"/>
  <c r="AM449" i="1"/>
  <c r="P450" i="1"/>
  <c r="AP450" i="1" s="1"/>
  <c r="AT450" i="1" s="1"/>
  <c r="K450" i="1"/>
  <c r="AN450" i="1" s="1"/>
  <c r="P714" i="1"/>
  <c r="AP714" i="1" s="1"/>
  <c r="AT714" i="1" s="1"/>
  <c r="AM713" i="1"/>
  <c r="K714" i="1"/>
  <c r="AN714" i="1" s="1"/>
  <c r="P426" i="1"/>
  <c r="AP426" i="1" s="1"/>
  <c r="AT426" i="1" s="1"/>
  <c r="AN426" i="1"/>
  <c r="AM425" i="1"/>
  <c r="AM953" i="1"/>
  <c r="K954" i="1"/>
  <c r="AN954" i="1" s="1"/>
  <c r="P954" i="1"/>
  <c r="AP954" i="1" s="1"/>
  <c r="AT954" i="1" s="1"/>
  <c r="K1484" i="1"/>
  <c r="AN1484" i="1" s="1"/>
  <c r="P1484" i="1"/>
  <c r="AP1484" i="1" s="1"/>
  <c r="AT1484" i="1" s="1"/>
  <c r="AM1483" i="1"/>
  <c r="AM1170" i="1"/>
  <c r="K1171" i="1"/>
  <c r="AN1171" i="1" s="1"/>
  <c r="P1171" i="1"/>
  <c r="AP1171" i="1" s="1"/>
  <c r="AT1171" i="1" s="1"/>
  <c r="K330" i="1"/>
  <c r="AN330" i="1" s="1"/>
  <c r="AM329" i="1"/>
  <c r="P330" i="1"/>
  <c r="AP330" i="1" s="1"/>
  <c r="AT330" i="1" s="1"/>
  <c r="P1051" i="1"/>
  <c r="AP1051" i="1" s="1"/>
  <c r="AT1051" i="1" s="1"/>
  <c r="AM1050" i="1"/>
  <c r="K1051" i="1"/>
  <c r="AN1051" i="1" s="1"/>
  <c r="P354" i="1"/>
  <c r="AP354" i="1" s="1"/>
  <c r="AT354" i="1" s="1"/>
  <c r="AM353" i="1"/>
  <c r="K354" i="1"/>
  <c r="AN354" i="1" s="1"/>
  <c r="K1027" i="1"/>
  <c r="AN1027" i="1" s="1"/>
  <c r="AM1026" i="1"/>
  <c r="P1027" i="1"/>
  <c r="AP1027" i="1" s="1"/>
  <c r="AT1027" i="1" s="1"/>
  <c r="P690" i="1"/>
  <c r="AP690" i="1" s="1"/>
  <c r="AT690" i="1" s="1"/>
  <c r="AM689" i="1"/>
  <c r="K690" i="1"/>
  <c r="AN690" i="1" s="1"/>
  <c r="AM377" i="1"/>
  <c r="K378" i="1"/>
  <c r="AN378" i="1" s="1"/>
  <c r="P378" i="1"/>
  <c r="AP378" i="1" s="1"/>
  <c r="AT378" i="1" s="1"/>
  <c r="AM978" i="1"/>
  <c r="P979" i="1"/>
  <c r="AP979" i="1" s="1"/>
  <c r="AT979" i="1" s="1"/>
  <c r="K979" i="1"/>
  <c r="AN979" i="1" s="1"/>
  <c r="K1099" i="1"/>
  <c r="AN1099" i="1" s="1"/>
  <c r="AM1098" i="1"/>
  <c r="P1099" i="1"/>
  <c r="AP1099" i="1" s="1"/>
  <c r="AT1099" i="1" s="1"/>
  <c r="AM2018" i="1"/>
  <c r="K2019" i="1"/>
  <c r="AN2019" i="1" s="1"/>
  <c r="P1147" i="1"/>
  <c r="AP1147" i="1" s="1"/>
  <c r="AT1147" i="1" s="1"/>
  <c r="K1147" i="1"/>
  <c r="AN1147" i="1" s="1"/>
  <c r="AM1146" i="1"/>
  <c r="P1508" i="1"/>
  <c r="AP1508" i="1" s="1"/>
  <c r="AT1508" i="1" s="1"/>
  <c r="K1508" i="1"/>
  <c r="AN1508" i="1" s="1"/>
  <c r="AM1507" i="1"/>
  <c r="AM1555" i="1"/>
  <c r="P1556" i="1"/>
  <c r="AP1556" i="1" s="1"/>
  <c r="AT1556" i="1" s="1"/>
  <c r="K1556" i="1"/>
  <c r="AN1556" i="1" s="1"/>
  <c r="K209" i="1"/>
  <c r="AN209" i="1" s="1"/>
  <c r="AM208" i="1"/>
  <c r="P209" i="1"/>
  <c r="AP209" i="1" s="1"/>
  <c r="AT209" i="1" s="1"/>
  <c r="K1292" i="1"/>
  <c r="AN1292" i="1" s="1"/>
  <c r="P1292" i="1"/>
  <c r="AP1292" i="1" s="1"/>
  <c r="AT1292" i="1" s="1"/>
  <c r="AM1291" i="1"/>
  <c r="K1970" i="1"/>
  <c r="AN1970" i="1" s="1"/>
  <c r="P1970" i="1"/>
  <c r="AP1970" i="1" s="1"/>
  <c r="AT1970" i="1" s="1"/>
  <c r="AM1969" i="1"/>
  <c r="P306" i="1"/>
  <c r="AP306" i="1" s="1"/>
  <c r="AT306" i="1" s="1"/>
  <c r="K306" i="1"/>
  <c r="AN306" i="1" s="1"/>
  <c r="AM305" i="1"/>
  <c r="AM497" i="1"/>
  <c r="P498" i="1"/>
  <c r="AP498" i="1" s="1"/>
  <c r="AT498" i="1" s="1"/>
  <c r="K498" i="1"/>
  <c r="AN498" i="1" s="1"/>
  <c r="K834" i="1"/>
  <c r="AN834" i="1" s="1"/>
  <c r="P834" i="1"/>
  <c r="AP834" i="1" s="1"/>
  <c r="AT834" i="1" s="1"/>
  <c r="AM833" i="1"/>
  <c r="P858" i="1"/>
  <c r="AP858" i="1" s="1"/>
  <c r="AT858" i="1" s="1"/>
  <c r="AM857" i="1"/>
  <c r="K858" i="1"/>
  <c r="AN858" i="1" s="1"/>
  <c r="AM761" i="1"/>
  <c r="K762" i="1"/>
  <c r="AN762" i="1" s="1"/>
  <c r="P762" i="1"/>
  <c r="AP762" i="1" s="1"/>
  <c r="AT762" i="1" s="1"/>
  <c r="AM1267" i="1"/>
  <c r="K1268" i="1"/>
  <c r="AN1268" i="1" s="1"/>
  <c r="P1268" i="1"/>
  <c r="AP1268" i="1" s="1"/>
  <c r="AT1268" i="1" s="1"/>
  <c r="AM617" i="1"/>
  <c r="K618" i="1"/>
  <c r="AN618" i="1" s="1"/>
  <c r="P618" i="1"/>
  <c r="AP618" i="1" s="1"/>
  <c r="AT618" i="1" s="1"/>
  <c r="K906" i="1"/>
  <c r="AN906" i="1" s="1"/>
  <c r="AM905" i="1"/>
  <c r="P906" i="1"/>
  <c r="AP906" i="1" s="1"/>
  <c r="AT906" i="1" s="1"/>
  <c r="P1340" i="1"/>
  <c r="AP1340" i="1" s="1"/>
  <c r="AT1340" i="1" s="1"/>
  <c r="K1340" i="1"/>
  <c r="AN1340" i="1" s="1"/>
  <c r="AM1339" i="1"/>
  <c r="K1220" i="1"/>
  <c r="AN1220" i="1" s="1"/>
  <c r="P1220" i="1"/>
  <c r="AP1220" i="1" s="1"/>
  <c r="AT1220" i="1" s="1"/>
  <c r="AM1219" i="1"/>
  <c r="AM1605" i="1"/>
  <c r="P1606" i="1"/>
  <c r="AP1606" i="1" s="1"/>
  <c r="AT1606" i="1" s="1"/>
  <c r="K1606" i="1"/>
  <c r="AN1606" i="1" s="1"/>
  <c r="K1751" i="1"/>
  <c r="AN1751" i="1" s="1"/>
  <c r="P1751" i="1"/>
  <c r="AP1751" i="1" s="1"/>
  <c r="AT1751" i="1" s="1"/>
  <c r="AM1750" i="1"/>
  <c r="AM257" i="1"/>
  <c r="K258" i="1"/>
  <c r="P258" i="1"/>
  <c r="AP258" i="1" s="1"/>
  <c r="AT258" i="1" s="1"/>
  <c r="K1775" i="1"/>
  <c r="AN1775" i="1" s="1"/>
  <c r="P1775" i="1"/>
  <c r="AP1775" i="1" s="1"/>
  <c r="AT1775" i="1" s="1"/>
  <c r="AM1774" i="1"/>
  <c r="AM929" i="1"/>
  <c r="K930" i="1"/>
  <c r="AN930" i="1" s="1"/>
  <c r="P930" i="1"/>
  <c r="AP930" i="1" s="1"/>
  <c r="AT930" i="1" s="1"/>
  <c r="AM737" i="1"/>
  <c r="P738" i="1"/>
  <c r="AP738" i="1" s="1"/>
  <c r="AT738" i="1" s="1"/>
  <c r="K738" i="1"/>
  <c r="AN738" i="1" s="1"/>
  <c r="AM1823" i="1"/>
  <c r="P1824" i="1"/>
  <c r="AP1824" i="1" s="1"/>
  <c r="AT1824" i="1" s="1"/>
  <c r="K1824" i="1"/>
  <c r="AN1824" i="1" s="1"/>
  <c r="AM641" i="1"/>
  <c r="P642" i="1"/>
  <c r="AP642" i="1" s="1"/>
  <c r="AT642" i="1" s="1"/>
  <c r="K642" i="1"/>
  <c r="AN642" i="1" s="1"/>
  <c r="P810" i="1"/>
  <c r="AP810" i="1" s="1"/>
  <c r="AT810" i="1" s="1"/>
  <c r="AM809" i="1"/>
  <c r="K810" i="1"/>
  <c r="AN810" i="1" s="1"/>
  <c r="AM1411" i="1"/>
  <c r="P1412" i="1"/>
  <c r="AP1412" i="1" s="1"/>
  <c r="AT1412" i="1" s="1"/>
  <c r="K1412" i="1"/>
  <c r="AN1412" i="1" s="1"/>
  <c r="AM1871" i="1"/>
  <c r="P1872" i="1"/>
  <c r="AP1872" i="1" s="1"/>
  <c r="AT1872" i="1" s="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AP1848" i="1" s="1"/>
  <c r="AT1848" i="1" s="1"/>
  <c r="P402" i="1"/>
  <c r="AP402" i="1" s="1"/>
  <c r="AT402" i="1" s="1"/>
  <c r="K402" i="1"/>
  <c r="AN402" i="1" s="1"/>
  <c r="AM401" i="1"/>
  <c r="AM665" i="1"/>
  <c r="K666" i="1"/>
  <c r="AN666" i="1" s="1"/>
  <c r="P666" i="1"/>
  <c r="AP666" i="1" s="1"/>
  <c r="AT666" i="1" s="1"/>
  <c r="K1364" i="1"/>
  <c r="AN1364" i="1" s="1"/>
  <c r="P1364" i="1"/>
  <c r="AP1364" i="1" s="1"/>
  <c r="AT1364" i="1" s="1"/>
  <c r="AM1363" i="1"/>
  <c r="K234" i="1"/>
  <c r="P234" i="1"/>
  <c r="AP234" i="1" s="1"/>
  <c r="AT234" i="1" s="1"/>
  <c r="AM233" i="1"/>
  <c r="K282" i="1"/>
  <c r="AN282" i="1" s="1"/>
  <c r="P282" i="1"/>
  <c r="AP282" i="1" s="1"/>
  <c r="AT282" i="1" s="1"/>
  <c r="AM281" i="1"/>
  <c r="AM1243" i="1"/>
  <c r="K1244" i="1"/>
  <c r="AN1244" i="1" s="1"/>
  <c r="P1244" i="1"/>
  <c r="AP1244" i="1" s="1"/>
  <c r="AT1244" i="1" s="1"/>
  <c r="K546" i="1"/>
  <c r="AN546" i="1" s="1"/>
  <c r="AM545" i="1"/>
  <c r="P546" i="1"/>
  <c r="AP546" i="1" s="1"/>
  <c r="AT546" i="1" s="1"/>
  <c r="K1436" i="1"/>
  <c r="AN1436" i="1" s="1"/>
  <c r="P1436" i="1"/>
  <c r="AP1436" i="1" s="1"/>
  <c r="AT1436" i="1" s="1"/>
  <c r="AM1435" i="1"/>
  <c r="P1388" i="1"/>
  <c r="AP1388" i="1" s="1"/>
  <c r="AT1388" i="1" s="1"/>
  <c r="AM1387" i="1"/>
  <c r="K1388" i="1"/>
  <c r="AN1388" i="1" s="1"/>
  <c r="AM1074" i="1"/>
  <c r="P1075" i="1"/>
  <c r="AP1075" i="1" s="1"/>
  <c r="AT1075" i="1" s="1"/>
  <c r="K1075" i="1"/>
  <c r="AN1075" i="1" s="1"/>
  <c r="K1123" i="1"/>
  <c r="AN1123" i="1" s="1"/>
  <c r="P1123" i="1"/>
  <c r="AP1123" i="1" s="1"/>
  <c r="AT1123" i="1" s="1"/>
  <c r="AM1122" i="1"/>
  <c r="AC2100" i="1"/>
  <c r="AB2100" i="1" s="1"/>
  <c r="AA2100" i="1" s="1"/>
  <c r="AA2116" i="1" s="1"/>
  <c r="V2100" i="1"/>
  <c r="W2100" i="1" s="1"/>
  <c r="W2116" i="1" s="1"/>
  <c r="V2116" i="1" s="1"/>
  <c r="AJ2100" i="1"/>
  <c r="AI2100" i="1" s="1"/>
  <c r="AH2100" i="1" s="1"/>
  <c r="AH2116" i="1" s="1"/>
  <c r="AH2118" i="1" s="1"/>
  <c r="P786" i="1"/>
  <c r="AP786" i="1" s="1"/>
  <c r="AM785" i="1"/>
  <c r="K786" i="1"/>
  <c r="AN786" i="1" s="1"/>
  <c r="K1003" i="1"/>
  <c r="AN1003" i="1" s="1"/>
  <c r="AM1002" i="1"/>
  <c r="P1003" i="1"/>
  <c r="AP1003" i="1" s="1"/>
  <c r="AT1003" i="1" s="1"/>
  <c r="P570" i="1"/>
  <c r="AP570" i="1" s="1"/>
  <c r="AT570" i="1" s="1"/>
  <c r="K570" i="1"/>
  <c r="AN570" i="1" s="1"/>
  <c r="AM569" i="1"/>
  <c r="AM1993" i="1"/>
  <c r="K1994" i="1"/>
  <c r="AN1994" i="1" s="1"/>
  <c r="P1994" i="1"/>
  <c r="AP1994" i="1" s="1"/>
  <c r="AT1994" i="1" s="1"/>
  <c r="E10" i="6" l="1"/>
  <c r="B16" i="6" s="1"/>
  <c r="E11" i="6"/>
  <c r="B17" i="6" s="1"/>
  <c r="E9" i="6"/>
  <c r="AT786" i="1"/>
  <c r="B14" i="6"/>
  <c r="P2116" i="1"/>
  <c r="AM234" i="1"/>
  <c r="AN234" i="1"/>
  <c r="AM258" i="1"/>
  <c r="AN258" i="1"/>
  <c r="P2118" i="1" l="1"/>
  <c r="K2118" i="1"/>
  <c r="AM2116" i="1"/>
  <c r="AM13" i="1" s="1"/>
  <c r="C9" i="1" s="1"/>
  <c r="AN2118" i="1" l="1"/>
  <c r="AP2118" i="1"/>
  <c r="AP15" i="1" s="1"/>
  <c r="J9" i="1"/>
  <c r="J12" i="1" s="1"/>
  <c r="AM15" i="1" s="1"/>
  <c r="AV15" i="1" l="1"/>
  <c r="B21" i="6" s="1"/>
  <c r="B9" i="6" s="1"/>
  <c r="AT15" i="1" l="1"/>
  <c r="B20" i="6" s="1"/>
  <c r="B11" i="6" l="1"/>
  <c r="B15" i="6"/>
  <c r="B13" i="6" l="1"/>
  <c r="B8" i="6"/>
  <c r="E7" i="6"/>
  <c r="B3" i="6" l="1"/>
  <c r="B1" i="6"/>
  <c r="B2" i="6"/>
  <c r="D3" i="32"/>
  <c r="C3" i="32"/>
</calcChain>
</file>

<file path=xl/sharedStrings.xml><?xml version="1.0" encoding="utf-8"?>
<sst xmlns="http://schemas.openxmlformats.org/spreadsheetml/2006/main" count="14370" uniqueCount="1099">
  <si>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</si>
  <si>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</si>
  <si>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</si>
  <si>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</si>
  <si>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</si>
  <si>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</si>
  <si>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</si>
  <si>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</si>
  <si>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</si>
  <si>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</si>
  <si>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</si>
  <si>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</si>
  <si>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</si>
  <si>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</si>
  <si>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</si>
  <si>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</si>
  <si>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</si>
  <si>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</si>
  <si>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</si>
  <si>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</si>
  <si>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</si>
  <si>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</si>
  <si>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</si>
  <si>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</si>
  <si>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</si>
  <si>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</si>
  <si>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</si>
  <si>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</si>
  <si>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</si>
  <si>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</si>
  <si>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</si>
  <si>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</si>
  <si>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</si>
  <si>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</si>
  <si>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</si>
  <si>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</si>
  <si>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</si>
  <si>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</si>
  <si>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</si>
  <si>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</si>
  <si>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</si>
  <si>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</si>
  <si>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</si>
  <si>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</si>
  <si>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</si>
  <si>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</si>
  <si>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</si>
  <si>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</si>
  <si>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</si>
  <si>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</si>
  <si>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</si>
  <si>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</si>
  <si>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</si>
  <si>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</si>
  <si>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</si>
  <si>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</si>
  <si>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</si>
  <si>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</si>
  <si>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</si>
  <si>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</si>
  <si>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</si>
  <si>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</si>
  <si>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</si>
  <si>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</si>
  <si>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</si>
  <si>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</si>
  <si>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</si>
  <si>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</si>
  <si>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</si>
  <si>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</si>
  <si>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</si>
  <si>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</si>
  <si>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</si>
  <si>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</si>
  <si>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</si>
  <si>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</si>
  <si>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</si>
  <si>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</si>
  <si>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</si>
  <si>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</si>
  <si>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</si>
  <si>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</si>
  <si>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</si>
  <si>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</si>
  <si>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</si>
  <si>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</si>
  <si>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</si>
  <si>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</si>
  <si>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</si>
  <si>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</si>
  <si>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</si>
  <si>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</si>
  <si>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</si>
  <si>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</si>
  <si>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</si>
  <si>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</si>
  <si>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</si>
  <si>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</si>
  <si>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</si>
  <si>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</si>
  <si>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</si>
  <si>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</si>
  <si>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</si>
  <si>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</si>
  <si>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</si>
  <si>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</si>
  <si>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</si>
  <si>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</si>
  <si>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</si>
  <si>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</si>
  <si>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</si>
  <si>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</si>
  <si>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</si>
  <si>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</si>
  <si>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</si>
  <si>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</si>
  <si>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</si>
  <si>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</si>
  <si>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</si>
  <si>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</si>
  <si>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</si>
  <si>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</si>
  <si>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</si>
  <si>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</si>
  <si>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</si>
  <si>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</si>
  <si>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</si>
  <si>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</si>
  <si>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</si>
  <si>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</si>
  <si>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</si>
  <si>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</si>
  <si>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</si>
  <si>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</si>
  <si>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</si>
  <si>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</si>
  <si>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</si>
  <si>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</si>
  <si>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</si>
  <si>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</si>
  <si>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</si>
  <si>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</si>
  <si>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</si>
  <si>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</si>
  <si>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</si>
  <si>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</si>
  <si>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</si>
  <si>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</si>
  <si>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</si>
  <si>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</si>
  <si>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</si>
  <si>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</si>
  <si>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</si>
  <si>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</si>
  <si>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</si>
  <si>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</si>
  <si>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</si>
  <si>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</si>
  <si>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</si>
  <si>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</si>
  <si>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</si>
  <si>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</si>
  <si>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</si>
  <si>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</si>
  <si>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</si>
  <si>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</si>
  <si>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</si>
  <si>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</si>
  <si>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</si>
  <si>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</si>
  <si>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</si>
  <si>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</si>
  <si>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</si>
  <si>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</si>
  <si>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</si>
  <si>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</si>
  <si>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</si>
  <si>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</si>
  <si>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</si>
  <si>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</si>
  <si>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</si>
  <si>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</si>
  <si>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</si>
  <si>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</si>
  <si>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</si>
  <si>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</si>
  <si>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</si>
  <si>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</si>
  <si>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</si>
  <si>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</si>
  <si>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</si>
  <si>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</si>
  <si>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</si>
  <si>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</si>
  <si>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</si>
  <si>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</si>
  <si>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</si>
  <si>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</si>
  <si>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</si>
  <si>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</si>
  <si>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</si>
  <si>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</si>
  <si>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</si>
  <si>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</si>
  <si>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</si>
  <si>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</si>
  <si>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</si>
  <si>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</si>
  <si>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</si>
  <si>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</si>
  <si>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</si>
  <si>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</si>
  <si>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</si>
  <si>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</si>
  <si>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</si>
  <si>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</si>
  <si>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</si>
  <si>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</si>
  <si>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</si>
  <si>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</si>
  <si>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</si>
  <si>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</si>
  <si>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</si>
  <si>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</si>
  <si>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</si>
  <si>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</si>
  <si>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</si>
  <si>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</si>
  <si>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</si>
  <si>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</si>
  <si>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</si>
  <si>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</si>
  <si>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</si>
  <si>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</si>
  <si>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</si>
  <si>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</si>
  <si>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</si>
  <si>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</si>
  <si>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</si>
  <si>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</si>
  <si>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</si>
  <si>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</si>
  <si>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</si>
  <si>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</si>
  <si>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</si>
  <si>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</si>
  <si>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</si>
  <si>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</si>
  <si>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</si>
  <si>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</si>
  <si>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</si>
  <si>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</si>
  <si>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</si>
  <si>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</si>
  <si>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</si>
  <si>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</si>
  <si>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</si>
  <si>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</si>
  <si>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</si>
  <si>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</si>
  <si>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</si>
  <si>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</si>
  <si>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</si>
  <si>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</si>
  <si>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</si>
  <si>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</si>
  <si>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</si>
  <si>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</si>
  <si>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</si>
  <si>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</si>
  <si>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</si>
  <si>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</si>
  <si>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</si>
  <si>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</si>
  <si>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</si>
  <si>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</si>
  <si>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</si>
  <si>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</si>
  <si>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</si>
  <si>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</si>
  <si>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</si>
  <si>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</si>
  <si>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</si>
  <si>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</si>
  <si>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</si>
  <si>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</si>
  <si>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</si>
  <si>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</si>
  <si>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</si>
  <si>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</si>
  <si>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</si>
  <si>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</si>
  <si>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</si>
  <si>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</si>
  <si>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</si>
  <si>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</si>
  <si>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</si>
  <si>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</si>
  <si>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</si>
  <si>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</si>
  <si>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</si>
  <si>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</si>
  <si>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</si>
  <si>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</si>
  <si>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</si>
  <si>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</si>
  <si>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</si>
  <si>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</si>
  <si>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</si>
  <si>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</si>
  <si>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</si>
  <si>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</si>
  <si>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</si>
  <si>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</si>
  <si>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</si>
  <si>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</si>
  <si>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</si>
  <si>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 xml:space="preserve">Stairwell pressure transducers ( 2 per fan for averaging),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</si>
  <si>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</si>
  <si>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</si>
  <si>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</si>
  <si>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</si>
  <si>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</si>
  <si>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</si>
  <si>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</si>
  <si>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</si>
  <si>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</si>
  <si>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</si>
  <si>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</si>
  <si>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</si>
  <si>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</si>
  <si>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</si>
  <si>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</si>
  <si>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</si>
  <si>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</si>
  <si>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</si>
  <si>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</si>
  <si>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</si>
  <si>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</si>
  <si>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</si>
  <si>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</si>
  <si>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</si>
  <si>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</si>
  <si>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</si>
  <si>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</si>
  <si>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</si>
  <si>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</si>
  <si>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</si>
  <si>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</si>
  <si>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</si>
  <si>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</si>
  <si>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</si>
  <si>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</si>
  <si>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</si>
  <si>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</si>
  <si>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</si>
  <si>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</si>
  <si>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</si>
  <si>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</si>
  <si>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</si>
  <si>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</si>
  <si>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</si>
  <si>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</si>
  <si>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</si>
  <si>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</si>
  <si>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</si>
  <si>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</si>
  <si>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</si>
  <si>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</si>
  <si>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</si>
  <si>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</si>
  <si>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</si>
  <si>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</si>
  <si>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</si>
  <si>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</si>
  <si>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</si>
  <si>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</si>
  <si>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</si>
  <si>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</si>
  <si>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</si>
  <si>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</si>
  <si>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</si>
  <si>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</si>
  <si>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</si>
  <si>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</si>
  <si>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</si>
  <si>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</si>
  <si>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</si>
  <si>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</si>
  <si>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</si>
  <si>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</si>
  <si>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</si>
  <si>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</si>
  <si>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</si>
  <si>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</si>
  <si>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</si>
  <si>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</si>
  <si>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</si>
  <si>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</si>
  <si>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</si>
  <si>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</si>
  <si>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</si>
  <si>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</si>
  <si>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</si>
  <si>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</si>
  <si>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</si>
  <si>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</si>
  <si>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</si>
  <si>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</si>
  <si>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</si>
  <si>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</si>
  <si>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</si>
  <si>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</si>
  <si>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</si>
  <si>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</si>
  <si>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</si>
  <si>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</si>
  <si>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</si>
  <si>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</si>
  <si>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</si>
  <si>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</si>
  <si>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</si>
  <si>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</si>
  <si>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</si>
  <si>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</si>
  <si>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</si>
  <si>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</si>
  <si>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</si>
  <si>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</si>
  <si>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</si>
  <si>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</si>
  <si>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</si>
  <si>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</si>
  <si>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</si>
  <si>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</si>
  <si>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</si>
  <si>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</si>
  <si>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</si>
  <si>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</si>
  <si>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</si>
  <si>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</si>
  <si>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</si>
  <si>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</si>
  <si>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</si>
  <si>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</si>
  <si>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</si>
  <si>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</si>
  <si>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</si>
  <si>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</si>
  <si>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</si>
  <si>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</si>
  <si>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</si>
  <si>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</si>
  <si>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</si>
  <si>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</si>
  <si>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</si>
  <si>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</si>
  <si>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additional stairwell pressure transducers (for redundancy should one fail)</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</si>
  <si>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</si>
  <si>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</si>
  <si>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</si>
  <si>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</si>
  <si>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</si>
  <si>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</si>
  <si>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</si>
  <si>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</si>
  <si>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</si>
  <si>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</si>
  <si>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</si>
  <si>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</si>
  <si>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</si>
  <si>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</si>
  <si>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</si>
  <si>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</si>
  <si>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</si>
  <si>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</si>
  <si>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</si>
  <si>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</si>
  <si>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</si>
  <si>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</si>
  <si>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</si>
  <si>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</si>
  <si>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</si>
  <si>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</si>
  <si>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</si>
  <si>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</si>
  <si>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</si>
  <si>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</si>
  <si>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</si>
  <si>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</si>
  <si>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</si>
  <si>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</si>
  <si>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</si>
  <si>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</si>
  <si>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</si>
  <si>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</si>
  <si>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</si>
  <si>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</si>
  <si>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</si>
  <si>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</si>
  <si>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</si>
  <si>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</si>
  <si>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</si>
  <si>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</si>
  <si>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</si>
  <si>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</si>
  <si>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</si>
  <si>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</si>
  <si>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</si>
  <si>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</si>
  <si>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</si>
  <si>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</si>
  <si>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</si>
  <si>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</si>
  <si>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</si>
  <si>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</si>
  <si>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</si>
  <si>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</si>
  <si>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</si>
  <si>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</si>
  <si>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</si>
  <si>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</si>
  <si>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</si>
  <si>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</si>
  <si>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</si>
  <si>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</si>
  <si>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</si>
  <si>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</si>
  <si>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</si>
  <si>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</si>
  <si>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</si>
  <si>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</si>
  <si>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</si>
  <si>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</si>
  <si>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</si>
  <si>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</si>
  <si>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</si>
  <si>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</si>
  <si>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</si>
  <si>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</si>
  <si>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</si>
  <si>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</si>
  <si>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</si>
  <si>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</si>
  <si>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</si>
  <si>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</si>
  <si>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</si>
  <si>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</si>
  <si>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</si>
  <si>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</si>
  <si>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</si>
  <si>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</si>
  <si>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</si>
  <si>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</si>
  <si>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</si>
  <si>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</si>
  <si>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</si>
  <si>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</si>
  <si>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</si>
  <si>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</si>
  <si>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</si>
  <si>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</si>
  <si>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</si>
  <si>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</si>
  <si>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</si>
  <si>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</si>
  <si>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</si>
  <si>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</si>
  <si>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</si>
  <si>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</si>
  <si>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</si>
  <si>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</si>
  <si>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</si>
  <si>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</si>
  <si>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</si>
  <si>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</si>
  <si>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</si>
  <si>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</si>
  <si>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</si>
  <si>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</si>
  <si>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</si>
  <si>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</si>
  <si>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</si>
  <si>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</si>
  <si>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</si>
  <si>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</si>
  <si>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</si>
  <si>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</si>
  <si>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</si>
  <si>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</si>
  <si>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</si>
  <si>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</si>
  <si>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</si>
  <si>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</si>
  <si>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</si>
  <si>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</si>
  <si>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</si>
  <si>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</si>
  <si>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</si>
  <si>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</si>
  <si>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</si>
  <si>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</si>
  <si>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</si>
  <si>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</si>
  <si>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</si>
  <si>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</si>
  <si>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</si>
  <si>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</si>
  <si>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</si>
  <si>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</si>
  <si>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</si>
  <si>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</si>
  <si>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</si>
  <si>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</si>
  <si>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</si>
  <si>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</si>
  <si>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</si>
  <si>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</si>
  <si>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</si>
  <si>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</si>
  <si>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</si>
  <si>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</si>
  <si>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</si>
  <si>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</si>
  <si>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</si>
  <si>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</si>
  <si>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</si>
  <si>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</si>
  <si>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</si>
  <si>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</si>
  <si>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</si>
  <si>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</si>
  <si>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</si>
  <si>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</si>
  <si>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</si>
  <si>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</si>
  <si>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</si>
  <si>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</si>
  <si>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</si>
  <si>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</si>
  <si>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</si>
  <si>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</si>
  <si>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</si>
  <si>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</si>
  <si>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</si>
  <si>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</si>
  <si>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</si>
  <si>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</si>
  <si>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</si>
  <si>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</si>
  <si>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</si>
  <si>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</si>
  <si>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</si>
  <si>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</si>
  <si>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</si>
  <si>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</si>
  <si>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</si>
  <si>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</si>
  <si>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</si>
  <si>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</si>
  <si>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</si>
  <si>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</si>
  <si>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</si>
  <si>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</si>
  <si>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</si>
  <si>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</si>
  <si>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</si>
  <si>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</si>
  <si>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</si>
  <si>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</si>
  <si>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</si>
  <si>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</si>
  <si>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</si>
  <si>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</si>
  <si>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</si>
  <si>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</si>
  <si>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</si>
  <si>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</si>
  <si>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</si>
  <si>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</si>
  <si>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</si>
  <si>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</si>
  <si>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</si>
  <si>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</si>
  <si>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</si>
  <si>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</si>
  <si>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</si>
  <si>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</si>
  <si>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</si>
  <si>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</si>
  <si>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</si>
  <si>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</si>
  <si>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</si>
  <si>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</si>
  <si>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</si>
  <si>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</si>
  <si>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</si>
  <si>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</si>
  <si>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</si>
  <si>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</si>
  <si>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</si>
  <si>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</si>
  <si>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</si>
  <si>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</si>
  <si>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</si>
  <si>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</si>
  <si>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</si>
  <si>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</si>
  <si>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</si>
  <si>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</si>
  <si>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</si>
  <si>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</si>
  <si>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</si>
  <si>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</si>
  <si>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</si>
  <si>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</si>
  <si>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</si>
  <si>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</si>
  <si>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</si>
  <si>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</si>
  <si>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</si>
  <si>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</si>
  <si>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</si>
  <si>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</si>
  <si>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</si>
  <si>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</si>
  <si>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</si>
  <si>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</si>
  <si>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</si>
  <si>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</si>
  <si>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</si>
  <si>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</si>
  <si>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</si>
  <si>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</si>
  <si>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</si>
  <si>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</si>
  <si>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</si>
  <si>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</si>
  <si>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</si>
  <si>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</si>
  <si>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</si>
  <si>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</si>
  <si>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</si>
  <si>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</si>
  <si>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</si>
  <si>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</si>
  <si>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</si>
  <si>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</si>
  <si>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</si>
  <si>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</si>
  <si>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</si>
  <si>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</si>
  <si>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</si>
  <si>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</si>
  <si>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</si>
  <si>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</si>
  <si>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</si>
  <si>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</si>
  <si>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</si>
  <si>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</si>
  <si>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</si>
  <si>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</si>
  <si>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</si>
  <si>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</si>
  <si>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</si>
  <si>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</si>
  <si>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</si>
  <si>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</si>
  <si>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</si>
  <si>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</si>
  <si>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</si>
  <si>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</si>
  <si>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</si>
  <si>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</si>
  <si>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</si>
  <si>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</si>
  <si>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</si>
  <si>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</si>
  <si>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</si>
  <si>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</si>
  <si>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</si>
  <si>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</si>
  <si>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</si>
  <si>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</si>
  <si>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</si>
  <si>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</si>
  <si>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</si>
  <si>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</si>
  <si>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</si>
  <si>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</si>
  <si>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</si>
  <si>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</si>
  <si>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</si>
  <si>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</si>
  <si>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</si>
  <si>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</si>
  <si>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</si>
  <si>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</si>
  <si>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</si>
  <si>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</si>
  <si>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</si>
  <si>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</si>
  <si>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</si>
  <si>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</si>
  <si>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</si>
  <si>
    <t>Fan</t>
  </si>
  <si>
    <t xml:space="preserve">Electrical power supply and controls to </t>
  </si>
  <si>
    <t>- from local power supply. This includes supply and install of power and controls. Power for system includes:</t>
  </si>
  <si>
    <t>Unit Type</t>
  </si>
  <si>
    <t>Qty</t>
  </si>
  <si>
    <t>Time Clock</t>
  </si>
  <si>
    <t>Local</t>
  </si>
  <si>
    <t>Mechanical Thermostat</t>
  </si>
  <si>
    <t>Interlock</t>
  </si>
  <si>
    <t>Interlock with Local Switch</t>
  </si>
  <si>
    <t>Interlock with Lighting Circuit</t>
  </si>
  <si>
    <t>Run On Timer</t>
  </si>
  <si>
    <t>BMS Provisions</t>
  </si>
  <si>
    <t>Fire Shutdown</t>
  </si>
  <si>
    <t>Part</t>
  </si>
  <si>
    <t>Part No.</t>
  </si>
  <si>
    <t>Price</t>
  </si>
  <si>
    <t>Install Time</t>
  </si>
  <si>
    <t>Notes</t>
  </si>
  <si>
    <t>Unit Price</t>
  </si>
  <si>
    <t>Dore</t>
  </si>
  <si>
    <t>1 Phase Isolator</t>
  </si>
  <si>
    <t>Run &amp; Fault LEDs</t>
  </si>
  <si>
    <t>Traffolyte Labelling</t>
  </si>
  <si>
    <t>Commissioning/Testing</t>
  </si>
  <si>
    <t>Controls Enclosure</t>
  </si>
  <si>
    <t>Current Switch</t>
  </si>
  <si>
    <t>CCS131</t>
  </si>
  <si>
    <t>Interlock with Associated Units</t>
  </si>
  <si>
    <t>Local Switch</t>
  </si>
  <si>
    <t>Run Status Light</t>
  </si>
  <si>
    <t>ID</t>
  </si>
  <si>
    <t>Valid</t>
  </si>
  <si>
    <t>Y</t>
  </si>
  <si>
    <t>N</t>
  </si>
  <si>
    <t>Hours</t>
  </si>
  <si>
    <t>Form</t>
  </si>
  <si>
    <t>IP Rating</t>
  </si>
  <si>
    <t>Colour</t>
  </si>
  <si>
    <t>CB Size</t>
  </si>
  <si>
    <t>Poles</t>
  </si>
  <si>
    <t>Orange</t>
  </si>
  <si>
    <t>Grey</t>
  </si>
  <si>
    <t>Unit Hours</t>
  </si>
  <si>
    <t>Poles / Dim</t>
  </si>
  <si>
    <t>[O] Hours</t>
  </si>
  <si>
    <t>600x600</t>
  </si>
  <si>
    <t>600x800</t>
  </si>
  <si>
    <t>800x800</t>
  </si>
  <si>
    <t>400x600</t>
  </si>
  <si>
    <t>MB81030</t>
  </si>
  <si>
    <t>800x1000</t>
  </si>
  <si>
    <t>MB8830</t>
  </si>
  <si>
    <t>MB6830</t>
  </si>
  <si>
    <t>MB6630</t>
  </si>
  <si>
    <t>MB4620</t>
  </si>
  <si>
    <t>MBO4620</t>
  </si>
  <si>
    <t>MBO6825</t>
  </si>
  <si>
    <t>N/A</t>
  </si>
  <si>
    <t>IP65</t>
  </si>
  <si>
    <t>Enclosure</t>
  </si>
  <si>
    <t>Part No.
[Enclosure]</t>
  </si>
  <si>
    <t>Dim</t>
  </si>
  <si>
    <t>Enclosures</t>
  </si>
  <si>
    <t>CB</t>
  </si>
  <si>
    <t>Note</t>
  </si>
  <si>
    <t>Not a valid selection (Configuration does not exist)</t>
  </si>
  <si>
    <t>Form 1 (Always), IP65 (Always)
Includes MS3100 (Main Switch, 3 Pole, 100 Amp)</t>
  </si>
  <si>
    <t>Non-Auto/
MCCB</t>
  </si>
  <si>
    <t>Non-Auto</t>
  </si>
  <si>
    <t>MCCB</t>
  </si>
  <si>
    <t>Distro (Eureka)</t>
  </si>
  <si>
    <t>IP42</t>
  </si>
  <si>
    <t>IP56</t>
  </si>
  <si>
    <t>Eureka</t>
  </si>
  <si>
    <t>IGOC</t>
  </si>
  <si>
    <t>DB</t>
  </si>
  <si>
    <t>EN[Dimensions]-[Colour]</t>
  </si>
  <si>
    <t>PART NUMBERS EXPLAINED</t>
  </si>
  <si>
    <t>DB[Poles]-[250/400A]-[IP Rating]-[Colour]</t>
  </si>
  <si>
    <t>EN46-O</t>
  </si>
  <si>
    <t>EN66-O</t>
  </si>
  <si>
    <t>EN68-O</t>
  </si>
  <si>
    <t>EN88-O</t>
  </si>
  <si>
    <t>EN810-O</t>
  </si>
  <si>
    <t>EN46-G</t>
  </si>
  <si>
    <t>EN66-G</t>
  </si>
  <si>
    <t>EN68-G</t>
  </si>
  <si>
    <t>EN88-G</t>
  </si>
  <si>
    <t>EN810-G</t>
  </si>
  <si>
    <t>PN</t>
  </si>
  <si>
    <t>Secondary Supplier</t>
  </si>
  <si>
    <t>DB24-2-42-O</t>
  </si>
  <si>
    <t>DB24-2-42-O-M</t>
  </si>
  <si>
    <t>DB36-2-42-O</t>
  </si>
  <si>
    <t>DB36-2-42-O-M</t>
  </si>
  <si>
    <t>DB48-2-42-O</t>
  </si>
  <si>
    <t>DB48-2-42-O-M</t>
  </si>
  <si>
    <t>DB60-2-42-O</t>
  </si>
  <si>
    <t>DB60-2-42-O-M</t>
  </si>
  <si>
    <t>DB72-2-42-O</t>
  </si>
  <si>
    <t>DB72-2-42-O-M</t>
  </si>
  <si>
    <t>DB24-2-56-O</t>
  </si>
  <si>
    <t>DB24-2-56-O-M</t>
  </si>
  <si>
    <t>DB36-2-56-O</t>
  </si>
  <si>
    <t>DB36-2-56-O-M</t>
  </si>
  <si>
    <t>DB48-2-56-O</t>
  </si>
  <si>
    <t>DB48-2-56-O-M</t>
  </si>
  <si>
    <t>DB60-2-56-O</t>
  </si>
  <si>
    <t>DB60-2-56-O-M</t>
  </si>
  <si>
    <t>DB72-2-56-O</t>
  </si>
  <si>
    <t>DB72-2-56-O-M</t>
  </si>
  <si>
    <t>DB24-4-42-O</t>
  </si>
  <si>
    <t>DB24-4-42-O-M</t>
  </si>
  <si>
    <t>DB36-4-42-O</t>
  </si>
  <si>
    <t>DB36-4-42-O-M</t>
  </si>
  <si>
    <t>DB48-4-42-O</t>
  </si>
  <si>
    <t>DB48-4-42-O-M</t>
  </si>
  <si>
    <t>DB60-4-42-O</t>
  </si>
  <si>
    <t>DB60-4-42-O-M</t>
  </si>
  <si>
    <t>DB72-4-42-O</t>
  </si>
  <si>
    <t>DB72-4-42-O-M</t>
  </si>
  <si>
    <t>DB24-4-56-O</t>
  </si>
  <si>
    <t>DB24-4-56-O-M</t>
  </si>
  <si>
    <t>DB36-4-56-O</t>
  </si>
  <si>
    <t>DB36-4-56-O-M</t>
  </si>
  <si>
    <t>DB48-4-56-O</t>
  </si>
  <si>
    <t>DB48-4-56-O-M</t>
  </si>
  <si>
    <t>DB60-4-56-O</t>
  </si>
  <si>
    <t>DB60-4-56-O-M</t>
  </si>
  <si>
    <t>DB72-4-56-O</t>
  </si>
  <si>
    <t>DB72-4-56-O-M</t>
  </si>
  <si>
    <t>DB24-2-42-G</t>
  </si>
  <si>
    <t>DB24-2-42-G-M</t>
  </si>
  <si>
    <t>DB36-2-42-G</t>
  </si>
  <si>
    <t>DB36-2-42-G-M</t>
  </si>
  <si>
    <t>DB48-2-42-G</t>
  </si>
  <si>
    <t>DB48-2-42-G-M</t>
  </si>
  <si>
    <t>DB60-2-42-G</t>
  </si>
  <si>
    <t>DB60-2-42-G-M</t>
  </si>
  <si>
    <t>DB72-2-42-G</t>
  </si>
  <si>
    <t>DB72-2-42-G-M</t>
  </si>
  <si>
    <t>DB24-2-56-G</t>
  </si>
  <si>
    <t>DB24-2-56-G-M</t>
  </si>
  <si>
    <t>DB36-2-56-G</t>
  </si>
  <si>
    <t>DB36-2-56-G-M</t>
  </si>
  <si>
    <t>DB48-2-56-G</t>
  </si>
  <si>
    <t>DB48-2-56-G-M</t>
  </si>
  <si>
    <t>DB60-2-56-G</t>
  </si>
  <si>
    <t>DB60-2-56-G-M</t>
  </si>
  <si>
    <t>DB72-2-56-G</t>
  </si>
  <si>
    <t>DB72-2-56-G-M</t>
  </si>
  <si>
    <t>DB24-4-42-G</t>
  </si>
  <si>
    <t>DB24-4-42-G-M</t>
  </si>
  <si>
    <t>DB36-4-42-G</t>
  </si>
  <si>
    <t>DB36-4-42-G-M</t>
  </si>
  <si>
    <t>DB48-4-42-G</t>
  </si>
  <si>
    <t>DB48-4-42-G-M</t>
  </si>
  <si>
    <t>DB60-4-42-G</t>
  </si>
  <si>
    <t>DB60-4-42-G-M</t>
  </si>
  <si>
    <t>DB72-4-42-G</t>
  </si>
  <si>
    <t>DB72-4-42-G-M</t>
  </si>
  <si>
    <t>DB24-4-56-G</t>
  </si>
  <si>
    <t>DB24-4-56-G-M</t>
  </si>
  <si>
    <t>DB36-4-56-G</t>
  </si>
  <si>
    <t>DB36-4-56-G-M</t>
  </si>
  <si>
    <t>DB48-4-56-G</t>
  </si>
  <si>
    <t>DB48-4-56-G-M</t>
  </si>
  <si>
    <t>DB60-4-56-G</t>
  </si>
  <si>
    <t>DB60-4-56-G-M</t>
  </si>
  <si>
    <t>DB72-4-56-G</t>
  </si>
  <si>
    <t>DB72-4-56-G-M</t>
  </si>
  <si>
    <t>EUR-MDB24OR</t>
  </si>
  <si>
    <t>EUR-MDB24O2MC</t>
  </si>
  <si>
    <t>EUR-MDB36OR</t>
  </si>
  <si>
    <t>EUR-MDB36O2MC</t>
  </si>
  <si>
    <t>EUR-MDB48OR</t>
  </si>
  <si>
    <t>EUR-MDB48O2MC</t>
  </si>
  <si>
    <t>EUR-MDB60OR</t>
  </si>
  <si>
    <t>EUR-MDB60O2MC</t>
  </si>
  <si>
    <t>EUR-MDB72OR</t>
  </si>
  <si>
    <t>EUR-MDB72O2MC</t>
  </si>
  <si>
    <t>EUR-MDB24OR/WP</t>
  </si>
  <si>
    <t>EUR-MDB24O2MCWP</t>
  </si>
  <si>
    <t>EUR-MDB36OR/WP</t>
  </si>
  <si>
    <t>EUR-MDB36O2MCWP</t>
  </si>
  <si>
    <t>EUR-MDB48OR/WP</t>
  </si>
  <si>
    <t>EUR-MDB48O2MCWP</t>
  </si>
  <si>
    <t>EUR-MDB60OR/WP</t>
  </si>
  <si>
    <t>EUR-MDB60O2MCWP</t>
  </si>
  <si>
    <t>EUR-MDB72OR/WP</t>
  </si>
  <si>
    <t>EUR-MDB72O2MCWP</t>
  </si>
  <si>
    <t>EUR-MDB24O4NA</t>
  </si>
  <si>
    <t>EUR-MDB24O4MC</t>
  </si>
  <si>
    <t>EUR-MDB36O4NA</t>
  </si>
  <si>
    <t>EUR-MDB36O4MC</t>
  </si>
  <si>
    <t>EUR-MDB48O4NA</t>
  </si>
  <si>
    <t>EUR-MDB48O4MC</t>
  </si>
  <si>
    <t>EUR-MDB60O4NA</t>
  </si>
  <si>
    <t>EUR-MDB60O4MC</t>
  </si>
  <si>
    <t>EUR-MDB72O4NA</t>
  </si>
  <si>
    <t>EUR-MDB72O4MC</t>
  </si>
  <si>
    <t>EUR-MDB24O4NAWP</t>
  </si>
  <si>
    <t>EUR-MDB24O4MCWP</t>
  </si>
  <si>
    <t>EUR-MDB36O4NAWP</t>
  </si>
  <si>
    <t>EUR-MDB36O4MCWP</t>
  </si>
  <si>
    <t>EUR-MDB48O4NAWP</t>
  </si>
  <si>
    <t>EUR-MDB48O4MCWP</t>
  </si>
  <si>
    <t>EUR-MDB60O4NAWP</t>
  </si>
  <si>
    <t>EUR-MDB60O4MCWP</t>
  </si>
  <si>
    <t>EUR-MDB72O4NAWP</t>
  </si>
  <si>
    <t>EUR-MDB72O4MCWP</t>
  </si>
  <si>
    <t>EUR-MDB24G</t>
  </si>
  <si>
    <t>EUR-MDB24G2MC</t>
  </si>
  <si>
    <t>EUR-MDB36G</t>
  </si>
  <si>
    <t>EUR-MDB36G2MC</t>
  </si>
  <si>
    <t>EUR-MDB48G</t>
  </si>
  <si>
    <t>EUR-MDB48G2MC</t>
  </si>
  <si>
    <t>EUR-MDB60G</t>
  </si>
  <si>
    <t>EUR-MDB60G2MC</t>
  </si>
  <si>
    <t>EUR-MDB72G</t>
  </si>
  <si>
    <t>EUR-MDB72G2MC</t>
  </si>
  <si>
    <t>EUR-MDB24G/WP</t>
  </si>
  <si>
    <t>EUR-MDB24G2MCWP</t>
  </si>
  <si>
    <t>EUR-MDB36G/WP</t>
  </si>
  <si>
    <t>EUR-MDB36G2MCWP</t>
  </si>
  <si>
    <t>EUR-MDB48G/WP</t>
  </si>
  <si>
    <t>EUR-MDB48G2MCWP</t>
  </si>
  <si>
    <t>EUR-MDB60G/WP</t>
  </si>
  <si>
    <t>EUR-MDB60G2MCWP</t>
  </si>
  <si>
    <t>EUR-MDB72G/WP</t>
  </si>
  <si>
    <t>EUR-MDB72G2MCWP</t>
  </si>
  <si>
    <t>EUR-MDB24G4NA</t>
  </si>
  <si>
    <t>EUR-MDB24G4MC</t>
  </si>
  <si>
    <t>EUR-MDB36G4NA</t>
  </si>
  <si>
    <t>EUR-MDB36G4MC</t>
  </si>
  <si>
    <t>EUR-MDB48G4NA</t>
  </si>
  <si>
    <t>EUR-MDB48G4MC</t>
  </si>
  <si>
    <t>EUR-MDB60G4NA</t>
  </si>
  <si>
    <t>EUR-MDB60G4MC</t>
  </si>
  <si>
    <t>EUR-MDB72G4NA</t>
  </si>
  <si>
    <t>EUR-MDB72G4MC</t>
  </si>
  <si>
    <t>EUR-MDB24G4NAWP</t>
  </si>
  <si>
    <t>EUR-MDB24G4MCWP</t>
  </si>
  <si>
    <t>EUR-MDB36G4NAWP</t>
  </si>
  <si>
    <t>EUR-MDB36G4MCWP</t>
  </si>
  <si>
    <t>EUR-MDB48G4NAWP</t>
  </si>
  <si>
    <t>EUR-MDB48G4MCWP</t>
  </si>
  <si>
    <t>EUR-MDB60G4NAWP</t>
  </si>
  <si>
    <t>EUR-MDB60G4MCWP</t>
  </si>
  <si>
    <t>EUR-MDB72G4NAWP</t>
  </si>
  <si>
    <t>EUR-MDB72G4MCWP</t>
  </si>
  <si>
    <t>MS3100</t>
  </si>
  <si>
    <t>¶</t>
  </si>
  <si>
    <t>MSSBS</t>
  </si>
  <si>
    <t>Part No.
[Fan]</t>
  </si>
  <si>
    <t>Yes</t>
  </si>
  <si>
    <t>No</t>
  </si>
  <si>
    <t>$</t>
  </si>
  <si>
    <t>t</t>
  </si>
  <si>
    <t>Facet</t>
  </si>
  <si>
    <t>[OVERIDE] Hours</t>
  </si>
  <si>
    <t xml:space="preserve">cabling to fan and control panel (from Builder's Electrician's isolator) and local isolator, </t>
  </si>
  <si>
    <t xml:space="preserve">CB and cabling to fan from MSSB, and local isolator, </t>
  </si>
  <si>
    <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</si>
  <si>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</si>
  <si>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</si>
  <si>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</si>
  <si>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</si>
  <si>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</si>
  <si>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</si>
  <si>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</si>
  <si>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</si>
  <si>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</si>
  <si>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</si>
  <si>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</si>
  <si>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</si>
  <si>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Split AC systems</t>
  </si>
  <si>
    <t>VRF Central Controller</t>
  </si>
  <si>
    <t>VRF Indoor units</t>
  </si>
  <si>
    <t>VRF Outdoor units</t>
  </si>
  <si>
    <t>Field Wiring by Customer</t>
  </si>
  <si>
    <t>Ducted</t>
  </si>
  <si>
    <t>Power System</t>
  </si>
  <si>
    <t>Run &amp; Fault Lights</t>
  </si>
  <si>
    <t>Multiheaded</t>
  </si>
  <si>
    <t>Run status from unit to system</t>
  </si>
  <si>
    <t>PAC</t>
  </si>
  <si>
    <t>VRF</t>
  </si>
  <si>
    <t>VRFC</t>
  </si>
  <si>
    <t>SPLT</t>
  </si>
  <si>
    <t>VRFI</t>
  </si>
  <si>
    <t>VRFO</t>
  </si>
  <si>
    <t>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</si>
</sst>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 &quot;hrs&quot;"/>
    <numFmt numFmtId="169" formatCode="&quot;$&quot;####.00&quot;/hr&quot;"/>
    <numFmt numFmtId="170" formatCode="0.0%"/>
    <numFmt numFmtId="171" formatCode="####.0\ &quot;hrs&quot;"/>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b/>
      <sz val="11"/>
      <color theme="1"/>
      <name val="Consolas"/>
      <family val="3"/>
    </font>
    <font>
      <sz val="11"/>
      <color theme="1"/>
      <name val="Consolas"/>
      <family val="3"/>
    </font>
  </fonts>
  <fills count="27">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s>
  <borders count="24">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42" fontId="23" fillId="0" borderId="0" applyFont="0" applyFill="0" applyBorder="0" applyAlignment="0" applyProtection="0"/>
    <xf numFmtId="0" fontId="24" fillId="25" borderId="21" applyNumberFormat="0" applyAlignment="0" applyProtection="0"/>
    <xf numFmtId="9" fontId="23" fillId="0" borderId="0" applyFont="0" applyFill="0" applyBorder="0" applyAlignment="0" applyProtection="0"/>
    <xf numFmtId="44" fontId="23" fillId="0" borderId="0" applyFont="0" applyFill="0" applyBorder="0" applyAlignment="0" applyProtection="0"/>
    <xf numFmtId="0" fontId="26" fillId="26" borderId="0" applyNumberFormat="0" applyBorder="0" applyAlignment="0" applyProtection="0"/>
    <xf numFmtId="43" fontId="23" fillId="0" borderId="0" applyFont="0" applyFill="0" applyBorder="0" applyAlignment="0" applyProtection="0"/>
  </cellStyleXfs>
  <cellXfs count="350">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6" fillId="4" borderId="2" xfId="0" applyFont="1" applyFill="1" applyBorder="1" applyAlignment="1">
      <alignment vertical="center" wrapText="1"/>
    </xf>
    <xf numFmtId="0" fontId="7" fillId="4" borderId="2" xfId="0" applyFont="1" applyFill="1" applyBorder="1" applyAlignment="1">
      <alignment vertical="center" wrapText="1"/>
    </xf>
    <xf numFmtId="0" fontId="6" fillId="4" borderId="3" xfId="0" applyFont="1" applyFill="1" applyBorder="1" applyAlignment="1">
      <alignment vertical="center" wrapText="1"/>
    </xf>
    <xf numFmtId="0" fontId="7" fillId="4" borderId="3" xfId="0" applyFont="1" applyFill="1" applyBorder="1" applyAlignment="1">
      <alignment vertical="center" wrapText="1"/>
    </xf>
    <xf numFmtId="0" fontId="0" fillId="5" borderId="0" xfId="0" applyFill="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4" fillId="6" borderId="1" xfId="0" applyFont="1" applyFill="1" applyBorder="1" applyAlignment="1">
      <alignment wrapText="1"/>
    </xf>
    <xf numFmtId="0" fontId="0" fillId="11" borderId="1" xfId="0" applyFill="1" applyBorder="1"/>
    <xf numFmtId="0" fontId="8" fillId="7" borderId="0" xfId="0" applyFont="1" applyFill="1" applyAlignment="1">
      <alignment wrapText="1"/>
    </xf>
    <xf numFmtId="0" fontId="8" fillId="7" borderId="0" xfId="0" applyFont="1" applyFill="1" applyAlignment="1">
      <alignment vertical="top" wrapText="1"/>
    </xf>
    <xf numFmtId="44" fontId="0" fillId="8" borderId="0" xfId="0" applyNumberFormat="1" applyFill="1" applyBorder="1"/>
    <xf numFmtId="0" fontId="0" fillId="0" borderId="0" xfId="0"/>
    <xf numFmtId="0" fontId="2" fillId="0" borderId="0" xfId="0" applyFont="1"/>
    <xf numFmtId="0" fontId="5" fillId="0" borderId="0" xfId="0" applyFont="1"/>
    <xf numFmtId="0" fontId="3" fillId="0" borderId="0" xfId="0" applyFont="1"/>
    <xf numFmtId="164" fontId="0" fillId="0" borderId="0" xfId="0" applyNumberFormat="1"/>
    <xf numFmtId="0" fontId="5" fillId="0" borderId="1" xfId="0" applyFont="1" applyBorder="1"/>
    <xf numFmtId="0" fontId="0" fillId="0" borderId="1" xfId="0" applyBorder="1"/>
    <xf numFmtId="0" fontId="0" fillId="9" borderId="0" xfId="0" applyFill="1"/>
    <xf numFmtId="0" fontId="2" fillId="9" borderId="0" xfId="0" applyFont="1" applyFill="1"/>
    <xf numFmtId="164" fontId="2"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9" fillId="9" borderId="0" xfId="0" applyFont="1" applyFill="1"/>
    <xf numFmtId="0" fontId="10" fillId="9" borderId="0" xfId="0" applyFont="1" applyFill="1"/>
    <xf numFmtId="164" fontId="10"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5"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1"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0" fillId="19" borderId="0" xfId="0" applyFill="1" applyBorder="1"/>
    <xf numFmtId="0" fontId="12" fillId="19" borderId="0" xfId="0" applyFont="1" applyFill="1" applyBorder="1"/>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5"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5"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4"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5"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1"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5" fillId="21" borderId="1" xfId="0" applyFont="1" applyFill="1" applyBorder="1" applyAlignment="1">
      <alignment wrapText="1"/>
    </xf>
    <xf numFmtId="164" fontId="11" fillId="0" borderId="6" xfId="0" applyNumberFormat="1" applyFont="1" applyBorder="1"/>
    <xf numFmtId="44" fontId="0" fillId="13" borderId="4" xfId="0" applyNumberFormat="1" applyFill="1" applyBorder="1"/>
    <xf numFmtId="0" fontId="5"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5" fillId="19" borderId="14" xfId="0" applyNumberFormat="1" applyFont="1" applyFill="1" applyBorder="1"/>
    <xf numFmtId="44" fontId="15"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6" fillId="17" borderId="0" xfId="0" applyFont="1" applyFill="1"/>
    <xf numFmtId="0" fontId="17" fillId="13" borderId="0" xfId="0" applyFont="1" applyFill="1"/>
    <xf numFmtId="44" fontId="17" fillId="13" borderId="11" xfId="0" applyNumberFormat="1" applyFont="1" applyFill="1" applyBorder="1"/>
    <xf numFmtId="44" fontId="17" fillId="13" borderId="13" xfId="0" applyNumberFormat="1" applyFont="1" applyFill="1" applyBorder="1"/>
    <xf numFmtId="0" fontId="17" fillId="13" borderId="9" xfId="0" applyFont="1" applyFill="1" applyBorder="1"/>
    <xf numFmtId="0" fontId="17" fillId="13" borderId="15" xfId="0" applyFont="1" applyFill="1" applyBorder="1"/>
    <xf numFmtId="0" fontId="17" fillId="13" borderId="11" xfId="0" applyFont="1" applyFill="1" applyBorder="1"/>
    <xf numFmtId="0" fontId="17" fillId="13" borderId="1" xfId="0" applyFont="1" applyFill="1" applyBorder="1"/>
    <xf numFmtId="0" fontId="16" fillId="0" borderId="0" xfId="0" applyFont="1"/>
    <xf numFmtId="0" fontId="18" fillId="0" borderId="1" xfId="0" applyFont="1" applyBorder="1"/>
    <xf numFmtId="164" fontId="18" fillId="0" borderId="1" xfId="0" applyNumberFormat="1" applyFont="1" applyBorder="1"/>
    <xf numFmtId="0" fontId="18" fillId="3" borderId="0" xfId="0" applyFont="1" applyFill="1" applyAlignment="1">
      <alignment wrapText="1"/>
    </xf>
    <xf numFmtId="0" fontId="16" fillId="8" borderId="0" xfId="0" applyFont="1" applyFill="1"/>
    <xf numFmtId="0" fontId="16" fillId="0" borderId="0" xfId="0" applyFont="1" applyAlignment="1">
      <alignment wrapText="1"/>
    </xf>
    <xf numFmtId="0" fontId="16" fillId="21" borderId="0" xfId="0" applyFont="1" applyFill="1"/>
    <xf numFmtId="0" fontId="16" fillId="12" borderId="0" xfId="0" applyFont="1" applyFill="1"/>
    <xf numFmtId="0" fontId="16" fillId="2" borderId="0" xfId="0" applyFont="1" applyFill="1"/>
    <xf numFmtId="0" fontId="16" fillId="0" borderId="1" xfId="0" applyFont="1" applyBorder="1" applyAlignment="1">
      <alignment wrapText="1"/>
    </xf>
    <xf numFmtId="0" fontId="18" fillId="3" borderId="1" xfId="0" applyFont="1" applyFill="1" applyBorder="1" applyAlignment="1">
      <alignment wrapText="1"/>
    </xf>
    <xf numFmtId="0" fontId="16" fillId="0" borderId="1" xfId="0" applyFont="1" applyBorder="1"/>
    <xf numFmtId="0" fontId="16" fillId="8" borderId="1" xfId="0" applyFont="1" applyFill="1" applyBorder="1"/>
    <xf numFmtId="0" fontId="19" fillId="0" borderId="1" xfId="0" applyFont="1" applyBorder="1"/>
    <xf numFmtId="0" fontId="13" fillId="3" borderId="1" xfId="0" applyFont="1" applyFill="1" applyBorder="1" applyAlignment="1">
      <alignment wrapText="1"/>
    </xf>
    <xf numFmtId="0" fontId="19" fillId="8" borderId="1" xfId="0" applyFont="1" applyFill="1" applyBorder="1"/>
    <xf numFmtId="0" fontId="19" fillId="0" borderId="0" xfId="0" applyFont="1"/>
    <xf numFmtId="0" fontId="13" fillId="0" borderId="1" xfId="0" applyFont="1" applyBorder="1"/>
    <xf numFmtId="10" fontId="13" fillId="0" borderId="1" xfId="0" applyNumberFormat="1" applyFont="1" applyBorder="1"/>
    <xf numFmtId="0" fontId="13" fillId="3" borderId="0" xfId="0" applyFont="1" applyFill="1" applyAlignment="1">
      <alignment wrapText="1"/>
    </xf>
    <xf numFmtId="0" fontId="19" fillId="8" borderId="0" xfId="0" applyFont="1" applyFill="1"/>
    <xf numFmtId="164" fontId="11" fillId="0" borderId="0" xfId="0" applyNumberFormat="1" applyFont="1"/>
    <xf numFmtId="44" fontId="18"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6" fillId="13" borderId="1" xfId="0" applyFont="1" applyFill="1" applyBorder="1"/>
    <xf numFmtId="0" fontId="16" fillId="13" borderId="1" xfId="0" applyFont="1" applyFill="1" applyBorder="1" applyAlignment="1">
      <alignment wrapText="1"/>
    </xf>
    <xf numFmtId="44" fontId="16" fillId="13" borderId="1" xfId="0" applyNumberFormat="1" applyFont="1" applyFill="1" applyBorder="1"/>
    <xf numFmtId="164" fontId="11" fillId="13" borderId="1" xfId="0" applyNumberFormat="1" applyFont="1" applyFill="1" applyBorder="1"/>
    <xf numFmtId="0" fontId="16" fillId="0" borderId="8" xfId="0" applyFont="1" applyBorder="1" applyAlignment="1">
      <alignment wrapText="1"/>
    </xf>
    <xf numFmtId="0" fontId="0" fillId="0" borderId="5" xfId="0" applyBorder="1"/>
    <xf numFmtId="0" fontId="13" fillId="3" borderId="5" xfId="0" applyFont="1" applyFill="1" applyBorder="1" applyAlignment="1">
      <alignment wrapText="1"/>
    </xf>
    <xf numFmtId="0" fontId="16" fillId="7" borderId="1" xfId="0" applyFont="1" applyFill="1" applyBorder="1" applyAlignment="1">
      <alignment wrapText="1"/>
    </xf>
    <xf numFmtId="0" fontId="19" fillId="0" borderId="17" xfId="0" applyFont="1" applyBorder="1"/>
    <xf numFmtId="0" fontId="19" fillId="0" borderId="6" xfId="0" applyFont="1" applyBorder="1"/>
    <xf numFmtId="0" fontId="19" fillId="17" borderId="7" xfId="0" applyFont="1" applyFill="1" applyBorder="1"/>
    <xf numFmtId="0" fontId="16" fillId="0" borderId="6" xfId="0" applyFont="1" applyBorder="1" applyAlignment="1">
      <alignment wrapText="1"/>
    </xf>
    <xf numFmtId="44" fontId="19" fillId="13" borderId="17" xfId="0" applyNumberFormat="1" applyFont="1" applyFill="1" applyBorder="1"/>
    <xf numFmtId="44" fontId="0" fillId="19" borderId="6" xfId="0" applyNumberFormat="1" applyFill="1" applyBorder="1"/>
    <xf numFmtId="44" fontId="19" fillId="13" borderId="18" xfId="0" applyNumberFormat="1" applyFont="1" applyFill="1" applyBorder="1"/>
    <xf numFmtId="44" fontId="19" fillId="13" borderId="19" xfId="0" applyNumberFormat="1" applyFont="1" applyFill="1" applyBorder="1"/>
    <xf numFmtId="44" fontId="0" fillId="21" borderId="6" xfId="0" applyNumberFormat="1" applyFill="1" applyBorder="1"/>
    <xf numFmtId="44" fontId="19" fillId="13" borderId="20" xfId="0" applyNumberFormat="1" applyFont="1" applyFill="1" applyBorder="1"/>
    <xf numFmtId="0" fontId="0" fillId="0" borderId="5" xfId="0" applyBorder="1" applyAlignment="1">
      <alignment wrapText="1"/>
    </xf>
    <xf numFmtId="0" fontId="5" fillId="3" borderId="5" xfId="0" applyFont="1" applyFill="1" applyBorder="1" applyAlignment="1">
      <alignment wrapText="1"/>
    </xf>
    <xf numFmtId="0" fontId="16" fillId="17" borderId="1" xfId="0" applyFont="1" applyFill="1" applyBorder="1"/>
    <xf numFmtId="0" fontId="0" fillId="17" borderId="1" xfId="0" applyFill="1" applyBorder="1"/>
    <xf numFmtId="164" fontId="2" fillId="0" borderId="1" xfId="0" applyNumberFormat="1" applyFont="1" applyBorder="1"/>
    <xf numFmtId="0" fontId="0" fillId="13" borderId="1" xfId="0" applyFill="1" applyBorder="1"/>
    <xf numFmtId="0" fontId="16" fillId="0" borderId="1" xfId="0" applyFont="1" applyBorder="1" applyAlignment="1">
      <alignment horizontal="center" vertical="center"/>
    </xf>
    <xf numFmtId="0" fontId="16" fillId="17" borderId="1" xfId="0" applyFont="1" applyFill="1" applyBorder="1" applyAlignment="1">
      <alignment horizontal="center" vertical="center"/>
    </xf>
    <xf numFmtId="0" fontId="16" fillId="0" borderId="1" xfId="0" applyFont="1" applyBorder="1" applyAlignment="1">
      <alignment horizontal="center" vertical="center" wrapText="1"/>
    </xf>
    <xf numFmtId="0" fontId="14" fillId="22" borderId="1" xfId="0" applyFont="1" applyFill="1" applyBorder="1" applyAlignment="1">
      <alignment horizontal="center" wrapText="1"/>
    </xf>
    <xf numFmtId="0" fontId="21" fillId="0" borderId="1" xfId="0" applyFont="1" applyBorder="1" applyAlignment="1">
      <alignment horizontal="center" vertical="center"/>
    </xf>
    <xf numFmtId="0" fontId="21" fillId="0" borderId="0" xfId="0" applyFont="1" applyAlignment="1">
      <alignment horizontal="center" vertical="center"/>
    </xf>
    <xf numFmtId="0" fontId="21" fillId="8" borderId="0" xfId="0" applyFont="1" applyFill="1" applyAlignment="1">
      <alignment horizontal="center" vertical="center"/>
    </xf>
    <xf numFmtId="0" fontId="0" fillId="24" borderId="0" xfId="0" applyFill="1"/>
    <xf numFmtId="0" fontId="16" fillId="24" borderId="0" xfId="0" applyFont="1" applyFill="1"/>
    <xf numFmtId="0" fontId="5" fillId="24" borderId="0" xfId="0" applyFont="1" applyFill="1" applyAlignment="1">
      <alignment wrapText="1"/>
    </xf>
    <xf numFmtId="0" fontId="8" fillId="24" borderId="0" xfId="0" applyFont="1" applyFill="1"/>
    <xf numFmtId="0" fontId="14" fillId="22" borderId="1" xfId="0" applyFont="1" applyFill="1" applyBorder="1" applyAlignment="1">
      <alignment horizontal="center" vertical="center" wrapText="1"/>
    </xf>
    <xf numFmtId="0" fontId="14" fillId="13" borderId="1" xfId="0" applyFont="1" applyFill="1" applyBorder="1" applyAlignment="1">
      <alignment horizontal="center" vertical="center"/>
    </xf>
    <xf numFmtId="0" fontId="14" fillId="24" borderId="0" xfId="0" applyFont="1" applyFill="1" applyAlignment="1">
      <alignment horizontal="center" vertical="center"/>
    </xf>
    <xf numFmtId="0" fontId="14" fillId="22" borderId="1" xfId="0" quotePrefix="1" applyFont="1" applyFill="1" applyBorder="1" applyAlignment="1">
      <alignment horizontal="center" vertical="center" wrapText="1"/>
    </xf>
    <xf numFmtId="0" fontId="14" fillId="13" borderId="1" xfId="0" quotePrefix="1" applyFont="1" applyFill="1" applyBorder="1" applyAlignment="1">
      <alignment horizontal="center" vertical="center"/>
    </xf>
    <xf numFmtId="0" fontId="14" fillId="17" borderId="1" xfId="0" quotePrefix="1" applyFont="1" applyFill="1" applyBorder="1" applyAlignment="1">
      <alignment horizontal="center" vertical="center"/>
    </xf>
    <xf numFmtId="22" fontId="22"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4" fillId="22" borderId="1" xfId="1" applyFont="1" applyFill="1" applyBorder="1" applyAlignment="1">
      <alignment horizontal="center" wrapText="1"/>
    </xf>
    <xf numFmtId="42" fontId="5" fillId="3" borderId="0" xfId="1" applyFont="1" applyFill="1" applyAlignment="1">
      <alignment wrapText="1"/>
    </xf>
    <xf numFmtId="42" fontId="0" fillId="8" borderId="0" xfId="1" applyFont="1" applyFill="1"/>
    <xf numFmtId="42" fontId="16" fillId="13" borderId="1" xfId="1" applyFont="1" applyFill="1" applyBorder="1"/>
    <xf numFmtId="0" fontId="0" fillId="0" borderId="0" xfId="0" applyAlignment="1">
      <alignment wrapText="1"/>
    </xf>
    <xf numFmtId="0" fontId="0" fillId="8" borderId="0" xfId="0" applyFill="1" applyAlignment="1">
      <alignment wrapText="1"/>
    </xf>
    <xf numFmtId="44" fontId="16" fillId="13" borderId="1" xfId="0" applyNumberFormat="1" applyFont="1" applyFill="1" applyBorder="1" applyAlignment="1">
      <alignment wrapText="1"/>
    </xf>
    <xf numFmtId="0" fontId="13" fillId="3" borderId="1" xfId="0" applyFont="1" applyFill="1" applyBorder="1" applyAlignment="1">
      <alignment horizontal="center" vertical="center" wrapText="1"/>
    </xf>
    <xf numFmtId="0" fontId="24" fillId="25" borderId="21" xfId="2"/>
    <xf numFmtId="10" fontId="24" fillId="25" borderId="21" xfId="2" applyNumberFormat="1"/>
    <xf numFmtId="0" fontId="24" fillId="25" borderId="21" xfId="2" applyAlignment="1">
      <alignment wrapText="1"/>
    </xf>
    <xf numFmtId="0" fontId="24" fillId="25" borderId="21" xfId="2" applyAlignment="1">
      <alignment horizontal="center" wrapText="1"/>
    </xf>
    <xf numFmtId="44" fontId="24" fillId="25" borderId="21" xfId="2" applyNumberFormat="1"/>
    <xf numFmtId="42" fontId="24" fillId="25" borderId="21" xfId="2" applyNumberFormat="1"/>
    <xf numFmtId="42" fontId="0" fillId="0" borderId="0" xfId="0" applyNumberFormat="1"/>
    <xf numFmtId="0" fontId="14" fillId="3" borderId="1" xfId="0" applyFont="1" applyFill="1" applyBorder="1" applyAlignment="1">
      <alignment horizontal="center" vertical="center" wrapText="1"/>
    </xf>
    <xf numFmtId="0" fontId="14" fillId="0" borderId="1" xfId="0" applyFont="1" applyBorder="1" applyAlignment="1">
      <alignment horizontal="center" vertical="center"/>
    </xf>
    <xf numFmtId="42" fontId="24" fillId="25" borderId="21" xfId="1" applyFont="1" applyFill="1" applyBorder="1"/>
    <xf numFmtId="9" fontId="0" fillId="0" borderId="0" xfId="3" applyFont="1"/>
    <xf numFmtId="168" fontId="24" fillId="25" borderId="21" xfId="2" applyNumberFormat="1"/>
    <xf numFmtId="169" fontId="0" fillId="0" borderId="0" xfId="0" applyNumberFormat="1"/>
    <xf numFmtId="0" fontId="0" fillId="0" borderId="0" xfId="0" applyFill="1" applyBorder="1"/>
    <xf numFmtId="44" fontId="0" fillId="0" borderId="0" xfId="0" applyNumberFormat="1"/>
    <xf numFmtId="42" fontId="25" fillId="25" borderId="21" xfId="1" applyFont="1" applyFill="1" applyBorder="1"/>
    <xf numFmtId="44" fontId="0" fillId="0" borderId="0" xfId="4" applyFont="1"/>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6" fillId="26" borderId="21" xfId="5" applyBorder="1"/>
    <xf numFmtId="0" fontId="24" fillId="25" borderId="21" xfId="2" applyAlignment="1">
      <alignment horizontal="right"/>
    </xf>
    <xf numFmtId="0" fontId="24" fillId="25" borderId="21" xfId="2" applyAlignment="1">
      <alignment horizontal="center"/>
    </xf>
    <xf numFmtId="170" fontId="0" fillId="0" borderId="0" xfId="3" applyNumberFormat="1" applyFont="1"/>
    <xf numFmtId="171" fontId="0" fillId="0" borderId="0" xfId="0" applyNumberFormat="1"/>
    <xf numFmtId="44" fontId="2" fillId="0" borderId="0" xfId="4" applyFont="1"/>
    <xf numFmtId="0" fontId="0" fillId="0" borderId="0" xfId="0" applyAlignment="1"/>
    <xf numFmtId="0" fontId="0" fillId="0" borderId="0" xfId="0" applyFont="1" applyBorder="1"/>
    <xf numFmtId="43" fontId="0" fillId="0" borderId="0" xfId="6" applyFont="1"/>
    <xf numFmtId="0" fontId="0" fillId="0" borderId="0" xfId="0" applyFont="1" applyFill="1" applyBorder="1"/>
    <xf numFmtId="0" fontId="0" fillId="0" borderId="0" xfId="0" applyAlignment="1">
      <alignment horizontal="center"/>
    </xf>
    <xf numFmtId="0" fontId="2" fillId="0" borderId="0" xfId="0" applyFont="1" applyAlignment="1">
      <alignment horizontal="center" vertical="top"/>
    </xf>
    <xf numFmtId="0" fontId="2" fillId="0" borderId="0" xfId="0" applyFont="1" applyAlignment="1">
      <alignment horizontal="center" vertical="top" wrapText="1"/>
    </xf>
    <xf numFmtId="0" fontId="24" fillId="25" borderId="21" xfId="2" applyAlignment="1">
      <alignment horizontal="center" vertical="center"/>
    </xf>
    <xf numFmtId="0" fontId="24" fillId="25" borderId="21" xfId="2" applyAlignment="1">
      <alignment horizontal="center" vertical="center" wrapText="1"/>
    </xf>
    <xf numFmtId="0" fontId="0" fillId="0" borderId="0" xfId="0" applyFont="1"/>
    <xf numFmtId="44" fontId="0" fillId="19" borderId="1" xfId="0" applyNumberFormat="1" applyFill="1" applyBorder="1" applyAlignment="1">
      <alignment horizontal="center"/>
    </xf>
    <xf numFmtId="0" fontId="5" fillId="3" borderId="1" xfId="0" applyFont="1" applyFill="1" applyBorder="1" applyAlignment="1">
      <alignment horizontal="center" wrapText="1"/>
    </xf>
    <xf numFmtId="44" fontId="0" fillId="19" borderId="1" xfId="0" applyNumberFormat="1" applyFill="1" applyBorder="1" applyAlignment="1">
      <alignment horizontal="right"/>
    </xf>
    <xf numFmtId="0" fontId="5"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4" fillId="0" borderId="1" xfId="0" applyFont="1" applyBorder="1" applyAlignment="1">
      <alignment horizontal="center"/>
    </xf>
    <xf numFmtId="0" fontId="13" fillId="0" borderId="1" xfId="0" applyFont="1" applyBorder="1" applyAlignment="1">
      <alignment horizontal="center"/>
    </xf>
    <xf numFmtId="14" fontId="20" fillId="0" borderId="1" xfId="0" applyNumberFormat="1" applyFont="1" applyBorder="1" applyAlignment="1">
      <alignment horizontal="center"/>
    </xf>
    <xf numFmtId="0" fontId="20" fillId="0" borderId="1" xfId="0" applyFont="1" applyBorder="1" applyAlignment="1">
      <alignment horizontal="center" vertical="center"/>
    </xf>
    <xf numFmtId="0" fontId="16" fillId="0" borderId="0" xfId="0" applyFont="1" applyAlignment="1">
      <alignment horizontal="center"/>
    </xf>
    <xf numFmtId="0" fontId="14" fillId="0" borderId="1" xfId="0" applyFont="1" applyBorder="1" applyAlignment="1">
      <alignment horizontal="center" vertical="center"/>
    </xf>
    <xf numFmtId="0" fontId="20" fillId="0" borderId="1" xfId="0" applyFont="1" applyBorder="1" applyAlignment="1">
      <alignment horizontal="center"/>
    </xf>
    <xf numFmtId="44" fontId="2" fillId="0" borderId="0" xfId="4" applyFont="1" applyAlignment="1">
      <alignment horizontal="center" vertical="top"/>
    </xf>
    <xf numFmtId="0" fontId="27" fillId="0" borderId="0" xfId="0" applyFont="1" applyAlignment="1">
      <alignment horizontal="center" vertical="top"/>
    </xf>
    <xf numFmtId="44" fontId="27" fillId="0" borderId="0" xfId="4" applyFont="1" applyAlignment="1">
      <alignment horizontal="center" vertical="top"/>
    </xf>
    <xf numFmtId="0" fontId="27" fillId="0" borderId="0" xfId="0" applyFont="1" applyAlignment="1">
      <alignment horizontal="center" vertical="top" wrapText="1"/>
    </xf>
    <xf numFmtId="0" fontId="27" fillId="0" borderId="0" xfId="0" applyFont="1" applyAlignment="1">
      <alignment horizontal="center" vertical="center"/>
    </xf>
    <xf numFmtId="0" fontId="28" fillId="0" borderId="0" xfId="0" applyFont="1" applyAlignment="1">
      <alignment horizontal="center"/>
    </xf>
    <xf numFmtId="0" fontId="28" fillId="0" borderId="0" xfId="0" applyFont="1"/>
    <xf numFmtId="44" fontId="28" fillId="0" borderId="0" xfId="4" applyFont="1"/>
    <xf numFmtId="0" fontId="2" fillId="0" borderId="22" xfId="0" applyFont="1" applyBorder="1" applyAlignment="1">
      <alignment horizontal="center" vertical="top" wrapText="1"/>
    </xf>
    <xf numFmtId="0" fontId="0" fillId="0" borderId="23" xfId="0" applyBorder="1"/>
    <xf numFmtId="0" fontId="2" fillId="0" borderId="22" xfId="0" applyFont="1" applyBorder="1" applyAlignment="1">
      <alignment horizontal="center" vertical="center"/>
    </xf>
    <xf numFmtId="0" fontId="28" fillId="0" borderId="23" xfId="0" applyFont="1" applyBorder="1"/>
  </cellXfs>
  <cellStyles count="7">
    <cellStyle name="Accent5" xfId="5" builtinId="45"/>
    <cellStyle name="Calculation" xfId="2" builtinId="22"/>
    <cellStyle name="Comma" xfId="6" builtinId="3"/>
    <cellStyle name="Currency" xfId="4" builtinId="4"/>
    <cellStyle name="Currency [0]" xfId="1" builtinId="7"/>
    <cellStyle name="Normal" xfId="0" builtinId="0"/>
    <cellStyle name="Percent" xfId="3" builtinId="5"/>
  </cellStyles>
  <dxfs count="344">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61728.333333333336</c:v>
                </c:pt>
                <c:pt idx="1">
                  <c:v>81253.549777777807</c:v>
                </c:pt>
                <c:pt idx="2">
                  <c:v>0</c:v>
                </c:pt>
                <c:pt idx="3">
                  <c:v>41101.544000000111</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Summary'!$D$8:$D$11</c:f>
              <c:strCache>
                <c:ptCount val="4"/>
                <c:pt idx="0">
                  <c:v>Install Labour (Hrs)</c:v>
                </c:pt>
                <c:pt idx="1">
                  <c:v>Project Management (Hrs)</c:v>
                </c:pt>
                <c:pt idx="2">
                  <c:v>Site Supervision (Hrs)</c:v>
                </c:pt>
                <c:pt idx="3">
                  <c:v>Drafting (Hrs)</c:v>
                </c:pt>
              </c:strCache>
            </c:strRef>
          </c:cat>
          <c:val>
            <c:numRef>
              <c:f>'Job Summary'!$E$8:$E$11</c:f>
              <c:numCache>
                <c:formatCode>####.0\ "hrs"</c:formatCode>
                <c:ptCount val="4"/>
                <c:pt idx="0">
                  <c:v>546</c:v>
                </c:pt>
                <c:pt idx="1">
                  <c:v>30.333333333333336</c:v>
                </c:pt>
                <c:pt idx="2">
                  <c:v>91</c:v>
                </c:pt>
                <c:pt idx="3">
                  <c:v>91</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383719</xdr:colOff>
      <xdr:row>12</xdr:row>
      <xdr:rowOff>185057</xdr:rowOff>
    </xdr:from>
    <xdr:to>
      <xdr:col>8</xdr:col>
      <xdr:colOff>372834</xdr:colOff>
      <xdr:row>31</xdr:row>
      <xdr:rowOff>16329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17</xdr:col>
      <xdr:colOff>10887</xdr:colOff>
      <xdr:row>31</xdr:row>
      <xdr:rowOff>16329</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J7" sqref="A1:XFD1048576"/>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235626.78670222242</v>
      </c>
      <c r="D1" s="310" t="s">
        <v>792</v>
      </c>
      <c r="E1" s="114" t="s">
        <v>793</v>
      </c>
    </row>
    <row r="2" spans="1:7" x14ac:dyDescent="0.4">
      <c r="A2" s="114" t="s">
        <v>749</v>
      </c>
      <c r="B2" s="302">
        <f>B13*B5</f>
        <v>5522.5028133333381</v>
      </c>
      <c r="D2" s="310" t="s">
        <v>795</v>
      </c>
      <c r="E2" s="114" t="s">
        <v>793</v>
      </c>
    </row>
    <row r="3" spans="1:7" x14ac:dyDescent="0.4">
      <c r="A3" s="114" t="s">
        <v>748</v>
      </c>
      <c r="B3" s="300">
        <f>B13*B4</f>
        <v>46020.856777777815</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758.33333333333337</v>
      </c>
      <c r="F7" s="310" t="s">
        <v>730</v>
      </c>
      <c r="G7" s="311" t="s">
        <v>794</v>
      </c>
    </row>
    <row r="8" spans="1:7" x14ac:dyDescent="0.4">
      <c r="A8" s="114" t="s">
        <v>719</v>
      </c>
      <c r="B8" s="292">
        <f>SUM(B14:B17)</f>
        <v>61728.333333333336</v>
      </c>
      <c r="D8" s="114" t="s">
        <v>731</v>
      </c>
      <c r="E8" s="313">
        <f>Takeoffs!AQ15/80</f>
        <v>546</v>
      </c>
      <c r="F8" s="298">
        <v>80</v>
      </c>
      <c r="G8" s="312">
        <f>1-(SUM(G9:G11))</f>
        <v>0.72</v>
      </c>
    </row>
    <row r="9" spans="1:7" x14ac:dyDescent="0.4">
      <c r="A9" s="114" t="s">
        <v>720</v>
      </c>
      <c r="B9" s="292">
        <f>B18+B19+B21</f>
        <v>81253.549777777807</v>
      </c>
      <c r="D9" s="114" t="s">
        <v>732</v>
      </c>
      <c r="E9" s="313">
        <f>($E$8/$G$8)*G9</f>
        <v>30.333333333333336</v>
      </c>
      <c r="F9" s="298">
        <v>100</v>
      </c>
      <c r="G9" s="312">
        <v>0.04</v>
      </c>
    </row>
    <row r="10" spans="1:7" x14ac:dyDescent="0.4">
      <c r="A10" s="114" t="s">
        <v>733</v>
      </c>
      <c r="B10" s="292">
        <f>SUM(B24:B28)</f>
        <v>0</v>
      </c>
      <c r="D10" s="114" t="s">
        <v>734</v>
      </c>
      <c r="E10" s="313">
        <f t="shared" ref="E10:E11" si="0">($E$8/$G$8)*G10</f>
        <v>91</v>
      </c>
      <c r="F10" s="298">
        <v>85</v>
      </c>
      <c r="G10" s="312">
        <v>0.12</v>
      </c>
    </row>
    <row r="11" spans="1:7" x14ac:dyDescent="0.4">
      <c r="A11" s="114" t="s">
        <v>735</v>
      </c>
      <c r="B11" s="292">
        <f>B22+B20</f>
        <v>41101.544000000111</v>
      </c>
      <c r="D11" s="114" t="s">
        <v>736</v>
      </c>
      <c r="E11" s="313">
        <f t="shared" si="0"/>
        <v>91</v>
      </c>
      <c r="F11" s="298">
        <v>80</v>
      </c>
      <c r="G11" s="312">
        <v>0.12</v>
      </c>
    </row>
    <row r="13" spans="1:7" x14ac:dyDescent="0.4">
      <c r="A13" s="286" t="s">
        <v>737</v>
      </c>
      <c r="B13" s="295">
        <f>SUM(B14:B28)</f>
        <v>184083.42711111126</v>
      </c>
      <c r="E13" s="299"/>
    </row>
    <row r="14" spans="1:7" x14ac:dyDescent="0.4">
      <c r="A14" s="114" t="s">
        <v>738</v>
      </c>
      <c r="B14" s="277">
        <f>E8*F8</f>
        <v>43680</v>
      </c>
    </row>
    <row r="15" spans="1:7" x14ac:dyDescent="0.4">
      <c r="A15" s="114" t="s">
        <v>739</v>
      </c>
      <c r="B15" s="277">
        <f>E9*F9</f>
        <v>3033.3333333333335</v>
      </c>
    </row>
    <row r="16" spans="1:7" x14ac:dyDescent="0.4">
      <c r="A16" s="114" t="s">
        <v>740</v>
      </c>
      <c r="B16" s="277">
        <f>E10*F10</f>
        <v>7735</v>
      </c>
    </row>
    <row r="17" spans="1:4" x14ac:dyDescent="0.4">
      <c r="A17" s="114" t="s">
        <v>741</v>
      </c>
      <c r="B17" s="277">
        <f>E11*F11</f>
        <v>7280</v>
      </c>
    </row>
    <row r="18" spans="1:4" x14ac:dyDescent="0.4">
      <c r="A18" s="114" t="s">
        <v>724</v>
      </c>
      <c r="B18" s="277">
        <f>Takeoffs!AR15</f>
        <v>73238.196000000025</v>
      </c>
    </row>
    <row r="19" spans="1:4" x14ac:dyDescent="0.4">
      <c r="A19" s="114" t="s">
        <v>742</v>
      </c>
      <c r="B19" s="277">
        <f>Takeoffs!AS15</f>
        <v>5002.7760000000017</v>
      </c>
    </row>
    <row r="20" spans="1:4" x14ac:dyDescent="0.4">
      <c r="A20" s="114" t="s">
        <v>743</v>
      </c>
      <c r="B20" s="277">
        <f>Takeoffs!AT15</f>
        <v>41101.544000000111</v>
      </c>
      <c r="D20" s="300"/>
    </row>
    <row r="21" spans="1:4" x14ac:dyDescent="0.4">
      <c r="A21" s="114" t="s">
        <v>744</v>
      </c>
      <c r="B21" s="277">
        <f>Takeoffs!AV15</f>
        <v>3012.5777777777776</v>
      </c>
    </row>
    <row r="22" spans="1:4" x14ac:dyDescent="0.4">
      <c r="A22" s="114" t="s">
        <v>745</v>
      </c>
      <c r="B22" s="277">
        <f>Takeoffs!AU15</f>
        <v>0</v>
      </c>
    </row>
    <row r="23" spans="1:4" x14ac:dyDescent="0.4">
      <c r="B23" s="277"/>
    </row>
    <row r="24" spans="1:4" x14ac:dyDescent="0.4">
      <c r="A24" s="114" t="s">
        <v>739</v>
      </c>
      <c r="B24" s="277">
        <v>0</v>
      </c>
    </row>
    <row r="25" spans="1:4" x14ac:dyDescent="0.4">
      <c r="A25" s="114" t="s">
        <v>740</v>
      </c>
      <c r="B25" s="277">
        <v>0</v>
      </c>
    </row>
    <row r="26" spans="1:4" x14ac:dyDescent="0.4">
      <c r="A26" s="114" t="s">
        <v>741</v>
      </c>
      <c r="B26" s="277">
        <v>0</v>
      </c>
    </row>
    <row r="27" spans="1:4" x14ac:dyDescent="0.4">
      <c r="A27" s="114" t="s">
        <v>746</v>
      </c>
      <c r="B27" s="277">
        <v>0</v>
      </c>
    </row>
    <row r="28" spans="1:4" x14ac:dyDescent="0.4">
      <c r="A28" s="114" t="s">
        <v>747</v>
      </c>
      <c r="B28" s="277">
        <v>0</v>
      </c>
    </row>
    <row r="29" spans="1:4" x14ac:dyDescent="0.4">
      <c r="C29" s="292"/>
    </row>
  </sheetData>
  <conditionalFormatting sqref="A19:A20 C8 D7">
    <cfRule type="expression" dxfId="343" priority="4">
      <formula>IF(ROW() = ROW(), TRUE, FALSE)</formula>
    </cfRule>
  </conditionalFormatting>
  <conditionalFormatting sqref="A22">
    <cfRule type="expression" dxfId="342" priority="2">
      <formula>IF(ROW() = ROW(), TRUE, FALSE)</formula>
    </cfRule>
  </conditionalFormatting>
  <conditionalFormatting sqref="A18">
    <cfRule type="expression" dxfId="341" priority="1">
      <formula>IF(ROW() = ROW(), TRUE, FALSE)</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663B-FD3D-4F52-A1DD-D215F4D20A04}">
  <dimension ref="A1:AF26"/>
  <sheetViews>
    <sheetView topLeftCell="P1" workbookViewId="0">
      <selection activeCell="T2" sqref="T2"/>
    </sheetView>
  </sheetViews>
  <sheetFormatPr defaultRowHeight="14.6" x14ac:dyDescent="0.4"/>
  <cols>
    <col min="1" max="1" width="7.61328125" style="319" bestFit="1" customWidth="1"/>
    <col min="2" max="2" width="7.3046875" style="114" bestFit="1" customWidth="1"/>
    <col min="3" max="3" width="13.61328125" style="302" bestFit="1" customWidth="1"/>
    <col min="4" max="4" width="6.23046875" style="114" bestFit="1" customWidth="1"/>
    <col min="5" max="5" width="4.07421875" style="114" bestFit="1" customWidth="1"/>
    <col min="6" max="6" width="12.15234375" style="114" customWidth="1"/>
    <col min="7" max="8" width="13.3046875" style="114" customWidth="1"/>
    <col min="9" max="9" width="17.4609375" style="114" customWidth="1"/>
    <col min="10" max="19" width="12.23046875" style="114" customWidth="1"/>
    <col min="20" max="20" width="12.3828125" style="347" customWidth="1"/>
    <col min="21" max="21" width="12.3828125" style="114" customWidth="1"/>
    <col min="22" max="22" width="7.84375" style="114" customWidth="1"/>
    <col min="23" max="37" width="9.23046875" style="114" customWidth="1"/>
    <col min="38" max="16384" width="9.23046875" style="114"/>
  </cols>
  <sheetData>
    <row r="1" spans="1:31" s="305" customFormat="1" ht="29.15" x14ac:dyDescent="0.4">
      <c r="A1" s="339" t="s">
        <v>837</v>
      </c>
      <c r="B1" s="339" t="s">
        <v>836</v>
      </c>
      <c r="C1" s="340" t="s">
        <v>821</v>
      </c>
      <c r="D1" s="339" t="s">
        <v>840</v>
      </c>
      <c r="E1" s="339" t="s">
        <v>809</v>
      </c>
      <c r="F1" s="341" t="s">
        <v>1066</v>
      </c>
      <c r="G1" s="339" t="s">
        <v>824</v>
      </c>
      <c r="H1" s="339" t="s">
        <v>848</v>
      </c>
      <c r="I1" s="341" t="s">
        <v>1060</v>
      </c>
      <c r="J1" s="341" t="s">
        <v>679</v>
      </c>
      <c r="K1" s="341" t="s">
        <v>817</v>
      </c>
      <c r="L1" s="341" t="s">
        <v>818</v>
      </c>
      <c r="M1" s="341" t="s">
        <v>813</v>
      </c>
      <c r="N1" s="341" t="s">
        <v>672</v>
      </c>
      <c r="O1" s="341" t="s">
        <v>812</v>
      </c>
      <c r="P1" s="341" t="s">
        <v>816</v>
      </c>
      <c r="Q1" s="341" t="s">
        <v>810</v>
      </c>
      <c r="R1" s="341" t="s">
        <v>834</v>
      </c>
      <c r="S1" s="341" t="s">
        <v>835</v>
      </c>
      <c r="T1" s="348" t="s">
        <v>496</v>
      </c>
      <c r="U1" s="305">
        <f>MAX('@MSSB'!AD:AD)</f>
        <v>2</v>
      </c>
    </row>
    <row r="2" spans="1:31" x14ac:dyDescent="0.4">
      <c r="A2" s="343" t="str">
        <f>IF(NOT(I2="N/A"),IF(COUNTBLANK(J2:S2)=0,"VALID","INVALID"),"INVALID")</f>
        <v>VALID</v>
      </c>
      <c r="B2" s="344" t="str">
        <f>_xlfn.CONCAT("Fan ",(ROW()-1))</f>
        <v>Fan 1</v>
      </c>
      <c r="C2" s="345">
        <f>E2*G2</f>
        <v>1354.78</v>
      </c>
      <c r="D2" s="344">
        <f>IF(ISBLANK(F2),H2*E2,F2*E2)</f>
        <v>5</v>
      </c>
      <c r="E2" s="344">
        <v>2</v>
      </c>
      <c r="F2" s="344"/>
      <c r="G2" s="344">
        <f>VLOOKUP(J2,_Fan!L:N,2,FALSE)
+VLOOKUP(M2,_Fan!L:N,2,FALSE)
+IF(K2="YES",VLOOKUP(K$1,_Fan!L:N,2,FALSE),0)
+IF(L2="YES",VLOOKUP(L$1,_Fan!L:N,2,FALSE),0)
+IF(N2="YES",VLOOKUP(N$1,_Fan!L:N,2,FALSE),0)
+IF(O2="YES",VLOOKUP(O$1,_Fan!L:N,2,FALSE),0)
+IF(P2="YES",VLOOKUP(P$1,_Fan!L:N,2,FALSE),0)
+IF(Q2="YES",VLOOKUP(Q$1,_Fan!L:N,2,FALSE),0)
+IF(R2="YES",VLOOKUP(R$1,_Fan!L:N,2,FALSE),0)
+IF(S2="YES",VLOOKUP(S$1,_Fan!L:N,2,FALSE),0)</f>
        <v>677.39</v>
      </c>
      <c r="H2" s="344">
        <f>VLOOKUP(J2,_Fan!L:N,3,FALSE)</f>
        <v>2.5</v>
      </c>
      <c r="I2" s="344" t="str">
        <f>IF(COUNTBLANK(J2:S2)=0,_xlfn.CONCAT("F",IF(J2="Local","L","M"),"-",IF(K2="Yes",1,0),IF(L2="Yes",1,0),IF(N2="Yes",1,0),IF(O2="Yes",1,0),IF(P2="Yes",1,0),IF(Q2="Yes",1,0),IF(R2="Yes",1,0),IF(S2="Yes",1,0), IF(M2 = "Interlock", "-I",
IF(M2 = "Interlock with Associated Units", "-IA",
IF(M2 = "Interlock with Lighting Circuit", "-IC",
IF(M2 = "Interlock with Local Switch", "-IS",""))))),"")</f>
        <v>FL-10111100-IC</v>
      </c>
      <c r="J2" s="344" t="s">
        <v>811</v>
      </c>
      <c r="K2" s="344" t="s">
        <v>1061</v>
      </c>
      <c r="L2" s="344" t="s">
        <v>1062</v>
      </c>
      <c r="M2" s="344" t="s">
        <v>815</v>
      </c>
      <c r="N2" s="344" t="s">
        <v>1061</v>
      </c>
      <c r="O2" s="344" t="s">
        <v>1061</v>
      </c>
      <c r="P2" s="344" t="s">
        <v>1061</v>
      </c>
      <c r="Q2" s="344" t="s">
        <v>1061</v>
      </c>
      <c r="R2" s="344" t="s">
        <v>1062</v>
      </c>
      <c r="S2" s="344" t="s">
        <v>1062</v>
      </c>
      <c r="T2" s="349" t="str">
        <f>IF(A2="VALID",_xlfn.CONCAT(AA2,"
",REPT(" ",8),AB2,"
",REPT(" ",8),AC2,"
",REPT(" ", 8),AD2, "
"),"")</f>
        <v xml:space="preserve">3 - Electrical power supply and controls to 2 (two) fan with: BMS Provisions, Reed Switch, Mechanical Thermostat, Run On Timer, Time Clock, from Local Power Supply
        3.1 - This includes supply and install of power and controls.
        3.2 - Power for system includes: cabling to fan and control panel (from Builder's Electrician's isolator) and local isolator, 
        3.3 - Controls for system includes: BMS Provisions, Interlock with Lighting Circuit, Reed Switch, Mechanical Thermostat, Run On Timer, Time Clock, controls enclosure.
</v>
      </c>
      <c r="U2" s="114">
        <f xml:space="preserve"> IF(AND(E2&gt;0,A2="VALID"),U1+1,U1)</f>
        <v>3</v>
      </c>
      <c r="V2" s="114" t="str">
        <f>_xlfn.CONCAT(E2," (",VLOOKUP(E2,Backend!C:D,2,FALSE),")")</f>
        <v>2 (two)</v>
      </c>
      <c r="W2" s="114" t="str">
        <f>_xlfn.CONCAT(U2," - Electrical power supply and controls to ",V2," fan")</f>
        <v>3 - Electrical power supply and controls to 2 (two) fan</v>
      </c>
      <c r="X2" s="114" t="str">
        <f>IF((COUNTIF(K2:S2,"No") &lt; 9)," with: "," ")</f>
        <v xml:space="preserve"> with: </v>
      </c>
      <c r="Y2" s="114" t="str">
        <f>_xlfn.CONCAT(IF(K2 = "Yes",_xlfn.CONCAT($K$1, ", "),""),IF(L2 = "Yes",_xlfn.CONCAT($L$1, ", "),""),IF(N2 = "Yes",_xlfn.CONCAT($N$1, ", "),""),IF(O2 = "Yes",_xlfn.CONCAT($O$1, ", "),""),IF(P2 = "Yes",_xlfn.CONCAT($P$1, ", "),""),IF(Q2 = "Yes",_xlfn.CONCAT($Q$1, ", "),""),IF(R2 = "Yes",_xlfn.CONCAT($R$1, ", "),""),IF(S2 = "Yes",_xlfn.CONCAT($S$1, ", "),""))</f>
        <v xml:space="preserve">BMS Provisions, Reed Switch, Mechanical Thermostat, Run On Timer, Time Clock, </v>
      </c>
      <c r="Z2" s="114" t="str">
        <f>_xlfn.CONCAT("from ",J2, " Power Supply")</f>
        <v>from Local Power Supply</v>
      </c>
      <c r="AA2" s="114" t="str">
        <f>_xlfn.CONCAT(W2,X2,Y2,Z2)</f>
        <v>3 - Electrical power supply and controls to 2 (two) fan with: BMS Provisions, Reed Switch, Mechanical Thermostat, Run On Timer, Time Clock, from Local Power Supply</v>
      </c>
      <c r="AB2" s="114" t="str">
        <f>_xlfn.CONCAT(U2,".1 - This includes supply and install of power and controls.")</f>
        <v>3.1 - This includes supply and install of power and controls.</v>
      </c>
      <c r="AC2" s="114" t="str">
        <f>_xlfn.CONCAT(U2,".2 - Power for system includes: ",VLOOKUP(J2,_Fan!L:O,4,FALSE))</f>
        <v xml:space="preserve">3.2 - Power for system includes: cabling to fan and control panel (from Builder's Electrician's isolator) and local isolator, </v>
      </c>
      <c r="AD2" s="114" t="str">
        <f t="shared" ref="AD2:AD23" si="0">IF(OR((J2="Local"),NOT(M2="No"),(COUNTIF(K2:S2,"Yes")&gt;0)),_xlfn.CONCAT(U2,".3 - Controls for system includes: ",_xlfn.CONCAT(AE2,IF(J2="Local","controls enclosure.","")),""),"")</f>
        <v>3.3 - Controls for system includes: BMS Provisions, Interlock with Lighting Circuit, Reed Switch, Mechanical Thermostat, Run On Timer, Time Clock, controls enclosure.</v>
      </c>
      <c r="AE2" s="114" t="str">
        <f>_xlfn.CONCAT(IF(K2="Yes",VLOOKUP(K$1,_Fan!L:Z,4,FALSE),""),IF(L2="Yes",VLOOKUP(L$1,_Fan!L:Z,4,FALSE),""),IF(NOT(M2="No"),VLOOKUP(M2,_Fan!L:Z,4,FALSE),""),IF(N2="Yes",VLOOKUP(N$1,_Fan!L:Z,4,FALSE),""),IF(O2="Yes",VLOOKUP(O$1,_Fan!L:Z,4,FALSE),""),IF(P2="Yes",VLOOKUP(P$1,_Fan!L:Z,4,FALSE),""),IF(Q2="Yes",VLOOKUP(Q$1,_Fan!L:Z,4,FALSE),""),IF(R2="Yes",VLOOKUP(R$1,_Fan!L:Z,4,FALSE),""),IF(S2="Yes",VLOOKUP(S$1,_Fan!L:Z,4,FALSE),""))</f>
        <v xml:space="preserve">BMS Provisions, Interlock with Lighting Circuit, Reed Switch, Mechanical Thermostat, Run On Timer, Time Clock, </v>
      </c>
    </row>
    <row r="3" spans="1:31" x14ac:dyDescent="0.4">
      <c r="A3" s="343" t="str">
        <f>IF(NOT(I3="N/A"),IF(COUNTBLANK(J3:S3)=0,"VALID","INVALID"),"INVALID")</f>
        <v>VALID</v>
      </c>
      <c r="B3" s="344" t="str">
        <f t="shared" ref="B3:B22" si="1">_xlfn.CONCAT("Fan ",(ROW()-1))</f>
        <v>Fan 2</v>
      </c>
      <c r="C3" s="345">
        <f t="shared" ref="C3:C22" si="2">E3*G3</f>
        <v>570.25</v>
      </c>
      <c r="D3" s="344">
        <f t="shared" ref="D3:D22" si="3">IF(ISBLANK(F3),H3*E3,F3*E3)</f>
        <v>6</v>
      </c>
      <c r="E3" s="344">
        <v>1</v>
      </c>
      <c r="F3" s="344"/>
      <c r="G3" s="344">
        <f>VLOOKUP(J3,_Fan!L:N,2,FALSE)
+VLOOKUP(M3,_Fan!L:N,2,FALSE)
+IF(K3="YES",VLOOKUP(K$1,_Fan!L:N,2,FALSE))</f>
        <v>570.25</v>
      </c>
      <c r="H3" s="344">
        <f>VLOOKUP(J3,_Fan!L:N,3,FALSE)</f>
        <v>6</v>
      </c>
      <c r="I3" s="344" t="str">
        <f>IF(COUNTBLANK(J3:S3)=0,_xlfn.CONCAT("F-",IF(J3="Local","L","M"),"-",IF(K3="Yes",1,0),IF(L3="Yes",1,0),IF(N3="Yes",1,0),IF(O3="Yes",1,0),IF(P3="Yes",1,0),IF(Q3="Yes",1,0),IF(R3="Yes",1,0),IF(S3="Yes",1,0), IF(M3 = "Interlock", "-I",
IF(M3 = "Interlock with Associated Units", "-IA",
IF(M3 = "Interlock with Lighting Circuit", "-IC",
IF(M3 = "Interlock with Local Switch", "-IS",""))))),"")</f>
        <v>F-M-01000000</v>
      </c>
      <c r="J3" s="344" t="s">
        <v>681</v>
      </c>
      <c r="K3" s="344" t="s">
        <v>1062</v>
      </c>
      <c r="L3" s="344" t="s">
        <v>1061</v>
      </c>
      <c r="M3" s="344" t="s">
        <v>1062</v>
      </c>
      <c r="N3" s="344" t="s">
        <v>1062</v>
      </c>
      <c r="O3" s="344" t="s">
        <v>1062</v>
      </c>
      <c r="P3" s="344" t="s">
        <v>1062</v>
      </c>
      <c r="Q3" s="344" t="s">
        <v>1062</v>
      </c>
      <c r="R3" s="344" t="s">
        <v>1062</v>
      </c>
      <c r="S3" s="344" t="s">
        <v>1062</v>
      </c>
      <c r="T3" s="349" t="str">
        <f t="shared" ref="T3:T23" si="4">IF(A3="VALID",_xlfn.CONCAT(AA3,"
",REPT(" ",8),AB3,"
",REPT(" ",8),AC3,"
",REPT(" ", 8),AD3, "
"),"")</f>
        <v xml:space="preserve">4 - Electrical power supply and controls to 1 (one) fan with: Fire Shutdown, from MSSB Power Supply
        4.1 - This includes supply and install of power and controls.
        4.2 - Power for system includes: CB and cabling to fan from MSSB, and local isolator, 
        4.3 - Controls for system includes: Fire Shutdown, 
</v>
      </c>
      <c r="U3" s="114">
        <f t="shared" ref="U3:U22" si="5" xml:space="preserve"> IF(AND(E3&gt;0,A3="VALID"),U2+1,U2)</f>
        <v>4</v>
      </c>
      <c r="V3" s="114" t="str">
        <f>_xlfn.CONCAT(E3," (",VLOOKUP(E3,Backend!C:D,2,FALSE),")")</f>
        <v>1 (one)</v>
      </c>
      <c r="W3" s="114" t="str">
        <f t="shared" ref="W3:W22" si="6">_xlfn.CONCAT(U3," - Electrical power supply and controls to ",V3," fan")</f>
        <v>4 - Electrical power supply and controls to 1 (one) fan</v>
      </c>
      <c r="X3" s="114" t="str">
        <f t="shared" ref="X3:X22" si="7">IF((COUNTIF(K3:S3,"No") &lt; 9)," with: "," ")</f>
        <v xml:space="preserve"> with: </v>
      </c>
      <c r="Y3" s="114" t="str">
        <f t="shared" ref="Y3:Y22" si="8">_xlfn.CONCAT(IF(K3 = "Yes",_xlfn.CONCAT($K$1, ", "),""),IF(L3 = "Yes",_xlfn.CONCAT($L$1, ", "),""),IF(N3 = "Yes",_xlfn.CONCAT($N$1, ", "),""),IF(O3 = "Yes",_xlfn.CONCAT($O$1, ", "),""),IF(P3 = "Yes",_xlfn.CONCAT($P$1, ", "),""),IF(Q3 = "Yes",_xlfn.CONCAT($Q$1, ", "),""),IF(R3 = "Yes",_xlfn.CONCAT($R$1, ", "),""),IF(S3 = "Yes",_xlfn.CONCAT($S$1, ", "),""))</f>
        <v xml:space="preserve">Fire Shutdown, </v>
      </c>
      <c r="Z3" s="114" t="str">
        <f t="shared" ref="Z3:Z22" si="9">_xlfn.CONCAT("from ",J3, " Power Supply")</f>
        <v>from MSSB Power Supply</v>
      </c>
      <c r="AA3" s="114" t="str">
        <f>_xlfn.CONCAT(W3,X3,Y3,Z3)</f>
        <v>4 - Electrical power supply and controls to 1 (one) fan with: Fire Shutdown, from MSSB Power Supply</v>
      </c>
      <c r="AB3" s="114" t="str">
        <f t="shared" ref="AB3:AB22" si="10">_xlfn.CONCAT(U3,".1 - This includes supply and install of power and controls.")</f>
        <v>4.1 - This includes supply and install of power and controls.</v>
      </c>
      <c r="AC3" s="114" t="str">
        <f>_xlfn.CONCAT(U3,".2 - Power for system includes: ",VLOOKUP(J3,_Fan!L:O,4,FALSE))</f>
        <v xml:space="preserve">4.2 - Power for system includes: CB and cabling to fan from MSSB, and local isolator, </v>
      </c>
      <c r="AD3" s="114" t="str">
        <f t="shared" si="0"/>
        <v xml:space="preserve">4.3 - Controls for system includes: Fire Shutdown, </v>
      </c>
      <c r="AE3" s="114" t="str">
        <f>_xlfn.CONCAT(IF(K3="Yes",VLOOKUP(K$1,_Fan!L:Z,4,FALSE),""),IF(L3="Yes",VLOOKUP(L$1,_Fan!L:Z,4,FALSE),""),IF(NOT(M3="No"),VLOOKUP(M3,_Fan!L:Z,4,FALSE),""),IF(N3="Yes",VLOOKUP(N$1,_Fan!L:Z,4,FALSE),""),IF(O3="Yes",VLOOKUP(O$1,_Fan!L:Z,4,FALSE),""),IF(P3="Yes",VLOOKUP(P$1,_Fan!L:Z,4,FALSE),""),IF(Q3="Yes",VLOOKUP(Q$1,_Fan!L:Z,4,FALSE),""),IF(R3="Yes",VLOOKUP(R$1,_Fan!L:Z,4,FALSE),""),IF(S3="Yes",VLOOKUP(S$1,_Fan!L:Z,4,FALSE),""))</f>
        <v xml:space="preserve">Fire Shutdown, </v>
      </c>
    </row>
    <row r="4" spans="1:31" x14ac:dyDescent="0.4">
      <c r="A4" s="343" t="str">
        <f t="shared" ref="A4:A22" si="11">IF(NOT(I4="N/A"),IF(COUNTBLANK(J4:S4)=0,"VALID","INVALID"),"INVALID")</f>
        <v>INVALID</v>
      </c>
      <c r="B4" s="344" t="str">
        <f t="shared" si="1"/>
        <v>Fan 3</v>
      </c>
      <c r="C4" s="345">
        <f t="shared" si="2"/>
        <v>0</v>
      </c>
      <c r="D4" s="344">
        <f t="shared" si="3"/>
        <v>0</v>
      </c>
      <c r="E4" s="344"/>
      <c r="F4" s="344"/>
      <c r="G4" s="344">
        <f>VLOOKUP(J4,_Fan!L:N,2,FALSE)</f>
        <v>92.5</v>
      </c>
      <c r="H4" s="344">
        <f>VLOOKUP(J4,_Fan!L:N,3,FALSE)</f>
        <v>2.5</v>
      </c>
      <c r="I4" s="344" t="str">
        <f t="shared" ref="I4:I22" si="12">IF(COUNTBLANK(J4:S4)=0,_xlfn.CONCAT("F-",IF(J4="Local","L","M"),"-",IF(K4="Yes",1,0),IF(L4="Yes",1,0),IF(N4="Yes",1,0),IF(O4="Yes",1,0),IF(P4="Yes",1,0),IF(Q4="Yes",1,0),IF(R4="Yes",1,0),IF(S4="Yes",1,0), IF(M4 = "Interlock", "-I",
IF(M4 = "Interlock with Associated Units", "-IA",
IF(M4 = "Interlock with Lighting Circuit", "-IC",
IF(M4 = "Interlock with Local Switch", "-IS",""))))),"")</f>
        <v/>
      </c>
      <c r="J4" s="344" t="s">
        <v>811</v>
      </c>
      <c r="K4" s="344"/>
      <c r="L4" s="344"/>
      <c r="M4" s="344" t="s">
        <v>1062</v>
      </c>
      <c r="N4" s="344"/>
      <c r="O4" s="344"/>
      <c r="P4" s="344"/>
      <c r="Q4" s="344"/>
      <c r="R4" s="344"/>
      <c r="S4" s="344"/>
      <c r="T4" s="349" t="str">
        <f t="shared" si="4"/>
        <v/>
      </c>
      <c r="U4" s="114">
        <f t="shared" si="5"/>
        <v>4</v>
      </c>
      <c r="V4" s="114" t="str">
        <f>_xlfn.CONCAT(E4," (",VLOOKUP(E4,Backend!C:D,2,FALSE),")")</f>
        <v xml:space="preserve"> (Zero)</v>
      </c>
      <c r="W4" s="114" t="str">
        <f t="shared" si="6"/>
        <v>4 - Electrical power supply and controls to  (Zero) fan</v>
      </c>
      <c r="X4" s="114" t="str">
        <f t="shared" si="7"/>
        <v xml:space="preserve"> with: </v>
      </c>
      <c r="Y4" s="114" t="str">
        <f t="shared" si="8"/>
        <v/>
      </c>
      <c r="Z4" s="114" t="str">
        <f t="shared" si="9"/>
        <v>from Local Power Supply</v>
      </c>
      <c r="AA4" s="114" t="str">
        <f>_xlfn.CONCAT(W4,X4,Y4,Z4)</f>
        <v>4 - Electrical power supply and controls to  (Zero) fan with: from Local Power Supply</v>
      </c>
      <c r="AB4" s="114" t="str">
        <f t="shared" si="10"/>
        <v>4.1 - This includes supply and install of power and controls.</v>
      </c>
      <c r="AC4" s="114" t="str">
        <f>_xlfn.CONCAT(U4,".2 - Power for system includes: ",VLOOKUP(J4,_Fan!L:O,4,FALSE))</f>
        <v xml:space="preserve">4.2 - Power for system includes: cabling to fan and control panel (from Builder's Electrician's isolator) and local isolator, </v>
      </c>
      <c r="AD4" s="114" t="str">
        <f t="shared" si="0"/>
        <v>4.3 - Controls for system includes: controls enclosure.</v>
      </c>
      <c r="AE4" s="114" t="str">
        <f>_xlfn.CONCAT(IF(K4="Yes",VLOOKUP(K$1,_Fan!L:Z,4,FALSE),""),IF(L4="Yes",VLOOKUP(L$1,_Fan!L:Z,4,FALSE),""),IF(NOT(M4="No"),VLOOKUP(M4,_Fan!L:Z,4,FALSE),""),IF(N4="Yes",VLOOKUP(N$1,_Fan!L:Z,4,FALSE),""),IF(O4="Yes",VLOOKUP(O$1,_Fan!L:Z,4,FALSE),""),IF(P4="Yes",VLOOKUP(P$1,_Fan!L:Z,4,FALSE),""),IF(Q4="Yes",VLOOKUP(Q$1,_Fan!L:Z,4,FALSE),""),IF(R4="Yes",VLOOKUP(R$1,_Fan!L:Z,4,FALSE),""),IF(S4="Yes",VLOOKUP(S$1,_Fan!L:Z,4,FALSE),""))</f>
        <v/>
      </c>
    </row>
    <row r="5" spans="1:31" x14ac:dyDescent="0.4">
      <c r="A5" s="343" t="str">
        <f t="shared" si="11"/>
        <v>INVALID</v>
      </c>
      <c r="B5" s="344" t="str">
        <f t="shared" si="1"/>
        <v>Fan 4</v>
      </c>
      <c r="C5" s="345">
        <f t="shared" si="2"/>
        <v>0</v>
      </c>
      <c r="D5" s="344">
        <f t="shared" si="3"/>
        <v>0</v>
      </c>
      <c r="E5" s="344"/>
      <c r="F5" s="344"/>
      <c r="G5" s="344">
        <f>VLOOKUP(J5,_Fan!L:N,2,FALSE)</f>
        <v>570.25</v>
      </c>
      <c r="H5" s="344">
        <f>VLOOKUP(J5,_Fan!L:N,3,FALSE)</f>
        <v>6</v>
      </c>
      <c r="I5" s="344" t="str">
        <f t="shared" si="12"/>
        <v/>
      </c>
      <c r="J5" s="344" t="s">
        <v>681</v>
      </c>
      <c r="K5" s="344" t="s">
        <v>1061</v>
      </c>
      <c r="L5" s="344"/>
      <c r="M5" s="344" t="s">
        <v>1062</v>
      </c>
      <c r="N5" s="344"/>
      <c r="O5" s="344"/>
      <c r="P5" s="344"/>
      <c r="Q5" s="344"/>
      <c r="R5" s="344"/>
      <c r="S5" s="344"/>
      <c r="T5" s="349" t="str">
        <f t="shared" si="4"/>
        <v/>
      </c>
      <c r="U5" s="114">
        <f t="shared" si="5"/>
        <v>4</v>
      </c>
      <c r="V5" s="114" t="str">
        <f>_xlfn.CONCAT(E5," (",VLOOKUP(E5,Backend!C:D,2,FALSE),")")</f>
        <v xml:space="preserve"> (Zero)</v>
      </c>
      <c r="W5" s="114" t="str">
        <f t="shared" si="6"/>
        <v>4 - Electrical power supply and controls to  (Zero) fan</v>
      </c>
      <c r="X5" s="114" t="str">
        <f t="shared" si="7"/>
        <v xml:space="preserve"> with: </v>
      </c>
      <c r="Y5" s="114" t="str">
        <f t="shared" si="8"/>
        <v xml:space="preserve">BMS Provisions, </v>
      </c>
      <c r="Z5" s="114" t="str">
        <f t="shared" si="9"/>
        <v>from MSSB Power Supply</v>
      </c>
      <c r="AA5" s="114" t="str">
        <f>_xlfn.CONCAT(W5,X5,Y5,Z5)</f>
        <v>4 - Electrical power supply and controls to  (Zero) fan with: BMS Provisions, from MSSB Power Supply</v>
      </c>
      <c r="AB5" s="114" t="str">
        <f t="shared" si="10"/>
        <v>4.1 - This includes supply and install of power and controls.</v>
      </c>
      <c r="AC5" s="114" t="str">
        <f>_xlfn.CONCAT(U5,".2 - Power for system includes: ",VLOOKUP(J5,_Fan!L:O,4,FALSE))</f>
        <v xml:space="preserve">4.2 - Power for system includes: CB and cabling to fan from MSSB, and local isolator, </v>
      </c>
      <c r="AD5" s="114" t="str">
        <f t="shared" si="0"/>
        <v xml:space="preserve">4.3 - Controls for system includes: BMS Provisions, </v>
      </c>
      <c r="AE5" s="114" t="str">
        <f>_xlfn.CONCAT(IF(K5="Yes",VLOOKUP(K$1,_Fan!L:Z,4,FALSE),""),IF(L5="Yes",VLOOKUP(L$1,_Fan!L:Z,4,FALSE),""),IF(NOT(M5="No"),VLOOKUP(M5,_Fan!L:Z,4,FALSE),""),IF(N5="Yes",VLOOKUP(N$1,_Fan!L:Z,4,FALSE),""),IF(O5="Yes",VLOOKUP(O$1,_Fan!L:Z,4,FALSE),""),IF(P5="Yes",VLOOKUP(P$1,_Fan!L:Z,4,FALSE),""),IF(Q5="Yes",VLOOKUP(Q$1,_Fan!L:Z,4,FALSE),""),IF(R5="Yes",VLOOKUP(R$1,_Fan!L:Z,4,FALSE),""),IF(S5="Yes",VLOOKUP(S$1,_Fan!L:Z,4,FALSE),""))</f>
        <v xml:space="preserve">BMS Provisions, </v>
      </c>
    </row>
    <row r="6" spans="1:31" x14ac:dyDescent="0.4">
      <c r="A6" s="343" t="str">
        <f t="shared" si="11"/>
        <v>INVALID</v>
      </c>
      <c r="B6" s="344" t="str">
        <f t="shared" si="1"/>
        <v>Fan 5</v>
      </c>
      <c r="C6" s="345">
        <f t="shared" si="2"/>
        <v>0</v>
      </c>
      <c r="D6" s="344">
        <f t="shared" si="3"/>
        <v>0</v>
      </c>
      <c r="E6" s="344"/>
      <c r="F6" s="344"/>
      <c r="G6" s="344">
        <f>VLOOKUP(J6,_Fan!L:N,2,FALSE)</f>
        <v>570.25</v>
      </c>
      <c r="H6" s="344">
        <f>VLOOKUP(J6,_Fan!L:N,3,FALSE)</f>
        <v>6</v>
      </c>
      <c r="I6" s="344" t="str">
        <f t="shared" si="12"/>
        <v/>
      </c>
      <c r="J6" s="344" t="s">
        <v>681</v>
      </c>
      <c r="K6" s="344"/>
      <c r="L6" s="344"/>
      <c r="M6" s="344" t="s">
        <v>813</v>
      </c>
      <c r="N6" s="344"/>
      <c r="O6" s="344"/>
      <c r="P6" s="344"/>
      <c r="Q6" s="344"/>
      <c r="R6" s="344"/>
      <c r="S6" s="344"/>
      <c r="T6" s="349" t="str">
        <f t="shared" si="4"/>
        <v/>
      </c>
      <c r="U6" s="114">
        <f t="shared" si="5"/>
        <v>4</v>
      </c>
      <c r="V6" s="114" t="str">
        <f>_xlfn.CONCAT(E6," (",VLOOKUP(E6,Backend!C:D,2,FALSE),")")</f>
        <v xml:space="preserve"> (Zero)</v>
      </c>
      <c r="W6" s="114" t="str">
        <f t="shared" si="6"/>
        <v>4 - Electrical power supply and controls to  (Zero) fan</v>
      </c>
      <c r="X6" s="114" t="str">
        <f t="shared" si="7"/>
        <v xml:space="preserve"> with: </v>
      </c>
      <c r="Y6" s="114" t="str">
        <f t="shared" si="8"/>
        <v/>
      </c>
      <c r="Z6" s="114" t="str">
        <f t="shared" si="9"/>
        <v>from MSSB Power Supply</v>
      </c>
      <c r="AA6" s="114" t="str">
        <f t="shared" ref="AA6:AA22" si="13">_xlfn.CONCAT(W6,X6,Y6,Z6)</f>
        <v>4 - Electrical power supply and controls to  (Zero) fan with: from MSSB Power Supply</v>
      </c>
      <c r="AB6" s="114" t="str">
        <f t="shared" si="10"/>
        <v>4.1 - This includes supply and install of power and controls.</v>
      </c>
      <c r="AC6" s="114" t="str">
        <f>_xlfn.CONCAT(U6,".2 - Power for system includes: ",VLOOKUP(J6,_Fan!L:O,4,FALSE))</f>
        <v xml:space="preserve">4.2 - Power for system includes: CB and cabling to fan from MSSB, and local isolator, </v>
      </c>
      <c r="AD6" s="114" t="str">
        <f>IF(OR((J6="Local"),NOT(M6="No"),(COUNTIF(K6:S6,"Yes")&gt;0)),_xlfn.CONCAT(U6,".3 - Controls for system includes: ",_xlfn.CONCAT(AE6,IF(J6="Local","controls enclosure.","")),""),"")</f>
        <v xml:space="preserve">4.3 - Controls for system includes: Interlock, </v>
      </c>
      <c r="AE6" s="114" t="str">
        <f>_xlfn.CONCAT(IF(K6="Yes",VLOOKUP(K$1,_Fan!L:Z,4,FALSE),""),IF(L6="Yes",VLOOKUP(L$1,_Fan!L:Z,4,FALSE),""),IF(NOT(M6="No"),VLOOKUP(M6,_Fan!L:Z,4,FALSE),""),IF(N6="Yes",VLOOKUP(N$1,_Fan!L:Z,4,FALSE),""),IF(O6="Yes",VLOOKUP(O$1,_Fan!L:Z,4,FALSE),""),IF(P6="Yes",VLOOKUP(P$1,_Fan!L:Z,4,FALSE),""),IF(Q6="Yes",VLOOKUP(Q$1,_Fan!L:Z,4,FALSE),""),IF(R6="Yes",VLOOKUP(R$1,_Fan!L:Z,4,FALSE),""),IF(S6="Yes",VLOOKUP(S$1,_Fan!L:Z,4,FALSE),""))</f>
        <v xml:space="preserve">Interlock, </v>
      </c>
    </row>
    <row r="7" spans="1:31" x14ac:dyDescent="0.4">
      <c r="A7" s="343" t="str">
        <f t="shared" si="11"/>
        <v>INVALID</v>
      </c>
      <c r="B7" s="344" t="str">
        <f t="shared" si="1"/>
        <v>Fan 6</v>
      </c>
      <c r="C7" s="345">
        <f t="shared" si="2"/>
        <v>0</v>
      </c>
      <c r="D7" s="344">
        <f t="shared" si="3"/>
        <v>0</v>
      </c>
      <c r="E7" s="344"/>
      <c r="F7" s="344"/>
      <c r="G7" s="344">
        <f>VLOOKUP(J7,_Fan!L:N,2,FALSE)</f>
        <v>570.25</v>
      </c>
      <c r="H7" s="344">
        <f>VLOOKUP(J7,_Fan!L:N,3,FALSE)</f>
        <v>6</v>
      </c>
      <c r="I7" s="344" t="str">
        <f t="shared" si="12"/>
        <v/>
      </c>
      <c r="J7" s="344" t="s">
        <v>681</v>
      </c>
      <c r="K7" s="344"/>
      <c r="L7" s="344"/>
      <c r="M7" s="344" t="s">
        <v>833</v>
      </c>
      <c r="N7" s="344"/>
      <c r="O7" s="344"/>
      <c r="P7" s="344"/>
      <c r="Q7" s="344"/>
      <c r="R7" s="344"/>
      <c r="S7" s="344"/>
      <c r="T7" s="349" t="str">
        <f t="shared" si="4"/>
        <v/>
      </c>
      <c r="U7" s="114">
        <f t="shared" si="5"/>
        <v>4</v>
      </c>
      <c r="V7" s="114" t="str">
        <f>_xlfn.CONCAT(E7," (",VLOOKUP(E7,Backend!C:D,2,FALSE),")")</f>
        <v xml:space="preserve"> (Zero)</v>
      </c>
      <c r="W7" s="114" t="str">
        <f t="shared" si="6"/>
        <v>4 - Electrical power supply and controls to  (Zero) fan</v>
      </c>
      <c r="X7" s="114" t="str">
        <f t="shared" si="7"/>
        <v xml:space="preserve"> with: </v>
      </c>
      <c r="Y7" s="114" t="str">
        <f t="shared" si="8"/>
        <v/>
      </c>
      <c r="Z7" s="114" t="str">
        <f t="shared" si="9"/>
        <v>from MSSB Power Supply</v>
      </c>
      <c r="AA7" s="114" t="str">
        <f t="shared" si="13"/>
        <v>4 - Electrical power supply and controls to  (Zero) fan with: from MSSB Power Supply</v>
      </c>
      <c r="AB7" s="114" t="str">
        <f t="shared" si="10"/>
        <v>4.1 - This includes supply and install of power and controls.</v>
      </c>
      <c r="AC7" s="114" t="str">
        <f>_xlfn.CONCAT(U7,".2 - Power for system includes: ",VLOOKUP(J7,_Fan!L:O,4,FALSE))</f>
        <v xml:space="preserve">4.2 - Power for system includes: CB and cabling to fan from MSSB, and local isolator, </v>
      </c>
      <c r="AD7" s="114" t="str">
        <f t="shared" si="0"/>
        <v xml:space="preserve">4.3 - Controls for system includes: Interlock with Associated Units, </v>
      </c>
      <c r="AE7" s="114" t="str">
        <f>_xlfn.CONCAT(IF(K7="Yes",VLOOKUP(K$1,_Fan!L:Z,4,FALSE),""),IF(L7="Yes",VLOOKUP(L$1,_Fan!L:Z,4,FALSE),""),IF(NOT(M7="No"),VLOOKUP(M7,_Fan!L:Z,4,FALSE),""),IF(N7="Yes",VLOOKUP(N$1,_Fan!L:Z,4,FALSE),""),IF(O7="Yes",VLOOKUP(O$1,_Fan!L:Z,4,FALSE),""),IF(P7="Yes",VLOOKUP(P$1,_Fan!L:Z,4,FALSE),""),IF(Q7="Yes",VLOOKUP(Q$1,_Fan!L:Z,4,FALSE),""),IF(R7="Yes",VLOOKUP(R$1,_Fan!L:Z,4,FALSE),""),IF(S7="Yes",VLOOKUP(S$1,_Fan!L:Z,4,FALSE),""))</f>
        <v xml:space="preserve">Interlock with Associated Units, </v>
      </c>
    </row>
    <row r="8" spans="1:31" x14ac:dyDescent="0.4">
      <c r="A8" s="343" t="str">
        <f t="shared" si="11"/>
        <v>INVALID</v>
      </c>
      <c r="B8" s="344" t="str">
        <f t="shared" si="1"/>
        <v>Fan 7</v>
      </c>
      <c r="C8" s="345">
        <f t="shared" si="2"/>
        <v>0</v>
      </c>
      <c r="D8" s="344">
        <f t="shared" si="3"/>
        <v>0</v>
      </c>
      <c r="E8" s="344"/>
      <c r="F8" s="344"/>
      <c r="G8" s="344">
        <f>VLOOKUP(J8,_Fan!L:N,2,FALSE)</f>
        <v>570.25</v>
      </c>
      <c r="H8" s="344">
        <f>VLOOKUP(J8,_Fan!L:N,3,FALSE)</f>
        <v>6</v>
      </c>
      <c r="I8" s="344" t="str">
        <f t="shared" si="12"/>
        <v/>
      </c>
      <c r="J8" s="344" t="s">
        <v>681</v>
      </c>
      <c r="K8" s="344"/>
      <c r="L8" s="344"/>
      <c r="M8" s="344" t="s">
        <v>815</v>
      </c>
      <c r="N8" s="344"/>
      <c r="O8" s="344"/>
      <c r="P8" s="344"/>
      <c r="Q8" s="344"/>
      <c r="R8" s="344"/>
      <c r="S8" s="344"/>
      <c r="T8" s="349" t="str">
        <f t="shared" si="4"/>
        <v/>
      </c>
      <c r="U8" s="114">
        <f t="shared" si="5"/>
        <v>4</v>
      </c>
      <c r="V8" s="114" t="str">
        <f>_xlfn.CONCAT(E8," (",VLOOKUP(E8,Backend!C:D,2,FALSE),")")</f>
        <v xml:space="preserve"> (Zero)</v>
      </c>
      <c r="W8" s="114" t="str">
        <f t="shared" si="6"/>
        <v>4 - Electrical power supply and controls to  (Zero) fan</v>
      </c>
      <c r="X8" s="114" t="str">
        <f t="shared" si="7"/>
        <v xml:space="preserve"> with: </v>
      </c>
      <c r="Y8" s="114" t="str">
        <f t="shared" si="8"/>
        <v/>
      </c>
      <c r="Z8" s="114" t="str">
        <f t="shared" si="9"/>
        <v>from MSSB Power Supply</v>
      </c>
      <c r="AA8" s="114" t="str">
        <f t="shared" si="13"/>
        <v>4 - Electrical power supply and controls to  (Zero) fan with: from MSSB Power Supply</v>
      </c>
      <c r="AB8" s="114" t="str">
        <f t="shared" si="10"/>
        <v>4.1 - This includes supply and install of power and controls.</v>
      </c>
      <c r="AC8" s="114" t="str">
        <f>_xlfn.CONCAT(U8,".2 - Power for system includes: ",VLOOKUP(J8,_Fan!L:O,4,FALSE))</f>
        <v xml:space="preserve">4.2 - Power for system includes: CB and cabling to fan from MSSB, and local isolator, </v>
      </c>
      <c r="AD8" s="114" t="str">
        <f t="shared" si="0"/>
        <v xml:space="preserve">4.3 - Controls for system includes: Interlock with Lighting Circuit, </v>
      </c>
      <c r="AE8" s="114" t="str">
        <f>_xlfn.CONCAT(IF(K8="Yes",VLOOKUP(K$1,_Fan!L:Z,4,FALSE),""),IF(L8="Yes",VLOOKUP(L$1,_Fan!L:Z,4,FALSE),""),IF(NOT(M8="No"),VLOOKUP(M8,_Fan!L:Z,4,FALSE),""),IF(N8="Yes",VLOOKUP(N$1,_Fan!L:Z,4,FALSE),""),IF(O8="Yes",VLOOKUP(O$1,_Fan!L:Z,4,FALSE),""),IF(P8="Yes",VLOOKUP(P$1,_Fan!L:Z,4,FALSE),""),IF(Q8="Yes",VLOOKUP(Q$1,_Fan!L:Z,4,FALSE),""),IF(R8="Yes",VLOOKUP(R$1,_Fan!L:Z,4,FALSE),""),IF(S8="Yes",VLOOKUP(S$1,_Fan!L:Z,4,FALSE),""))</f>
        <v xml:space="preserve">Interlock with Lighting Circuit, </v>
      </c>
    </row>
    <row r="9" spans="1:31" x14ac:dyDescent="0.4">
      <c r="A9" s="343" t="str">
        <f t="shared" si="11"/>
        <v>INVALID</v>
      </c>
      <c r="B9" s="344" t="str">
        <f t="shared" si="1"/>
        <v>Fan 8</v>
      </c>
      <c r="C9" s="345">
        <f t="shared" si="2"/>
        <v>0</v>
      </c>
      <c r="D9" s="344">
        <f t="shared" si="3"/>
        <v>0</v>
      </c>
      <c r="E9" s="344"/>
      <c r="F9" s="344"/>
      <c r="G9" s="344">
        <f>VLOOKUP(J9,_Fan!L:N,2,FALSE)</f>
        <v>570.25</v>
      </c>
      <c r="H9" s="344">
        <f>VLOOKUP(J9,_Fan!L:N,3,FALSE)</f>
        <v>6</v>
      </c>
      <c r="I9" s="344" t="str">
        <f t="shared" si="12"/>
        <v/>
      </c>
      <c r="J9" s="344" t="s">
        <v>681</v>
      </c>
      <c r="K9" s="344"/>
      <c r="L9" s="344"/>
      <c r="M9" s="344" t="s">
        <v>814</v>
      </c>
      <c r="N9" s="344"/>
      <c r="O9" s="344"/>
      <c r="P9" s="344"/>
      <c r="Q9" s="344"/>
      <c r="R9" s="344"/>
      <c r="S9" s="344"/>
      <c r="T9" s="349" t="str">
        <f t="shared" si="4"/>
        <v/>
      </c>
      <c r="U9" s="114">
        <f t="shared" si="5"/>
        <v>4</v>
      </c>
      <c r="V9" s="114" t="str">
        <f>_xlfn.CONCAT(E9," (",VLOOKUP(E9,Backend!C:D,2,FALSE),")")</f>
        <v xml:space="preserve"> (Zero)</v>
      </c>
      <c r="W9" s="114" t="str">
        <f t="shared" si="6"/>
        <v>4 - Electrical power supply and controls to  (Zero) fan</v>
      </c>
      <c r="X9" s="114" t="str">
        <f t="shared" si="7"/>
        <v xml:space="preserve"> with: </v>
      </c>
      <c r="Y9" s="114" t="str">
        <f t="shared" si="8"/>
        <v/>
      </c>
      <c r="Z9" s="114" t="str">
        <f t="shared" si="9"/>
        <v>from MSSB Power Supply</v>
      </c>
      <c r="AA9" s="114" t="str">
        <f t="shared" si="13"/>
        <v>4 - Electrical power supply and controls to  (Zero) fan with: from MSSB Power Supply</v>
      </c>
      <c r="AB9" s="114" t="str">
        <f t="shared" si="10"/>
        <v>4.1 - This includes supply and install of power and controls.</v>
      </c>
      <c r="AC9" s="114" t="str">
        <f>_xlfn.CONCAT(U9,".2 - Power for system includes: ",VLOOKUP(J9,_Fan!L:O,4,FALSE))</f>
        <v xml:space="preserve">4.2 - Power for system includes: CB and cabling to fan from MSSB, and local isolator, </v>
      </c>
      <c r="AD9" s="114" t="str">
        <f t="shared" si="0"/>
        <v xml:space="preserve">4.3 - Controls for system includes: Interlock with Local Switch, </v>
      </c>
      <c r="AE9" s="114" t="str">
        <f>_xlfn.CONCAT(IF(K9="Yes",VLOOKUP(K$1,_Fan!L:Z,4,FALSE),""),IF(L9="Yes",VLOOKUP(L$1,_Fan!L:Z,4,FALSE),""),IF(NOT(M9="No"),VLOOKUP(M9,_Fan!L:Z,4,FALSE),""),IF(N9="Yes",VLOOKUP(N$1,_Fan!L:Z,4,FALSE),""),IF(O9="Yes",VLOOKUP(O$1,_Fan!L:Z,4,FALSE),""),IF(P9="Yes",VLOOKUP(P$1,_Fan!L:Z,4,FALSE),""),IF(Q9="Yes",VLOOKUP(Q$1,_Fan!L:Z,4,FALSE),""),IF(R9="Yes",VLOOKUP(R$1,_Fan!L:Z,4,FALSE),""),IF(S9="Yes",VLOOKUP(S$1,_Fan!L:Z,4,FALSE),""))</f>
        <v xml:space="preserve">Interlock with Local Switch, </v>
      </c>
    </row>
    <row r="10" spans="1:31" x14ac:dyDescent="0.4">
      <c r="A10" s="343" t="str">
        <f t="shared" si="11"/>
        <v>INVALID</v>
      </c>
      <c r="B10" s="344" t="str">
        <f t="shared" si="1"/>
        <v>Fan 9</v>
      </c>
      <c r="C10" s="345">
        <f t="shared" si="2"/>
        <v>0</v>
      </c>
      <c r="D10" s="344">
        <f t="shared" si="3"/>
        <v>0</v>
      </c>
      <c r="E10" s="344"/>
      <c r="F10" s="344"/>
      <c r="G10" s="344">
        <f>VLOOKUP(J10,_Fan!L:N,2,FALSE)</f>
        <v>570.25</v>
      </c>
      <c r="H10" s="344">
        <f>VLOOKUP(J10,_Fan!L:N,3,FALSE)</f>
        <v>6</v>
      </c>
      <c r="I10" s="344" t="str">
        <f t="shared" si="12"/>
        <v/>
      </c>
      <c r="J10" s="344" t="s">
        <v>681</v>
      </c>
      <c r="K10" s="344"/>
      <c r="L10" s="344"/>
      <c r="M10" s="344" t="s">
        <v>1062</v>
      </c>
      <c r="N10" s="344"/>
      <c r="O10" s="344"/>
      <c r="P10" s="344"/>
      <c r="Q10" s="344"/>
      <c r="R10" s="344"/>
      <c r="S10" s="344"/>
      <c r="T10" s="349" t="str">
        <f t="shared" si="4"/>
        <v/>
      </c>
      <c r="U10" s="114">
        <f t="shared" si="5"/>
        <v>4</v>
      </c>
      <c r="V10" s="114" t="str">
        <f>_xlfn.CONCAT(E10," (",VLOOKUP(E10,Backend!C:D,2,FALSE),")")</f>
        <v xml:space="preserve"> (Zero)</v>
      </c>
      <c r="W10" s="114" t="str">
        <f t="shared" si="6"/>
        <v>4 - Electrical power supply and controls to  (Zero) fan</v>
      </c>
      <c r="X10" s="114" t="str">
        <f t="shared" si="7"/>
        <v xml:space="preserve"> with: </v>
      </c>
      <c r="Y10" s="114" t="str">
        <f t="shared" si="8"/>
        <v/>
      </c>
      <c r="Z10" s="114" t="str">
        <f t="shared" si="9"/>
        <v>from MSSB Power Supply</v>
      </c>
      <c r="AA10" s="114" t="str">
        <f t="shared" si="13"/>
        <v>4 - Electrical power supply and controls to  (Zero) fan with: from MSSB Power Supply</v>
      </c>
      <c r="AB10" s="114" t="str">
        <f t="shared" si="10"/>
        <v>4.1 - This includes supply and install of power and controls.</v>
      </c>
      <c r="AC10" s="114" t="str">
        <f>_xlfn.CONCAT(U10,".2 - Power for system includes: ",VLOOKUP(J10,_Fan!L:O,4,FALSE))</f>
        <v xml:space="preserve">4.2 - Power for system includes: CB and cabling to fan from MSSB, and local isolator, </v>
      </c>
      <c r="AD10" s="114" t="str">
        <f t="shared" si="0"/>
        <v/>
      </c>
      <c r="AE10" s="114" t="str">
        <f>_xlfn.CONCAT(IF(K10="Yes",VLOOKUP(K$1,_Fan!L:Z,4,FALSE),""),IF(L10="Yes",VLOOKUP(L$1,_Fan!L:Z,4,FALSE),""),IF(NOT(M10="No"),VLOOKUP(M10,_Fan!L:Z,4,FALSE),""),IF(N10="Yes",VLOOKUP(N$1,_Fan!L:Z,4,FALSE),""),IF(O10="Yes",VLOOKUP(O$1,_Fan!L:Z,4,FALSE),""),IF(P10="Yes",VLOOKUP(P$1,_Fan!L:Z,4,FALSE),""),IF(Q10="Yes",VLOOKUP(Q$1,_Fan!L:Z,4,FALSE),""),IF(R10="Yes",VLOOKUP(R$1,_Fan!L:Z,4,FALSE),""),IF(S10="Yes",VLOOKUP(S$1,_Fan!L:Z,4,FALSE),""))</f>
        <v/>
      </c>
    </row>
    <row r="11" spans="1:31" x14ac:dyDescent="0.4">
      <c r="A11" s="343" t="str">
        <f t="shared" si="11"/>
        <v>INVALID</v>
      </c>
      <c r="B11" s="344" t="str">
        <f t="shared" si="1"/>
        <v>Fan 10</v>
      </c>
      <c r="C11" s="345">
        <f t="shared" si="2"/>
        <v>0</v>
      </c>
      <c r="D11" s="344">
        <f t="shared" si="3"/>
        <v>0</v>
      </c>
      <c r="E11" s="344"/>
      <c r="F11" s="344"/>
      <c r="G11" s="344">
        <f>VLOOKUP(J11,_Fan!L:N,2,FALSE)</f>
        <v>570.25</v>
      </c>
      <c r="H11" s="344">
        <f>VLOOKUP(J11,_Fan!L:N,3,FALSE)</f>
        <v>6</v>
      </c>
      <c r="I11" s="344" t="str">
        <f t="shared" si="12"/>
        <v/>
      </c>
      <c r="J11" s="344" t="s">
        <v>681</v>
      </c>
      <c r="K11" s="344"/>
      <c r="L11" s="344"/>
      <c r="M11" s="344" t="s">
        <v>1062</v>
      </c>
      <c r="N11" s="344"/>
      <c r="O11" s="344"/>
      <c r="P11" s="344"/>
      <c r="Q11" s="344"/>
      <c r="R11" s="344"/>
      <c r="S11" s="344"/>
      <c r="T11" s="349" t="str">
        <f t="shared" si="4"/>
        <v/>
      </c>
      <c r="U11" s="114">
        <f t="shared" si="5"/>
        <v>4</v>
      </c>
      <c r="V11" s="114" t="str">
        <f>_xlfn.CONCAT(E11," (",VLOOKUP(E11,Backend!C:D,2,FALSE),")")</f>
        <v xml:space="preserve"> (Zero)</v>
      </c>
      <c r="W11" s="114" t="str">
        <f t="shared" si="6"/>
        <v>4 - Electrical power supply and controls to  (Zero) fan</v>
      </c>
      <c r="X11" s="114" t="str">
        <f t="shared" si="7"/>
        <v xml:space="preserve"> with: </v>
      </c>
      <c r="Y11" s="114" t="str">
        <f t="shared" si="8"/>
        <v/>
      </c>
      <c r="Z11" s="114" t="str">
        <f t="shared" si="9"/>
        <v>from MSSB Power Supply</v>
      </c>
      <c r="AA11" s="114" t="str">
        <f t="shared" si="13"/>
        <v>4 - Electrical power supply and controls to  (Zero) fan with: from MSSB Power Supply</v>
      </c>
      <c r="AB11" s="114" t="str">
        <f t="shared" si="10"/>
        <v>4.1 - This includes supply and install of power and controls.</v>
      </c>
      <c r="AC11" s="114" t="str">
        <f>_xlfn.CONCAT(U11,".2 - Power for system includes: ",VLOOKUP(J11,_Fan!L:O,4,FALSE))</f>
        <v xml:space="preserve">4.2 - Power for system includes: CB and cabling to fan from MSSB, and local isolator, </v>
      </c>
      <c r="AD11" s="114" t="str">
        <f t="shared" si="0"/>
        <v/>
      </c>
      <c r="AE11" s="114" t="str">
        <f>_xlfn.CONCAT(IF(K11="Yes",VLOOKUP(K$1,_Fan!L:Z,4,FALSE),""),IF(L11="Yes",VLOOKUP(L$1,_Fan!L:Z,4,FALSE),""),IF(NOT(M11="No"),VLOOKUP(M11,_Fan!L:Z,4,FALSE),""),IF(N11="Yes",VLOOKUP(N$1,_Fan!L:Z,4,FALSE),""),IF(O11="Yes",VLOOKUP(O$1,_Fan!L:Z,4,FALSE),""),IF(P11="Yes",VLOOKUP(P$1,_Fan!L:Z,4,FALSE),""),IF(Q11="Yes",VLOOKUP(Q$1,_Fan!L:Z,4,FALSE),""),IF(R11="Yes",VLOOKUP(R$1,_Fan!L:Z,4,FALSE),""),IF(S11="Yes",VLOOKUP(S$1,_Fan!L:Z,4,FALSE),""))</f>
        <v/>
      </c>
    </row>
    <row r="12" spans="1:31" x14ac:dyDescent="0.4">
      <c r="A12" s="343" t="str">
        <f t="shared" si="11"/>
        <v>INVALID</v>
      </c>
      <c r="B12" s="344" t="str">
        <f t="shared" si="1"/>
        <v>Fan 11</v>
      </c>
      <c r="C12" s="345">
        <f t="shared" si="2"/>
        <v>0</v>
      </c>
      <c r="D12" s="344">
        <f t="shared" si="3"/>
        <v>0</v>
      </c>
      <c r="E12" s="344"/>
      <c r="F12" s="344"/>
      <c r="G12" s="344">
        <f>VLOOKUP(J12,_Fan!L:N,2,FALSE)</f>
        <v>570.25</v>
      </c>
      <c r="H12" s="344">
        <f>VLOOKUP(J12,_Fan!L:N,3,FALSE)</f>
        <v>6</v>
      </c>
      <c r="I12" s="344" t="str">
        <f t="shared" si="12"/>
        <v/>
      </c>
      <c r="J12" s="344" t="s">
        <v>681</v>
      </c>
      <c r="K12" s="344"/>
      <c r="L12" s="344"/>
      <c r="M12" s="344" t="s">
        <v>1062</v>
      </c>
      <c r="N12" s="344"/>
      <c r="O12" s="344"/>
      <c r="P12" s="344"/>
      <c r="Q12" s="344"/>
      <c r="R12" s="344"/>
      <c r="S12" s="344"/>
      <c r="T12" s="349" t="str">
        <f t="shared" si="4"/>
        <v/>
      </c>
      <c r="U12" s="114">
        <f t="shared" si="5"/>
        <v>4</v>
      </c>
      <c r="V12" s="114" t="str">
        <f>_xlfn.CONCAT(E12," (",VLOOKUP(E12,Backend!C:D,2,FALSE),")")</f>
        <v xml:space="preserve"> (Zero)</v>
      </c>
      <c r="W12" s="114" t="str">
        <f t="shared" si="6"/>
        <v>4 - Electrical power supply and controls to  (Zero) fan</v>
      </c>
      <c r="X12" s="114" t="str">
        <f t="shared" si="7"/>
        <v xml:space="preserve"> with: </v>
      </c>
      <c r="Y12" s="114" t="str">
        <f t="shared" si="8"/>
        <v/>
      </c>
      <c r="Z12" s="114" t="str">
        <f t="shared" si="9"/>
        <v>from MSSB Power Supply</v>
      </c>
      <c r="AA12" s="114" t="str">
        <f t="shared" si="13"/>
        <v>4 - Electrical power supply and controls to  (Zero) fan with: from MSSB Power Supply</v>
      </c>
      <c r="AB12" s="114" t="str">
        <f t="shared" si="10"/>
        <v>4.1 - This includes supply and install of power and controls.</v>
      </c>
      <c r="AC12" s="114" t="str">
        <f>_xlfn.CONCAT(U12,".2 - Power for system includes: ",VLOOKUP(J12,_Fan!L:O,4,FALSE))</f>
        <v xml:space="preserve">4.2 - Power for system includes: CB and cabling to fan from MSSB, and local isolator, </v>
      </c>
      <c r="AD12" s="114" t="str">
        <f t="shared" si="0"/>
        <v/>
      </c>
      <c r="AE12" s="114" t="str">
        <f>_xlfn.CONCAT(IF(K12="Yes",VLOOKUP(K$1,_Fan!L:Z,4,FALSE),""),IF(L12="Yes",VLOOKUP(L$1,_Fan!L:Z,4,FALSE),""),IF(NOT(M12="No"),VLOOKUP(M12,_Fan!L:Z,4,FALSE),""),IF(N12="Yes",VLOOKUP(N$1,_Fan!L:Z,4,FALSE),""),IF(O12="Yes",VLOOKUP(O$1,_Fan!L:Z,4,FALSE),""),IF(P12="Yes",VLOOKUP(P$1,_Fan!L:Z,4,FALSE),""),IF(Q12="Yes",VLOOKUP(Q$1,_Fan!L:Z,4,FALSE),""),IF(R12="Yes",VLOOKUP(R$1,_Fan!L:Z,4,FALSE),""),IF(S12="Yes",VLOOKUP(S$1,_Fan!L:Z,4,FALSE),""))</f>
        <v/>
      </c>
    </row>
    <row r="13" spans="1:31" x14ac:dyDescent="0.4">
      <c r="A13" s="343" t="str">
        <f t="shared" si="11"/>
        <v>INVALID</v>
      </c>
      <c r="B13" s="344" t="str">
        <f t="shared" si="1"/>
        <v>Fan 12</v>
      </c>
      <c r="C13" s="345">
        <f t="shared" si="2"/>
        <v>0</v>
      </c>
      <c r="D13" s="344">
        <f t="shared" si="3"/>
        <v>0</v>
      </c>
      <c r="E13" s="344"/>
      <c r="F13" s="344"/>
      <c r="G13" s="344">
        <f>VLOOKUP(J13,_Fan!L:N,2,FALSE)</f>
        <v>570.25</v>
      </c>
      <c r="H13" s="344">
        <f>VLOOKUP(J13,_Fan!L:N,3,FALSE)</f>
        <v>6</v>
      </c>
      <c r="I13" s="344" t="str">
        <f t="shared" si="12"/>
        <v/>
      </c>
      <c r="J13" s="344" t="s">
        <v>681</v>
      </c>
      <c r="K13" s="344"/>
      <c r="L13" s="344"/>
      <c r="M13" s="344" t="s">
        <v>1062</v>
      </c>
      <c r="N13" s="344"/>
      <c r="O13" s="344"/>
      <c r="P13" s="344"/>
      <c r="Q13" s="344"/>
      <c r="R13" s="344"/>
      <c r="S13" s="344"/>
      <c r="T13" s="349" t="str">
        <f t="shared" si="4"/>
        <v/>
      </c>
      <c r="U13" s="114">
        <f t="shared" si="5"/>
        <v>4</v>
      </c>
      <c r="V13" s="114" t="str">
        <f>_xlfn.CONCAT(E13," (",VLOOKUP(E13,Backend!C:D,2,FALSE),")")</f>
        <v xml:space="preserve"> (Zero)</v>
      </c>
      <c r="W13" s="114" t="str">
        <f t="shared" si="6"/>
        <v>4 - Electrical power supply and controls to  (Zero) fan</v>
      </c>
      <c r="X13" s="114" t="str">
        <f t="shared" si="7"/>
        <v xml:space="preserve"> with: </v>
      </c>
      <c r="Y13" s="114" t="str">
        <f t="shared" si="8"/>
        <v/>
      </c>
      <c r="Z13" s="114" t="str">
        <f t="shared" si="9"/>
        <v>from MSSB Power Supply</v>
      </c>
      <c r="AA13" s="114" t="str">
        <f t="shared" si="13"/>
        <v>4 - Electrical power supply and controls to  (Zero) fan with: from MSSB Power Supply</v>
      </c>
      <c r="AB13" s="114" t="str">
        <f t="shared" si="10"/>
        <v>4.1 - This includes supply and install of power and controls.</v>
      </c>
      <c r="AC13" s="114" t="str">
        <f>_xlfn.CONCAT(U13,".2 - Power for system includes: ",VLOOKUP(J13,_Fan!L:O,4,FALSE))</f>
        <v xml:space="preserve">4.2 - Power for system includes: CB and cabling to fan from MSSB, and local isolator, </v>
      </c>
      <c r="AD13" s="114" t="str">
        <f t="shared" si="0"/>
        <v/>
      </c>
      <c r="AE13" s="114" t="str">
        <f>_xlfn.CONCAT(IF(K13="Yes",VLOOKUP(K$1,_Fan!L:Z,4,FALSE),""),IF(L13="Yes",VLOOKUP(L$1,_Fan!L:Z,4,FALSE),""),IF(NOT(M13="No"),VLOOKUP(M13,_Fan!L:Z,4,FALSE),""),IF(N13="Yes",VLOOKUP(N$1,_Fan!L:Z,4,FALSE),""),IF(O13="Yes",VLOOKUP(O$1,_Fan!L:Z,4,FALSE),""),IF(P13="Yes",VLOOKUP(P$1,_Fan!L:Z,4,FALSE),""),IF(Q13="Yes",VLOOKUP(Q$1,_Fan!L:Z,4,FALSE),""),IF(R13="Yes",VLOOKUP(R$1,_Fan!L:Z,4,FALSE),""),IF(S13="Yes",VLOOKUP(S$1,_Fan!L:Z,4,FALSE),""))</f>
        <v/>
      </c>
    </row>
    <row r="14" spans="1:31" x14ac:dyDescent="0.4">
      <c r="A14" s="343" t="str">
        <f t="shared" si="11"/>
        <v>INVALID</v>
      </c>
      <c r="B14" s="344" t="str">
        <f t="shared" si="1"/>
        <v>Fan 13</v>
      </c>
      <c r="C14" s="345">
        <f t="shared" si="2"/>
        <v>0</v>
      </c>
      <c r="D14" s="344">
        <f t="shared" si="3"/>
        <v>0</v>
      </c>
      <c r="E14" s="344"/>
      <c r="F14" s="344"/>
      <c r="G14" s="344">
        <f>VLOOKUP(J14,_Fan!L:N,2,FALSE)</f>
        <v>570.25</v>
      </c>
      <c r="H14" s="344">
        <f>VLOOKUP(J14,_Fan!L:N,3,FALSE)</f>
        <v>6</v>
      </c>
      <c r="I14" s="344" t="str">
        <f t="shared" si="12"/>
        <v/>
      </c>
      <c r="J14" s="344" t="s">
        <v>681</v>
      </c>
      <c r="K14" s="344"/>
      <c r="L14" s="344"/>
      <c r="M14" s="344" t="s">
        <v>1062</v>
      </c>
      <c r="N14" s="344"/>
      <c r="O14" s="344"/>
      <c r="P14" s="344"/>
      <c r="Q14" s="344"/>
      <c r="R14" s="344"/>
      <c r="S14" s="344"/>
      <c r="T14" s="349" t="str">
        <f t="shared" si="4"/>
        <v/>
      </c>
      <c r="U14" s="114">
        <f t="shared" si="5"/>
        <v>4</v>
      </c>
      <c r="V14" s="114" t="str">
        <f>_xlfn.CONCAT(E14," (",VLOOKUP(E14,Backend!C:D,2,FALSE),")")</f>
        <v xml:space="preserve"> (Zero)</v>
      </c>
      <c r="W14" s="114" t="str">
        <f t="shared" si="6"/>
        <v>4 - Electrical power supply and controls to  (Zero) fan</v>
      </c>
      <c r="X14" s="114" t="str">
        <f t="shared" si="7"/>
        <v xml:space="preserve"> with: </v>
      </c>
      <c r="Y14" s="114" t="str">
        <f t="shared" si="8"/>
        <v/>
      </c>
      <c r="Z14" s="114" t="str">
        <f t="shared" si="9"/>
        <v>from MSSB Power Supply</v>
      </c>
      <c r="AA14" s="114" t="str">
        <f t="shared" si="13"/>
        <v>4 - Electrical power supply and controls to  (Zero) fan with: from MSSB Power Supply</v>
      </c>
      <c r="AB14" s="114" t="str">
        <f t="shared" si="10"/>
        <v>4.1 - This includes supply and install of power and controls.</v>
      </c>
      <c r="AC14" s="114" t="str">
        <f>_xlfn.CONCAT(U14,".2 - Power for system includes: ",VLOOKUP(J14,_Fan!L:O,4,FALSE))</f>
        <v xml:space="preserve">4.2 - Power for system includes: CB and cabling to fan from MSSB, and local isolator, </v>
      </c>
      <c r="AD14" s="114" t="str">
        <f t="shared" si="0"/>
        <v/>
      </c>
      <c r="AE14" s="114" t="str">
        <f>_xlfn.CONCAT(IF(K14="Yes",VLOOKUP(K$1,_Fan!L:Z,4,FALSE),""),IF(L14="Yes",VLOOKUP(L$1,_Fan!L:Z,4,FALSE),""),IF(NOT(M14="No"),VLOOKUP(M14,_Fan!L:Z,4,FALSE),""),IF(N14="Yes",VLOOKUP(N$1,_Fan!L:Z,4,FALSE),""),IF(O14="Yes",VLOOKUP(O$1,_Fan!L:Z,4,FALSE),""),IF(P14="Yes",VLOOKUP(P$1,_Fan!L:Z,4,FALSE),""),IF(Q14="Yes",VLOOKUP(Q$1,_Fan!L:Z,4,FALSE),""),IF(R14="Yes",VLOOKUP(R$1,_Fan!L:Z,4,FALSE),""),IF(S14="Yes",VLOOKUP(S$1,_Fan!L:Z,4,FALSE),""))</f>
        <v/>
      </c>
    </row>
    <row r="15" spans="1:31" x14ac:dyDescent="0.4">
      <c r="A15" s="343" t="str">
        <f t="shared" si="11"/>
        <v>INVALID</v>
      </c>
      <c r="B15" s="344" t="str">
        <f t="shared" si="1"/>
        <v>Fan 14</v>
      </c>
      <c r="C15" s="345">
        <f t="shared" si="2"/>
        <v>0</v>
      </c>
      <c r="D15" s="344">
        <f t="shared" si="3"/>
        <v>0</v>
      </c>
      <c r="E15" s="344"/>
      <c r="F15" s="344"/>
      <c r="G15" s="344">
        <f>VLOOKUP(J15,_Fan!L:N,2,FALSE)</f>
        <v>570.25</v>
      </c>
      <c r="H15" s="344">
        <f>VLOOKUP(J15,_Fan!L:N,3,FALSE)</f>
        <v>6</v>
      </c>
      <c r="I15" s="344" t="str">
        <f t="shared" si="12"/>
        <v/>
      </c>
      <c r="J15" s="344" t="s">
        <v>681</v>
      </c>
      <c r="K15" s="344"/>
      <c r="L15" s="344"/>
      <c r="M15" s="344" t="s">
        <v>1062</v>
      </c>
      <c r="N15" s="344"/>
      <c r="O15" s="344"/>
      <c r="P15" s="344"/>
      <c r="Q15" s="344"/>
      <c r="R15" s="344"/>
      <c r="S15" s="344"/>
      <c r="T15" s="349" t="str">
        <f t="shared" si="4"/>
        <v/>
      </c>
      <c r="U15" s="114">
        <f t="shared" si="5"/>
        <v>4</v>
      </c>
      <c r="V15" s="114" t="str">
        <f>_xlfn.CONCAT(E15," (",VLOOKUP(E15,Backend!C:D,2,FALSE),")")</f>
        <v xml:space="preserve"> (Zero)</v>
      </c>
      <c r="W15" s="114" t="str">
        <f t="shared" si="6"/>
        <v>4 - Electrical power supply and controls to  (Zero) fan</v>
      </c>
      <c r="X15" s="114" t="str">
        <f t="shared" si="7"/>
        <v xml:space="preserve"> with: </v>
      </c>
      <c r="Y15" s="114" t="str">
        <f t="shared" si="8"/>
        <v/>
      </c>
      <c r="Z15" s="114" t="str">
        <f t="shared" si="9"/>
        <v>from MSSB Power Supply</v>
      </c>
      <c r="AA15" s="114" t="str">
        <f t="shared" si="13"/>
        <v>4 - Electrical power supply and controls to  (Zero) fan with: from MSSB Power Supply</v>
      </c>
      <c r="AB15" s="114" t="str">
        <f t="shared" si="10"/>
        <v>4.1 - This includes supply and install of power and controls.</v>
      </c>
      <c r="AC15" s="114" t="str">
        <f>_xlfn.CONCAT(U15,".2 - Power for system includes: ",VLOOKUP(J15,_Fan!L:O,4,FALSE))</f>
        <v xml:space="preserve">4.2 - Power for system includes: CB and cabling to fan from MSSB, and local isolator, </v>
      </c>
      <c r="AD15" s="114" t="str">
        <f t="shared" si="0"/>
        <v/>
      </c>
      <c r="AE15" s="114" t="str">
        <f>_xlfn.CONCAT(IF(K15="Yes",VLOOKUP(K$1,_Fan!L:Z,4,FALSE),""),IF(L15="Yes",VLOOKUP(L$1,_Fan!L:Z,4,FALSE),""),IF(NOT(M15="No"),VLOOKUP(M15,_Fan!L:Z,4,FALSE),""),IF(N15="Yes",VLOOKUP(N$1,_Fan!L:Z,4,FALSE),""),IF(O15="Yes",VLOOKUP(O$1,_Fan!L:Z,4,FALSE),""),IF(P15="Yes",VLOOKUP(P$1,_Fan!L:Z,4,FALSE),""),IF(Q15="Yes",VLOOKUP(Q$1,_Fan!L:Z,4,FALSE),""),IF(R15="Yes",VLOOKUP(R$1,_Fan!L:Z,4,FALSE),""),IF(S15="Yes",VLOOKUP(S$1,_Fan!L:Z,4,FALSE),""))</f>
        <v/>
      </c>
    </row>
    <row r="16" spans="1:31" x14ac:dyDescent="0.4">
      <c r="A16" s="343" t="str">
        <f t="shared" si="11"/>
        <v>INVALID</v>
      </c>
      <c r="B16" s="344" t="str">
        <f t="shared" si="1"/>
        <v>Fan 15</v>
      </c>
      <c r="C16" s="345">
        <f t="shared" si="2"/>
        <v>0</v>
      </c>
      <c r="D16" s="344">
        <f t="shared" si="3"/>
        <v>0</v>
      </c>
      <c r="E16" s="344"/>
      <c r="F16" s="344"/>
      <c r="G16" s="344">
        <f>VLOOKUP(J16,_Fan!L:N,2,FALSE)</f>
        <v>570.25</v>
      </c>
      <c r="H16" s="344">
        <f>VLOOKUP(J16,_Fan!L:N,3,FALSE)</f>
        <v>6</v>
      </c>
      <c r="I16" s="344" t="str">
        <f t="shared" si="12"/>
        <v/>
      </c>
      <c r="J16" s="344" t="s">
        <v>681</v>
      </c>
      <c r="K16" s="344"/>
      <c r="L16" s="344"/>
      <c r="M16" s="344" t="s">
        <v>1062</v>
      </c>
      <c r="N16" s="344"/>
      <c r="O16" s="344"/>
      <c r="P16" s="344"/>
      <c r="Q16" s="344"/>
      <c r="R16" s="344"/>
      <c r="S16" s="344"/>
      <c r="T16" s="349" t="str">
        <f t="shared" si="4"/>
        <v/>
      </c>
      <c r="U16" s="114">
        <f t="shared" si="5"/>
        <v>4</v>
      </c>
      <c r="V16" s="114" t="str">
        <f>_xlfn.CONCAT(E16," (",VLOOKUP(E16,Backend!C:D,2,FALSE),")")</f>
        <v xml:space="preserve"> (Zero)</v>
      </c>
      <c r="W16" s="114" t="str">
        <f t="shared" si="6"/>
        <v>4 - Electrical power supply and controls to  (Zero) fan</v>
      </c>
      <c r="X16" s="114" t="str">
        <f t="shared" si="7"/>
        <v xml:space="preserve"> with: </v>
      </c>
      <c r="Y16" s="114" t="str">
        <f t="shared" si="8"/>
        <v/>
      </c>
      <c r="Z16" s="114" t="str">
        <f t="shared" si="9"/>
        <v>from MSSB Power Supply</v>
      </c>
      <c r="AA16" s="114" t="str">
        <f t="shared" si="13"/>
        <v>4 - Electrical power supply and controls to  (Zero) fan with: from MSSB Power Supply</v>
      </c>
      <c r="AB16" s="114" t="str">
        <f t="shared" si="10"/>
        <v>4.1 - This includes supply and install of power and controls.</v>
      </c>
      <c r="AC16" s="114" t="str">
        <f>_xlfn.CONCAT(U16,".2 - Power for system includes: ",VLOOKUP(J16,_Fan!L:O,4,FALSE))</f>
        <v xml:space="preserve">4.2 - Power for system includes: CB and cabling to fan from MSSB, and local isolator, </v>
      </c>
      <c r="AD16" s="114" t="str">
        <f t="shared" si="0"/>
        <v/>
      </c>
      <c r="AE16" s="114" t="str">
        <f>_xlfn.CONCAT(IF(K16="Yes",VLOOKUP(K$1,_Fan!L:Z,4,FALSE),""),IF(L16="Yes",VLOOKUP(L$1,_Fan!L:Z,4,FALSE),""),IF(NOT(M16="No"),VLOOKUP(M16,_Fan!L:Z,4,FALSE),""),IF(N16="Yes",VLOOKUP(N$1,_Fan!L:Z,4,FALSE),""),IF(O16="Yes",VLOOKUP(O$1,_Fan!L:Z,4,FALSE),""),IF(P16="Yes",VLOOKUP(P$1,_Fan!L:Z,4,FALSE),""),IF(Q16="Yes",VLOOKUP(Q$1,_Fan!L:Z,4,FALSE),""),IF(R16="Yes",VLOOKUP(R$1,_Fan!L:Z,4,FALSE),""),IF(S16="Yes",VLOOKUP(S$1,_Fan!L:Z,4,FALSE),""))</f>
        <v/>
      </c>
    </row>
    <row r="17" spans="1:31" x14ac:dyDescent="0.4">
      <c r="A17" s="343" t="str">
        <f t="shared" si="11"/>
        <v>INVALID</v>
      </c>
      <c r="B17" s="344" t="str">
        <f t="shared" si="1"/>
        <v>Fan 16</v>
      </c>
      <c r="C17" s="345">
        <f t="shared" si="2"/>
        <v>0</v>
      </c>
      <c r="D17" s="344">
        <f t="shared" si="3"/>
        <v>0</v>
      </c>
      <c r="E17" s="344"/>
      <c r="F17" s="344"/>
      <c r="G17" s="344">
        <f>VLOOKUP(J17,_Fan!L:N,2,FALSE)</f>
        <v>570.25</v>
      </c>
      <c r="H17" s="344">
        <f>VLOOKUP(J17,_Fan!L:N,3,FALSE)</f>
        <v>6</v>
      </c>
      <c r="I17" s="344" t="str">
        <f t="shared" si="12"/>
        <v/>
      </c>
      <c r="J17" s="344" t="s">
        <v>681</v>
      </c>
      <c r="K17" s="344"/>
      <c r="L17" s="344"/>
      <c r="M17" s="344" t="s">
        <v>1062</v>
      </c>
      <c r="N17" s="344"/>
      <c r="O17" s="344"/>
      <c r="P17" s="344"/>
      <c r="Q17" s="344"/>
      <c r="R17" s="344"/>
      <c r="S17" s="344"/>
      <c r="T17" s="349" t="str">
        <f t="shared" si="4"/>
        <v/>
      </c>
      <c r="U17" s="114">
        <f t="shared" si="5"/>
        <v>4</v>
      </c>
      <c r="V17" s="114" t="str">
        <f>_xlfn.CONCAT(E17," (",VLOOKUP(E17,Backend!C:D,2,FALSE),")")</f>
        <v xml:space="preserve"> (Zero)</v>
      </c>
      <c r="W17" s="114" t="str">
        <f t="shared" si="6"/>
        <v>4 - Electrical power supply and controls to  (Zero) fan</v>
      </c>
      <c r="X17" s="114" t="str">
        <f t="shared" si="7"/>
        <v xml:space="preserve"> with: </v>
      </c>
      <c r="Y17" s="114" t="str">
        <f t="shared" si="8"/>
        <v/>
      </c>
      <c r="Z17" s="114" t="str">
        <f t="shared" si="9"/>
        <v>from MSSB Power Supply</v>
      </c>
      <c r="AA17" s="114" t="str">
        <f t="shared" si="13"/>
        <v>4 - Electrical power supply and controls to  (Zero) fan with: from MSSB Power Supply</v>
      </c>
      <c r="AB17" s="114" t="str">
        <f t="shared" si="10"/>
        <v>4.1 - This includes supply and install of power and controls.</v>
      </c>
      <c r="AC17" s="114" t="str">
        <f>_xlfn.CONCAT(U17,".2 - Power for system includes: ",VLOOKUP(J17,_Fan!L:O,4,FALSE))</f>
        <v xml:space="preserve">4.2 - Power for system includes: CB and cabling to fan from MSSB, and local isolator, </v>
      </c>
      <c r="AD17" s="114" t="str">
        <f t="shared" si="0"/>
        <v/>
      </c>
      <c r="AE17" s="114" t="str">
        <f>_xlfn.CONCAT(IF(K17="Yes",VLOOKUP(K$1,_Fan!L:Z,4,FALSE),""),IF(L17="Yes",VLOOKUP(L$1,_Fan!L:Z,4,FALSE),""),IF(NOT(M17="No"),VLOOKUP(M17,_Fan!L:Z,4,FALSE),""),IF(N17="Yes",VLOOKUP(N$1,_Fan!L:Z,4,FALSE),""),IF(O17="Yes",VLOOKUP(O$1,_Fan!L:Z,4,FALSE),""),IF(P17="Yes",VLOOKUP(P$1,_Fan!L:Z,4,FALSE),""),IF(Q17="Yes",VLOOKUP(Q$1,_Fan!L:Z,4,FALSE),""),IF(R17="Yes",VLOOKUP(R$1,_Fan!L:Z,4,FALSE),""),IF(S17="Yes",VLOOKUP(S$1,_Fan!L:Z,4,FALSE),""))</f>
        <v/>
      </c>
    </row>
    <row r="18" spans="1:31" x14ac:dyDescent="0.4">
      <c r="A18" s="343" t="str">
        <f t="shared" si="11"/>
        <v>INVALID</v>
      </c>
      <c r="B18" s="344" t="str">
        <f t="shared" si="1"/>
        <v>Fan 17</v>
      </c>
      <c r="C18" s="345">
        <f t="shared" si="2"/>
        <v>0</v>
      </c>
      <c r="D18" s="344">
        <f t="shared" si="3"/>
        <v>0</v>
      </c>
      <c r="E18" s="344"/>
      <c r="F18" s="344"/>
      <c r="G18" s="344">
        <f>VLOOKUP(J18,_Fan!L:N,2,FALSE)</f>
        <v>570.25</v>
      </c>
      <c r="H18" s="344">
        <f>VLOOKUP(J18,_Fan!L:N,3,FALSE)</f>
        <v>6</v>
      </c>
      <c r="I18" s="344" t="str">
        <f t="shared" si="12"/>
        <v/>
      </c>
      <c r="J18" s="344" t="s">
        <v>681</v>
      </c>
      <c r="K18" s="344"/>
      <c r="L18" s="344"/>
      <c r="M18" s="344" t="s">
        <v>1062</v>
      </c>
      <c r="N18" s="344"/>
      <c r="O18" s="344"/>
      <c r="P18" s="344"/>
      <c r="Q18" s="344"/>
      <c r="R18" s="344"/>
      <c r="S18" s="344"/>
      <c r="T18" s="349" t="str">
        <f t="shared" si="4"/>
        <v/>
      </c>
      <c r="U18" s="114">
        <f t="shared" si="5"/>
        <v>4</v>
      </c>
      <c r="V18" s="114" t="str">
        <f>_xlfn.CONCAT(E18," (",VLOOKUP(E18,Backend!C:D,2,FALSE),")")</f>
        <v xml:space="preserve"> (Zero)</v>
      </c>
      <c r="W18" s="114" t="str">
        <f t="shared" si="6"/>
        <v>4 - Electrical power supply and controls to  (Zero) fan</v>
      </c>
      <c r="X18" s="114" t="str">
        <f t="shared" si="7"/>
        <v xml:space="preserve"> with: </v>
      </c>
      <c r="Y18" s="114" t="str">
        <f t="shared" si="8"/>
        <v/>
      </c>
      <c r="Z18" s="114" t="str">
        <f t="shared" si="9"/>
        <v>from MSSB Power Supply</v>
      </c>
      <c r="AA18" s="114" t="str">
        <f t="shared" si="13"/>
        <v>4 - Electrical power supply and controls to  (Zero) fan with: from MSSB Power Supply</v>
      </c>
      <c r="AB18" s="114" t="str">
        <f t="shared" si="10"/>
        <v>4.1 - This includes supply and install of power and controls.</v>
      </c>
      <c r="AC18" s="114" t="str">
        <f>_xlfn.CONCAT(U18,".2 - Power for system includes: ",VLOOKUP(J18,_Fan!L:O,4,FALSE))</f>
        <v xml:space="preserve">4.2 - Power for system includes: CB and cabling to fan from MSSB, and local isolator, </v>
      </c>
      <c r="AD18" s="114" t="str">
        <f t="shared" si="0"/>
        <v/>
      </c>
      <c r="AE18" s="114" t="str">
        <f>_xlfn.CONCAT(IF(K18="Yes",VLOOKUP(K$1,_Fan!L:Z,4,FALSE),""),IF(L18="Yes",VLOOKUP(L$1,_Fan!L:Z,4,FALSE),""),IF(NOT(M18="No"),VLOOKUP(M18,_Fan!L:Z,4,FALSE),""),IF(N18="Yes",VLOOKUP(N$1,_Fan!L:Z,4,FALSE),""),IF(O18="Yes",VLOOKUP(O$1,_Fan!L:Z,4,FALSE),""),IF(P18="Yes",VLOOKUP(P$1,_Fan!L:Z,4,FALSE),""),IF(Q18="Yes",VLOOKUP(Q$1,_Fan!L:Z,4,FALSE),""),IF(R18="Yes",VLOOKUP(R$1,_Fan!L:Z,4,FALSE),""),IF(S18="Yes",VLOOKUP(S$1,_Fan!L:Z,4,FALSE),""))</f>
        <v/>
      </c>
    </row>
    <row r="19" spans="1:31" x14ac:dyDescent="0.4">
      <c r="A19" s="343" t="str">
        <f t="shared" si="11"/>
        <v>INVALID</v>
      </c>
      <c r="B19" s="344" t="str">
        <f t="shared" si="1"/>
        <v>Fan 18</v>
      </c>
      <c r="C19" s="345">
        <f t="shared" si="2"/>
        <v>0</v>
      </c>
      <c r="D19" s="344">
        <f t="shared" si="3"/>
        <v>0</v>
      </c>
      <c r="E19" s="344"/>
      <c r="F19" s="344"/>
      <c r="G19" s="344">
        <f>VLOOKUP(J19,_Fan!L:N,2,FALSE)</f>
        <v>570.25</v>
      </c>
      <c r="H19" s="344">
        <f>VLOOKUP(J19,_Fan!L:N,3,FALSE)</f>
        <v>6</v>
      </c>
      <c r="I19" s="344" t="str">
        <f t="shared" si="12"/>
        <v/>
      </c>
      <c r="J19" s="344" t="s">
        <v>681</v>
      </c>
      <c r="K19" s="344"/>
      <c r="L19" s="344"/>
      <c r="M19" s="344" t="s">
        <v>1062</v>
      </c>
      <c r="N19" s="344"/>
      <c r="O19" s="344"/>
      <c r="P19" s="344"/>
      <c r="Q19" s="344"/>
      <c r="R19" s="344"/>
      <c r="S19" s="344"/>
      <c r="T19" s="349" t="str">
        <f t="shared" si="4"/>
        <v/>
      </c>
      <c r="U19" s="114">
        <f t="shared" si="5"/>
        <v>4</v>
      </c>
      <c r="V19" s="114" t="str">
        <f>_xlfn.CONCAT(E19," (",VLOOKUP(E19,Backend!C:D,2,FALSE),")")</f>
        <v xml:space="preserve"> (Zero)</v>
      </c>
      <c r="W19" s="114" t="str">
        <f t="shared" si="6"/>
        <v>4 - Electrical power supply and controls to  (Zero) fan</v>
      </c>
      <c r="X19" s="114" t="str">
        <f t="shared" si="7"/>
        <v xml:space="preserve"> with: </v>
      </c>
      <c r="Y19" s="114" t="str">
        <f t="shared" si="8"/>
        <v/>
      </c>
      <c r="Z19" s="114" t="str">
        <f t="shared" si="9"/>
        <v>from MSSB Power Supply</v>
      </c>
      <c r="AA19" s="114" t="str">
        <f t="shared" si="13"/>
        <v>4 - Electrical power supply and controls to  (Zero) fan with: from MSSB Power Supply</v>
      </c>
      <c r="AB19" s="114" t="str">
        <f t="shared" si="10"/>
        <v>4.1 - This includes supply and install of power and controls.</v>
      </c>
      <c r="AC19" s="114" t="str">
        <f>_xlfn.CONCAT(U19,".2 - Power for system includes: ",VLOOKUP(J19,_Fan!L:O,4,FALSE))</f>
        <v xml:space="preserve">4.2 - Power for system includes: CB and cabling to fan from MSSB, and local isolator, </v>
      </c>
      <c r="AD19" s="114" t="str">
        <f t="shared" si="0"/>
        <v/>
      </c>
      <c r="AE19" s="114" t="str">
        <f>_xlfn.CONCAT(IF(K19="Yes",VLOOKUP(K$1,_Fan!L:Z,4,FALSE),""),IF(L19="Yes",VLOOKUP(L$1,_Fan!L:Z,4,FALSE),""),IF(NOT(M19="No"),VLOOKUP(M19,_Fan!L:Z,4,FALSE),""),IF(N19="Yes",VLOOKUP(N$1,_Fan!L:Z,4,FALSE),""),IF(O19="Yes",VLOOKUP(O$1,_Fan!L:Z,4,FALSE),""),IF(P19="Yes",VLOOKUP(P$1,_Fan!L:Z,4,FALSE),""),IF(Q19="Yes",VLOOKUP(Q$1,_Fan!L:Z,4,FALSE),""),IF(R19="Yes",VLOOKUP(R$1,_Fan!L:Z,4,FALSE),""),IF(S19="Yes",VLOOKUP(S$1,_Fan!L:Z,4,FALSE),""))</f>
        <v/>
      </c>
    </row>
    <row r="20" spans="1:31" x14ac:dyDescent="0.4">
      <c r="A20" s="343" t="str">
        <f t="shared" si="11"/>
        <v>INVALID</v>
      </c>
      <c r="B20" s="344" t="str">
        <f t="shared" si="1"/>
        <v>Fan 19</v>
      </c>
      <c r="C20" s="345">
        <f t="shared" si="2"/>
        <v>0</v>
      </c>
      <c r="D20" s="344">
        <f t="shared" si="3"/>
        <v>0</v>
      </c>
      <c r="E20" s="344"/>
      <c r="F20" s="344"/>
      <c r="G20" s="344">
        <f>VLOOKUP(J20,_Fan!L:N,2,FALSE)</f>
        <v>570.25</v>
      </c>
      <c r="H20" s="344">
        <f>VLOOKUP(J20,_Fan!L:N,3,FALSE)</f>
        <v>6</v>
      </c>
      <c r="I20" s="344" t="str">
        <f t="shared" si="12"/>
        <v/>
      </c>
      <c r="J20" s="344" t="s">
        <v>681</v>
      </c>
      <c r="K20" s="344"/>
      <c r="L20" s="344"/>
      <c r="M20" s="344" t="s">
        <v>1062</v>
      </c>
      <c r="N20" s="344"/>
      <c r="O20" s="344"/>
      <c r="P20" s="344"/>
      <c r="Q20" s="344"/>
      <c r="R20" s="344"/>
      <c r="S20" s="344"/>
      <c r="T20" s="349" t="str">
        <f t="shared" si="4"/>
        <v/>
      </c>
      <c r="U20" s="114">
        <f t="shared" si="5"/>
        <v>4</v>
      </c>
      <c r="V20" s="114" t="str">
        <f>_xlfn.CONCAT(E20," (",VLOOKUP(E20,Backend!C:D,2,FALSE),")")</f>
        <v xml:space="preserve"> (Zero)</v>
      </c>
      <c r="W20" s="114" t="str">
        <f t="shared" si="6"/>
        <v>4 - Electrical power supply and controls to  (Zero) fan</v>
      </c>
      <c r="X20" s="114" t="str">
        <f t="shared" si="7"/>
        <v xml:space="preserve"> with: </v>
      </c>
      <c r="Y20" s="114" t="str">
        <f t="shared" si="8"/>
        <v/>
      </c>
      <c r="Z20" s="114" t="str">
        <f t="shared" si="9"/>
        <v>from MSSB Power Supply</v>
      </c>
      <c r="AA20" s="114" t="str">
        <f t="shared" si="13"/>
        <v>4 - Electrical power supply and controls to  (Zero) fan with: from MSSB Power Supply</v>
      </c>
      <c r="AB20" s="114" t="str">
        <f t="shared" si="10"/>
        <v>4.1 - This includes supply and install of power and controls.</v>
      </c>
      <c r="AC20" s="114" t="str">
        <f>_xlfn.CONCAT(U20,".2 - Power for system includes: ",VLOOKUP(J20,_Fan!L:O,4,FALSE))</f>
        <v xml:space="preserve">4.2 - Power for system includes: CB and cabling to fan from MSSB, and local isolator, </v>
      </c>
      <c r="AD20" s="114" t="str">
        <f t="shared" si="0"/>
        <v/>
      </c>
      <c r="AE20" s="114" t="str">
        <f>_xlfn.CONCAT(IF(K20="Yes",VLOOKUP(K$1,_Fan!L:Z,4,FALSE),""),IF(L20="Yes",VLOOKUP(L$1,_Fan!L:Z,4,FALSE),""),IF(NOT(M20="No"),VLOOKUP(M20,_Fan!L:Z,4,FALSE),""),IF(N20="Yes",VLOOKUP(N$1,_Fan!L:Z,4,FALSE),""),IF(O20="Yes",VLOOKUP(O$1,_Fan!L:Z,4,FALSE),""),IF(P20="Yes",VLOOKUP(P$1,_Fan!L:Z,4,FALSE),""),IF(Q20="Yes",VLOOKUP(Q$1,_Fan!L:Z,4,FALSE),""),IF(R20="Yes",VLOOKUP(R$1,_Fan!L:Z,4,FALSE),""),IF(S20="Yes",VLOOKUP(S$1,_Fan!L:Z,4,FALSE),""))</f>
        <v/>
      </c>
    </row>
    <row r="21" spans="1:31" x14ac:dyDescent="0.4">
      <c r="A21" s="343" t="str">
        <f t="shared" si="11"/>
        <v>INVALID</v>
      </c>
      <c r="B21" s="344" t="str">
        <f t="shared" si="1"/>
        <v>Fan 20</v>
      </c>
      <c r="C21" s="345">
        <f t="shared" si="2"/>
        <v>0</v>
      </c>
      <c r="D21" s="344">
        <f t="shared" si="3"/>
        <v>0</v>
      </c>
      <c r="E21" s="344"/>
      <c r="F21" s="344"/>
      <c r="G21" s="344">
        <f>VLOOKUP(J21,_Fan!L:N,2,FALSE)</f>
        <v>570.25</v>
      </c>
      <c r="H21" s="344">
        <f>VLOOKUP(J21,_Fan!L:N,3,FALSE)</f>
        <v>6</v>
      </c>
      <c r="I21" s="344" t="str">
        <f t="shared" si="12"/>
        <v/>
      </c>
      <c r="J21" s="344" t="s">
        <v>681</v>
      </c>
      <c r="K21" s="344"/>
      <c r="L21" s="344"/>
      <c r="M21" s="344" t="s">
        <v>1062</v>
      </c>
      <c r="N21" s="344"/>
      <c r="O21" s="344"/>
      <c r="P21" s="344"/>
      <c r="Q21" s="344"/>
      <c r="R21" s="344"/>
      <c r="S21" s="344"/>
      <c r="T21" s="349" t="str">
        <f t="shared" si="4"/>
        <v/>
      </c>
      <c r="U21" s="114">
        <f t="shared" si="5"/>
        <v>4</v>
      </c>
      <c r="V21" s="114" t="str">
        <f>_xlfn.CONCAT(E21," (",VLOOKUP(E21,Backend!C:D,2,FALSE),")")</f>
        <v xml:space="preserve"> (Zero)</v>
      </c>
      <c r="W21" s="114" t="str">
        <f t="shared" si="6"/>
        <v>4 - Electrical power supply and controls to  (Zero) fan</v>
      </c>
      <c r="X21" s="114" t="str">
        <f t="shared" si="7"/>
        <v xml:space="preserve"> with: </v>
      </c>
      <c r="Y21" s="114" t="str">
        <f t="shared" si="8"/>
        <v/>
      </c>
      <c r="Z21" s="114" t="str">
        <f t="shared" si="9"/>
        <v>from MSSB Power Supply</v>
      </c>
      <c r="AA21" s="114" t="str">
        <f t="shared" si="13"/>
        <v>4 - Electrical power supply and controls to  (Zero) fan with: from MSSB Power Supply</v>
      </c>
      <c r="AB21" s="114" t="str">
        <f t="shared" si="10"/>
        <v>4.1 - This includes supply and install of power and controls.</v>
      </c>
      <c r="AC21" s="114" t="str">
        <f>_xlfn.CONCAT(U21,".2 - Power for system includes: ",VLOOKUP(J21,_Fan!L:O,4,FALSE))</f>
        <v xml:space="preserve">4.2 - Power for system includes: CB and cabling to fan from MSSB, and local isolator, </v>
      </c>
      <c r="AD21" s="114" t="str">
        <f t="shared" si="0"/>
        <v/>
      </c>
      <c r="AE21" s="114" t="str">
        <f>_xlfn.CONCAT(IF(K21="Yes",VLOOKUP(K$1,_Fan!L:Z,4,FALSE),""),IF(L21="Yes",VLOOKUP(L$1,_Fan!L:Z,4,FALSE),""),IF(NOT(M21="No"),VLOOKUP(M21,_Fan!L:Z,4,FALSE),""),IF(N21="Yes",VLOOKUP(N$1,_Fan!L:Z,4,FALSE),""),IF(O21="Yes",VLOOKUP(O$1,_Fan!L:Z,4,FALSE),""),IF(P21="Yes",VLOOKUP(P$1,_Fan!L:Z,4,FALSE),""),IF(Q21="Yes",VLOOKUP(Q$1,_Fan!L:Z,4,FALSE),""),IF(R21="Yes",VLOOKUP(R$1,_Fan!L:Z,4,FALSE),""),IF(S21="Yes",VLOOKUP(S$1,_Fan!L:Z,4,FALSE),""))</f>
        <v/>
      </c>
    </row>
    <row r="22" spans="1:31" x14ac:dyDescent="0.4">
      <c r="A22" s="343" t="str">
        <f t="shared" si="11"/>
        <v>INVALID</v>
      </c>
      <c r="B22" s="344" t="str">
        <f t="shared" si="1"/>
        <v>Fan 21</v>
      </c>
      <c r="C22" s="345">
        <f t="shared" si="2"/>
        <v>0</v>
      </c>
      <c r="D22" s="344">
        <f t="shared" si="3"/>
        <v>0</v>
      </c>
      <c r="E22" s="344"/>
      <c r="F22" s="344"/>
      <c r="G22" s="344">
        <f>VLOOKUP(J22,_Fan!L:N,2,FALSE)</f>
        <v>570.25</v>
      </c>
      <c r="H22" s="344">
        <f>VLOOKUP(J22,_Fan!L:N,3,FALSE)</f>
        <v>6</v>
      </c>
      <c r="I22" s="344" t="str">
        <f t="shared" si="12"/>
        <v/>
      </c>
      <c r="J22" s="344" t="s">
        <v>681</v>
      </c>
      <c r="K22" s="344"/>
      <c r="L22" s="344"/>
      <c r="M22" s="344" t="s">
        <v>1062</v>
      </c>
      <c r="N22" s="344"/>
      <c r="O22" s="344"/>
      <c r="P22" s="344"/>
      <c r="Q22" s="344"/>
      <c r="R22" s="344"/>
      <c r="S22" s="344"/>
      <c r="T22" s="349" t="str">
        <f t="shared" si="4"/>
        <v/>
      </c>
      <c r="U22" s="114">
        <f t="shared" si="5"/>
        <v>4</v>
      </c>
      <c r="V22" s="114" t="str">
        <f>_xlfn.CONCAT(E22," (",VLOOKUP(E22,Backend!C:D,2,FALSE),")")</f>
        <v xml:space="preserve"> (Zero)</v>
      </c>
      <c r="W22" s="114" t="str">
        <f t="shared" si="6"/>
        <v>4 - Electrical power supply and controls to  (Zero) fan</v>
      </c>
      <c r="X22" s="114" t="str">
        <f t="shared" si="7"/>
        <v xml:space="preserve"> with: </v>
      </c>
      <c r="Y22" s="114" t="str">
        <f t="shared" si="8"/>
        <v/>
      </c>
      <c r="Z22" s="114" t="str">
        <f t="shared" si="9"/>
        <v>from MSSB Power Supply</v>
      </c>
      <c r="AA22" s="114" t="str">
        <f t="shared" si="13"/>
        <v>4 - Electrical power supply and controls to  (Zero) fan with: from MSSB Power Supply</v>
      </c>
      <c r="AB22" s="114" t="str">
        <f t="shared" si="10"/>
        <v>4.1 - This includes supply and install of power and controls.</v>
      </c>
      <c r="AC22" s="114" t="str">
        <f>_xlfn.CONCAT(U22,".2 - Power for system includes: ",VLOOKUP(J22,_Fan!L:O,4,FALSE))</f>
        <v xml:space="preserve">4.2 - Power for system includes: CB and cabling to fan from MSSB, and local isolator, </v>
      </c>
      <c r="AD22" s="114" t="str">
        <f t="shared" si="0"/>
        <v/>
      </c>
      <c r="AE22" s="114" t="str">
        <f>_xlfn.CONCAT(IF(K22="Yes",VLOOKUP(K$1,_Fan!L:Z,4,FALSE),""),IF(L22="Yes",VLOOKUP(L$1,_Fan!L:Z,4,FALSE),""),IF(NOT(M22="No"),VLOOKUP(M22,_Fan!L:Z,4,FALSE),""),IF(N22="Yes",VLOOKUP(N$1,_Fan!L:Z,4,FALSE),""),IF(O22="Yes",VLOOKUP(O$1,_Fan!L:Z,4,FALSE),""),IF(P22="Yes",VLOOKUP(P$1,_Fan!L:Z,4,FALSE),""),IF(Q22="Yes",VLOOKUP(Q$1,_Fan!L:Z,4,FALSE),""),IF(R22="Yes",VLOOKUP(R$1,_Fan!L:Z,4,FALSE),""),IF(S22="Yes",VLOOKUP(S$1,_Fan!L:Z,4,FALSE),""))</f>
        <v/>
      </c>
    </row>
    <row r="23" spans="1:31" x14ac:dyDescent="0.4">
      <c r="J23" s="344" t="s">
        <v>681</v>
      </c>
      <c r="K23" s="344"/>
      <c r="L23" s="344"/>
      <c r="M23" s="344" t="s">
        <v>1062</v>
      </c>
      <c r="N23" s="344"/>
      <c r="O23" s="344"/>
      <c r="P23" s="344"/>
      <c r="Q23" s="344"/>
      <c r="R23" s="344"/>
      <c r="S23" s="344"/>
      <c r="T23" s="349" t="str">
        <f t="shared" si="4"/>
        <v/>
      </c>
      <c r="AD23" s="114" t="str">
        <f t="shared" si="0"/>
        <v/>
      </c>
      <c r="AE23" s="114" t="str">
        <f>_xlfn.CONCAT(IF(K23="Yes",VLOOKUP(K$1,_Fan!L:Z,4,FALSE),""),IF(L23="Yes",VLOOKUP(L$1,_Fan!L:Z,4,FALSE),""),IF(NOT(M23="No"),VLOOKUP(M23,_Fan!L:Z,4,FALSE),""),IF(N23="Yes",VLOOKUP(N$1,_Fan!L:Z,4,FALSE),""),IF(O23="Yes",VLOOKUP(O$1,_Fan!L:Z,4,FALSE),""),IF(P23="Yes",VLOOKUP(P$1,_Fan!L:Z,4,FALSE),""),IF(Q23="Yes",VLOOKUP(Q$1,_Fan!L:Z,4,FALSE),""),IF(R23="Yes",VLOOKUP(R$1,_Fan!L:Z,4,FALSE),""),IF(S23="Yes",VLOOKUP(S$1,_Fan!L:Z,4,FALSE),""))</f>
        <v/>
      </c>
    </row>
    <row r="26" spans="1:31" x14ac:dyDescent="0.4">
      <c r="S26" s="342"/>
    </row>
  </sheetData>
  <conditionalFormatting sqref="A2:A22">
    <cfRule type="cellIs" dxfId="10" priority="3" operator="equal">
      <formula>"INVALID"</formula>
    </cfRule>
    <cfRule type="cellIs" dxfId="9" priority="4" operator="equal">
      <formula>"VALID"</formula>
    </cfRule>
  </conditionalFormatting>
  <conditionalFormatting sqref="J2:S23">
    <cfRule type="cellIs" dxfId="8" priority="2" operator="equal">
      <formula>$ZM$2</formula>
    </cfRule>
  </conditionalFormatting>
  <conditionalFormatting sqref="AD1:AD1048576">
    <cfRule type="colorScale" priority="1">
      <colorScale>
        <cfvo type="min"/>
        <cfvo type="max"/>
        <color rgb="FF63BE7B"/>
        <color rgb="FFFCFCFF"/>
      </colorScale>
    </cfRule>
  </conditionalFormatting>
  <dataValidations disablePrompts="1" count="1">
    <dataValidation type="decimal" operator="greaterThanOrEqual" allowBlank="1" showInputMessage="1" showErrorMessage="1" promptTitle="[OVERRIDE] Hours" prompt="Override the default hours for the unit_x000a_" sqref="H2:H22" xr:uid="{A207A49A-CCAF-4849-A052-2D2FCB6CC443}">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1CE7B02C-8F99-4F15-B146-EAD82B150197}">
          <x14:formula1>
            <xm:f>_Fan!A$2:A$3</xm:f>
          </x14:formula1>
          <xm:sqref>N2:S23 J2:L23</xm:sqref>
        </x14:dataValidation>
        <x14:dataValidation type="list" allowBlank="1" showInputMessage="1" showErrorMessage="1" xr:uid="{E0CCAB79-5EAC-4429-8229-58C43FDA126D}">
          <x14:formula1>
            <xm:f>_Fan!D$2:D$6</xm:f>
          </x14:formula1>
          <xm:sqref>M2:M23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FE15-A381-46F1-9CD6-6FC59D3A3367}">
  <dimension ref="A1:X30"/>
  <sheetViews>
    <sheetView topLeftCell="XEF1" workbookViewId="0">
      <selection activeCell="O29" sqref="O29"/>
    </sheetView>
  </sheetViews>
  <sheetFormatPr defaultRowHeight="14.6" x14ac:dyDescent="0.4"/>
  <cols>
    <col min="1" max="3" width="12.23046875" style="114" customWidth="1"/>
    <col min="4" max="4" width="29.921875" style="114" customWidth="1"/>
    <col min="5" max="10" width="12.23046875" style="114" customWidth="1"/>
    <col min="11" max="11" width="9.23046875" style="114"/>
    <col min="12" max="12" width="27.765625" style="114" customWidth="1"/>
    <col min="13" max="16384" width="9.23046875" style="114"/>
  </cols>
  <sheetData>
    <row r="1" spans="1:24" s="321" customFormat="1" ht="29.15" x14ac:dyDescent="0.4">
      <c r="A1" s="321" t="s">
        <v>679</v>
      </c>
      <c r="B1" s="321" t="s">
        <v>817</v>
      </c>
      <c r="C1" s="321" t="s">
        <v>818</v>
      </c>
      <c r="D1" s="321" t="s">
        <v>813</v>
      </c>
      <c r="E1" s="321" t="s">
        <v>672</v>
      </c>
      <c r="F1" s="321" t="s">
        <v>812</v>
      </c>
      <c r="G1" s="321" t="s">
        <v>816</v>
      </c>
      <c r="H1" s="321" t="s">
        <v>810</v>
      </c>
      <c r="I1" s="321" t="s">
        <v>834</v>
      </c>
      <c r="J1" s="321" t="s">
        <v>835</v>
      </c>
      <c r="L1" s="321" t="s">
        <v>1065</v>
      </c>
      <c r="M1" s="321" t="s">
        <v>1063</v>
      </c>
      <c r="N1" s="321" t="s">
        <v>1064</v>
      </c>
    </row>
    <row r="2" spans="1:24" x14ac:dyDescent="0.4">
      <c r="A2" s="114" t="s">
        <v>811</v>
      </c>
      <c r="B2" s="114" t="s">
        <v>1061</v>
      </c>
      <c r="C2" s="114" t="s">
        <v>1061</v>
      </c>
      <c r="D2" s="114" t="s">
        <v>813</v>
      </c>
      <c r="E2" s="114" t="s">
        <v>1061</v>
      </c>
      <c r="F2" s="114" t="s">
        <v>1061</v>
      </c>
      <c r="G2" s="114" t="s">
        <v>1061</v>
      </c>
      <c r="H2" s="114" t="s">
        <v>1061</v>
      </c>
      <c r="I2" s="114" t="s">
        <v>1061</v>
      </c>
      <c r="J2" s="114" t="s">
        <v>1061</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92.5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2.5</v>
      </c>
      <c r="O2" s="114" t="s">
        <v>1067</v>
      </c>
      <c r="P2" s="114" t="s">
        <v>253</v>
      </c>
      <c r="Q2" s="114" t="s">
        <v>826</v>
      </c>
      <c r="R2" s="114" t="s">
        <v>268</v>
      </c>
      <c r="S2" s="114" t="s">
        <v>830</v>
      </c>
      <c r="T2" s="114" t="s">
        <v>829</v>
      </c>
    </row>
    <row r="3" spans="1:24" x14ac:dyDescent="0.4">
      <c r="A3" s="114" t="s">
        <v>681</v>
      </c>
      <c r="B3" s="114" t="s">
        <v>1062</v>
      </c>
      <c r="C3" s="114" t="s">
        <v>1062</v>
      </c>
      <c r="D3" s="114" t="s">
        <v>833</v>
      </c>
      <c r="E3" s="114" t="s">
        <v>1062</v>
      </c>
      <c r="F3" s="114" t="s">
        <v>1062</v>
      </c>
      <c r="G3" s="114" t="s">
        <v>1062</v>
      </c>
      <c r="H3" s="114" t="s">
        <v>1062</v>
      </c>
      <c r="I3" s="114" t="s">
        <v>1062</v>
      </c>
      <c r="J3" s="114" t="s">
        <v>1062</v>
      </c>
      <c r="P3" s="114">
        <v>1</v>
      </c>
      <c r="Q3" s="114">
        <v>1</v>
      </c>
      <c r="R3" s="114">
        <v>5</v>
      </c>
      <c r="S3" s="114">
        <v>1</v>
      </c>
      <c r="T3" s="114">
        <v>1</v>
      </c>
    </row>
    <row r="4" spans="1:24" x14ac:dyDescent="0.4">
      <c r="D4" s="114" t="s">
        <v>815</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570.25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6</v>
      </c>
      <c r="O4" s="114" t="s">
        <v>1068</v>
      </c>
      <c r="P4" s="114" t="s">
        <v>253</v>
      </c>
      <c r="Q4" s="114" t="s">
        <v>826</v>
      </c>
      <c r="R4" s="114" t="s">
        <v>268</v>
      </c>
      <c r="S4" s="114" t="s">
        <v>305</v>
      </c>
      <c r="T4" s="114" t="s">
        <v>281</v>
      </c>
      <c r="U4" s="114" t="s">
        <v>827</v>
      </c>
      <c r="V4" s="114" t="s">
        <v>828</v>
      </c>
      <c r="W4" s="114" t="s">
        <v>829</v>
      </c>
    </row>
    <row r="5" spans="1:24" x14ac:dyDescent="0.4">
      <c r="D5" s="114" t="s">
        <v>814</v>
      </c>
      <c r="P5" s="114">
        <v>1</v>
      </c>
      <c r="Q5" s="114">
        <v>1</v>
      </c>
      <c r="R5" s="114">
        <v>20</v>
      </c>
      <c r="S5" s="114">
        <v>1</v>
      </c>
      <c r="T5" s="114">
        <v>1</v>
      </c>
      <c r="U5" s="114">
        <v>1</v>
      </c>
      <c r="V5" s="114">
        <v>1</v>
      </c>
      <c r="W5" s="114">
        <v>1</v>
      </c>
      <c r="X5" s="114">
        <v>1</v>
      </c>
    </row>
    <row r="6" spans="1:24" x14ac:dyDescent="0.4">
      <c r="D6" s="114" t="s">
        <v>1062</v>
      </c>
      <c r="L6" s="114" t="s">
        <v>817</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4.25</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0.5</v>
      </c>
      <c r="O6" s="114" t="s">
        <v>1070</v>
      </c>
      <c r="P6" s="114" t="s">
        <v>268</v>
      </c>
    </row>
    <row r="7" spans="1:24" x14ac:dyDescent="0.4">
      <c r="P7" s="114">
        <v>5</v>
      </c>
    </row>
    <row r="8" spans="1:24" x14ac:dyDescent="0.4">
      <c r="L8" s="114" t="s">
        <v>818</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0.85</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0.1</v>
      </c>
      <c r="O8" s="114" t="s">
        <v>1071</v>
      </c>
      <c r="P8" s="114" t="s">
        <v>268</v>
      </c>
    </row>
    <row r="9" spans="1:24" x14ac:dyDescent="0.4">
      <c r="P9" s="114">
        <v>1</v>
      </c>
    </row>
    <row r="10" spans="1:24" x14ac:dyDescent="0.4">
      <c r="L10" s="114" t="s">
        <v>813</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24.48</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O10" s="114" t="s">
        <v>1072</v>
      </c>
      <c r="P10" s="114" t="s">
        <v>420</v>
      </c>
      <c r="Q10" s="114" t="s">
        <v>328</v>
      </c>
    </row>
    <row r="11" spans="1:24" x14ac:dyDescent="0.4">
      <c r="P11" s="114">
        <v>1</v>
      </c>
      <c r="Q11" s="114">
        <v>1</v>
      </c>
    </row>
    <row r="12" spans="1:24" x14ac:dyDescent="0.4">
      <c r="L12" s="114" t="s">
        <v>833</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47.879999999999995</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2</v>
      </c>
      <c r="O12" s="114" t="s">
        <v>1073</v>
      </c>
      <c r="P12" s="114" t="s">
        <v>831</v>
      </c>
      <c r="Q12" s="114" t="s">
        <v>700</v>
      </c>
      <c r="R12" s="114" t="s">
        <v>420</v>
      </c>
    </row>
    <row r="13" spans="1:24" x14ac:dyDescent="0.4">
      <c r="P13" s="114">
        <v>1</v>
      </c>
      <c r="Q13" s="114">
        <v>1</v>
      </c>
      <c r="R13" s="114">
        <v>1</v>
      </c>
    </row>
    <row r="14" spans="1:24" x14ac:dyDescent="0.4">
      <c r="A14" s="33" t="s">
        <v>883</v>
      </c>
      <c r="L14" s="114" t="s">
        <v>815</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24.48</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2</v>
      </c>
      <c r="O14" s="114" t="s">
        <v>1074</v>
      </c>
      <c r="P14" s="114" t="s">
        <v>420</v>
      </c>
      <c r="Q14" s="114" t="s">
        <v>328</v>
      </c>
    </row>
    <row r="15" spans="1:24" x14ac:dyDescent="0.4">
      <c r="A15" s="114" t="s">
        <v>865</v>
      </c>
      <c r="B15" s="114" t="s">
        <v>882</v>
      </c>
      <c r="P15" s="114">
        <v>1</v>
      </c>
      <c r="Q15" s="114">
        <v>1</v>
      </c>
    </row>
    <row r="16" spans="1:24" x14ac:dyDescent="0.4">
      <c r="A16" s="114" t="s">
        <v>881</v>
      </c>
      <c r="B16" s="114" t="s">
        <v>884</v>
      </c>
      <c r="L16" s="114" t="s">
        <v>814</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24.48</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2</v>
      </c>
      <c r="O16" s="114" t="s">
        <v>1075</v>
      </c>
      <c r="P16" s="114" t="s">
        <v>420</v>
      </c>
      <c r="Q16" s="114" t="s">
        <v>328</v>
      </c>
    </row>
    <row r="17" spans="12:18" x14ac:dyDescent="0.4">
      <c r="P17" s="114">
        <v>1</v>
      </c>
      <c r="Q17" s="114">
        <v>1</v>
      </c>
    </row>
    <row r="18" spans="12:18" x14ac:dyDescent="0.4">
      <c r="L18" s="114" t="s">
        <v>672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84.48</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2</v>
      </c>
      <c r="O18" s="114" t="s">
        <v>1076</v>
      </c>
      <c r="P18" s="114" t="s">
        <v>672</v>
      </c>
      <c r="Q18" s="114" t="s">
        <v>420</v>
      </c>
      <c r="R18" s="114" t="s">
        <v>328</v>
      </c>
    </row>
    <row r="19" spans="12:18" x14ac:dyDescent="0.4">
      <c r="P19" s="114">
        <v>1</v>
      </c>
      <c r="Q19" s="114">
        <v>1</v>
      </c>
      <c r="R19" s="114">
        <v>1</v>
      </c>
    </row>
    <row r="20" spans="12:18" x14ac:dyDescent="0.4">
      <c r="L20" s="114" t="s">
        <v>812</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331.67999999999995</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1077</v>
      </c>
      <c r="P20" s="114" t="s">
        <v>812</v>
      </c>
      <c r="Q20" s="114" t="s">
        <v>420</v>
      </c>
      <c r="R20" s="114" t="s">
        <v>328</v>
      </c>
    </row>
    <row r="21" spans="12:18" x14ac:dyDescent="0.4">
      <c r="P21" s="114">
        <v>1</v>
      </c>
      <c r="Q21" s="114">
        <v>1</v>
      </c>
      <c r="R21" s="114">
        <v>1</v>
      </c>
    </row>
    <row r="22" spans="12:18" x14ac:dyDescent="0.4">
      <c r="L22" s="114" t="s">
        <v>816</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60</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2</v>
      </c>
      <c r="O22" s="114" t="s">
        <v>1078</v>
      </c>
      <c r="P22" s="114" t="s">
        <v>816</v>
      </c>
    </row>
    <row r="23" spans="12:18" x14ac:dyDescent="0.4">
      <c r="P23" s="114">
        <v>1</v>
      </c>
    </row>
    <row r="24" spans="12:18" x14ac:dyDescent="0.4">
      <c r="L24" s="114" t="s">
        <v>810</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80</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2</v>
      </c>
      <c r="O24" s="114" t="s">
        <v>1079</v>
      </c>
      <c r="P24" s="114" t="s">
        <v>591</v>
      </c>
    </row>
    <row r="25" spans="12:18" x14ac:dyDescent="0.4">
      <c r="P25" s="114">
        <v>1</v>
      </c>
    </row>
    <row r="26" spans="12:18" x14ac:dyDescent="0.4">
      <c r="L26" s="114" t="s">
        <v>834</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57.95</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2</v>
      </c>
      <c r="O26" s="114" t="s">
        <v>1080</v>
      </c>
      <c r="P26" s="114" t="s">
        <v>305</v>
      </c>
    </row>
    <row r="27" spans="12:18" x14ac:dyDescent="0.4">
      <c r="P27" s="114">
        <v>1</v>
      </c>
    </row>
    <row r="28" spans="12:18" x14ac:dyDescent="0.4">
      <c r="L28" s="114" t="s">
        <v>835</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44.519999999999996</v>
      </c>
      <c r="N28" s="114">
        <f>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2</v>
      </c>
      <c r="O28" s="114" t="s">
        <v>1081</v>
      </c>
      <c r="P28" s="114" t="s">
        <v>269</v>
      </c>
      <c r="Q28" s="114" t="s">
        <v>831</v>
      </c>
    </row>
    <row r="29" spans="12:18" x14ac:dyDescent="0.4">
      <c r="P29" s="114">
        <v>20</v>
      </c>
      <c r="Q29" s="114">
        <v>1</v>
      </c>
    </row>
    <row r="30" spans="12:18" x14ac:dyDescent="0.4">
      <c r="L30" s="114" t="s">
        <v>1062</v>
      </c>
      <c r="M30" s="114">
        <v>0</v>
      </c>
      <c r="N30" s="114">
        <v>0</v>
      </c>
      <c r="O30" s="114" t="s">
        <v>1069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2738384-7030-49ED-80A5-02471AE9E3DE}">
          <x14:formula1>
            <xm:f>'Part List'!$A:$A</xm:f>
          </x14:formula1>
          <xm:sqref>W4 P26 F23:F25 H23:H25 P20:R20 P22 P24 P18:R18 P12:R12 P16:Q16 P14:Q14 P10:Q10 P6 P8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6E8B-4938-4CE3-BC30-FD6422D84B74}">
  <dimension ref="A1:AJ23"/>
  <sheetViews>
    <sheetView tabSelected="1" topLeftCell="D1" workbookViewId="0">
      <selection activeCell="Q10" sqref="Q10"/>
    </sheetView>
  </sheetViews>
  <sheetFormatPr defaultRowHeight="14.6" x14ac:dyDescent="0.4"/>
  <cols>
    <col min="1" max="1" width="7.61328125" style="319" bestFit="1" customWidth="1"/>
    <col min="2" max="2" width="7.3046875" style="114" bestFit="1" customWidth="1"/>
    <col min="3" max="3" width="13.61328125" style="302" bestFit="1" customWidth="1"/>
    <col min="4" max="4" width="6.23046875" style="114" bestFit="1" customWidth="1"/>
    <col min="5" max="5" width="4.07421875" style="114" bestFit="1" customWidth="1"/>
    <col min="6" max="6" width="12.15234375" style="114" customWidth="1"/>
    <col min="7" max="8" width="13.3046875" style="114" customWidth="1"/>
    <col min="9" max="9" width="17.4609375" style="114" customWidth="1"/>
    <col min="10" max="19" width="12.61328125" style="114" customWidth="1"/>
    <col min="20" max="20" width="12.3828125" style="347" customWidth="1"/>
    <col min="21" max="21" width="12.3828125" style="114" customWidth="1"/>
    <col min="22" max="22" width="7.84375" style="114" customWidth="1"/>
    <col min="23" max="26" width="13.07421875" style="114" customWidth="1"/>
    <col min="27" max="33" width="9.23046875" style="114" customWidth="1"/>
    <col min="34" max="16384" width="9.23046875" style="114"/>
  </cols>
  <sheetData>
    <row r="1" spans="1:26" s="305" customFormat="1" ht="43.75" x14ac:dyDescent="0.4">
      <c r="A1" s="339" t="s">
        <v>837</v>
      </c>
      <c r="B1" s="339" t="s">
        <v>836</v>
      </c>
      <c r="C1" s="340" t="s">
        <v>821</v>
      </c>
      <c r="D1" s="339" t="s">
        <v>840</v>
      </c>
      <c r="E1" s="339" t="s">
        <v>809</v>
      </c>
      <c r="F1" s="341" t="s">
        <v>1066</v>
      </c>
      <c r="G1" s="339" t="s">
        <v>824</v>
      </c>
      <c r="H1" s="339" t="s">
        <v>848</v>
      </c>
      <c r="I1" s="341" t="s">
        <v>1060</v>
      </c>
      <c r="J1" s="341" t="str">
        <f>_VRF!A1</f>
        <v>Unit Type</v>
      </c>
      <c r="K1" s="341" t="str">
        <f>_VRF!C1</f>
        <v>Power System</v>
      </c>
      <c r="L1" s="341" t="str">
        <f>_VRF!D1</f>
        <v>Run &amp; Fault Lights</v>
      </c>
      <c r="M1" s="341" t="str">
        <f>_VRF!E1</f>
        <v>Ducted</v>
      </c>
      <c r="N1" s="341" t="str">
        <f>_VRF!F1</f>
        <v>Multiheaded</v>
      </c>
      <c r="O1" s="341" t="str">
        <f>_VRF!G1</f>
        <v>Field Wiring by Customer</v>
      </c>
      <c r="P1" s="341" t="str">
        <f>_VRF!H1</f>
        <v>Run status from unit to system</v>
      </c>
      <c r="Q1" s="341"/>
      <c r="R1" s="341"/>
      <c r="S1" s="341"/>
      <c r="T1" s="348" t="s">
        <v>1093</v>
      </c>
      <c r="U1" s="305">
        <f>MAX('@Fan'!U:U)</f>
        <v>4</v>
      </c>
    </row>
    <row r="2" spans="1:26" x14ac:dyDescent="0.4">
      <c r="A2" s="343" t="str">
        <f>IF(NOT(I2="N/A"),IF(COUNTBLANK(K2:P2)=0,"VALID","INVALID"),"INVALID")</f>
        <v>VALID</v>
      </c>
      <c r="B2" s="344" t="str">
        <f>_xlfn.CONCAT(VLOOKUP(J2,_VRF!A:B,2,FALSE)," ",(ROW()-1))</f>
        <v>PAC 1</v>
      </c>
      <c r="C2" s="345" t="e">
        <f>E2*G2</f>
        <v>#REF!</v>
      </c>
      <c r="D2" s="344">
        <f>IF(ISBLANK(F2),H2*E2,F2*E2)</f>
        <v>5</v>
      </c>
      <c r="E2" s="344">
        <v>2</v>
      </c>
      <c r="F2" s="344"/>
      <c r="G2" s="344" t="e">
        <f>VLOOKUP(K2,_Fan!L:N,2,FALSE)
+VLOOKUP(N2,_Fan!L:N,2,FALSE)
+IF(L2="YES",VLOOKUP(L$1,_Fan!L:N,2,FALSE),0)
+IF(M2="YES",VLOOKUP(M$1,_Fan!L:N,2,FALSE),0)
+IF(O2="YES",VLOOKUP(O$1,_Fan!L:N,2,FALSE),0)
+IF(P2="YES",VLOOKUP(P$1,_Fan!L:N,2,FALSE),0)
+IF(#REF!="YES",VLOOKUP(#REF!,_Fan!L:N,2,FALSE),0)
+IF(#REF!="YES",VLOOKUP(#REF!,_Fan!L:N,2,FALSE),0)
+IF(#REF!="YES",VLOOKUP(#REF!,_Fan!L:N,2,FALSE),0)
+IF(#REF!="YES",VLOOKUP(#REF!,_Fan!L:N,2,FALSE),0)</f>
        <v>#REF!</v>
      </c>
      <c r="H2" s="344">
        <f>VLOOKUP(K2,_Fan!L:N,3,FALSE)</f>
        <v>2.5</v>
      </c>
      <c r="I2" s="344" t="str">
        <f>IF(COUNTBLANK(K2:P2)=0,_xlfn.CONCAT(VLOOKUP(J2,_VRF!A:B,2,FALSE),IF(K2="Local","-L","-M"),"-",IF(L2="Yes",1,0),IF(M2="Yes",1,0),IF(N2="No",0,N2),IF(O2="Yes",1,0),IF(P2="Yes",1,0)),"")</f>
        <v>PAC-L-00000</v>
      </c>
      <c r="J2" s="344" t="s">
        <v>568</v>
      </c>
      <c r="K2" s="344" t="s">
        <v>811</v>
      </c>
      <c r="L2" s="344" t="s">
        <v>1062</v>
      </c>
      <c r="M2" s="344" t="s">
        <v>1062</v>
      </c>
      <c r="N2" s="344" t="s">
        <v>1062</v>
      </c>
      <c r="O2" s="344" t="s">
        <v>1062</v>
      </c>
      <c r="P2" s="344" t="s">
        <v>1062</v>
      </c>
      <c r="Q2" s="344"/>
      <c r="R2" s="344"/>
      <c r="S2" s="344"/>
      <c r="T2" s="349" t="str">
        <f>IF(A2="VALID",_xlfn.CONCAT(W2,"
",REPT(" ",8),X2,"
",REPT(" ",8),Y2,"
",REPT(" ",8),Z2),"")</f>
        <v>5 - Electrical power supply and controls to 2 (two) Packaged units
        5.1 - Packaged units
        5.2 - Packaged units
        5.3 - Packaged units</v>
      </c>
      <c r="U2" s="114">
        <f xml:space="preserve"> IF(AND(E2&gt;0,A2="VALID"),U1+1,U1)</f>
        <v>5</v>
      </c>
      <c r="V2" s="114" t="str">
        <f>_xlfn.CONCAT(E2," (",VLOOKUP(E2,Backend!C:D,2,FALSE),")")</f>
        <v>2 (two)</v>
      </c>
      <c r="W2" s="114" t="str">
        <f t="shared" ref="W2:W3" si="0">_xlfn.CONCAT(U2," - Electrical power supply and controls to ", V2, " ", J2)</f>
        <v>5 - Electrical power supply and controls to 2 (two) Packaged units</v>
      </c>
      <c r="X2" s="114" t="str">
        <f>_xlfn.CONCAT(U2,".1 - ",IF(J2="Packaged units","Packaged units",IF(J2="VRF Central Controller","This includes supply and install of circuit breaker, power supply from MSSB, interconnect controls cabling and display install.",IF(J2="VRF Indoor units","VRF Indoor units",IF(J2="VRF Outdoor units","VRF Outdoor units","Split AC systems")))))</f>
        <v>5.1 - Packaged units</v>
      </c>
      <c r="Y2" s="114" t="str">
        <f t="shared" ref="Y2:Y10" si="1">_xlfn.CONCAT(IF(J2="Packaged units",_xlfn.CONCAT(U2,".2 - ","Packaged units"),IF(J2="VRF Central Controller","",IF(J2="VRF Indoor units",_xlfn.CONCAT(U2,".2 - ","VRF Indoor units"),IF(J2="VRF Outdoor units",_xlfn.CONCAT(U2,".2 - ","VRF Outdoor units"),_xlfn.CONCAT(U2,".2 - ","Split AC systems"))))))</f>
        <v>5.2 - Packaged units</v>
      </c>
      <c r="Z2" s="114" t="str">
        <f t="shared" ref="Z2:Z10" si="2">_xlfn.CONCAT(IF(J2="Packaged units",_xlfn.CONCAT(U2,".3 - ","Packaged units"),IF(J2="VRF Central Controller","",IF(J2="VRF Indoor units",_xlfn.CONCAT(U2,".3 - ","VRF Indoor units"),IF(J2="VRF Outdoor units",_xlfn.CONCAT(U2,".3 - ","VRF Outdoor units"),_xlfn.CONCAT(U2,".3 - ","Split AC systems"))))))</f>
        <v>5.3 - Packaged units</v>
      </c>
    </row>
    <row r="3" spans="1:26" x14ac:dyDescent="0.4">
      <c r="A3" s="343" t="str">
        <f>IF(NOT(I3="N/A"),IF(COUNTBLANK(K3:P3)=0,"VALID","INVALID"),"INVALID")</f>
        <v>VALID</v>
      </c>
      <c r="B3" s="344" t="str">
        <f>_xlfn.CONCAT(VLOOKUP(J3,_VRF!A:B,2,FALSE)," ",(ROW()-1))</f>
        <v>PAC 2</v>
      </c>
      <c r="C3" s="345">
        <f t="shared" ref="C3:C22" si="3">E3*G3</f>
        <v>570.25</v>
      </c>
      <c r="D3" s="344">
        <f t="shared" ref="D3:D22" si="4">IF(ISBLANK(F3),H3*E3,F3*E3)</f>
        <v>6</v>
      </c>
      <c r="E3" s="344">
        <v>1</v>
      </c>
      <c r="F3" s="344"/>
      <c r="G3" s="344">
        <f>VLOOKUP(K3,_Fan!L:N,2,FALSE)
+VLOOKUP(N3,_Fan!L:N,2,FALSE)
+IF(L3="YES",VLOOKUP(L$1,_Fan!L:N,2,FALSE))</f>
        <v>570.25</v>
      </c>
      <c r="H3" s="344">
        <f>VLOOKUP(K3,_Fan!L:N,3,FALSE)</f>
        <v>6</v>
      </c>
      <c r="I3" s="344" t="str">
        <f>IF(COUNTBLANK(K3:P3)=0,_xlfn.CONCAT(VLOOKUP(J3,_VRF!A:B,2,FALSE),IF(K3="Local","-L","-M"),"-",IF(L3="Yes",1,0),IF(M3="Yes",1,0),IF(N3="No",0,N3),IF(O3="Yes",1,0),IF(P3="Yes",1,0)),"")</f>
        <v>PAC-M-00000</v>
      </c>
      <c r="J3" s="344" t="s">
        <v>568</v>
      </c>
      <c r="K3" s="344" t="s">
        <v>681</v>
      </c>
      <c r="L3" s="344" t="s">
        <v>1062</v>
      </c>
      <c r="M3" s="344" t="s">
        <v>1062</v>
      </c>
      <c r="N3" s="344" t="s">
        <v>1062</v>
      </c>
      <c r="O3" s="344" t="s">
        <v>1062</v>
      </c>
      <c r="P3" s="344" t="s">
        <v>1062</v>
      </c>
      <c r="Q3" s="344"/>
      <c r="R3" s="344"/>
      <c r="S3" s="344"/>
      <c r="T3" s="349" t="str">
        <f t="shared" ref="T3:T11" si="5">IF(A3="VALID",_xlfn.CONCAT(W3,"
",REPT(" ",8),X3,"
",REPT(" ",8),Y3,"
",REPT(" ",8),Z3),"")</f>
        <v>6 - Electrical power supply and controls to 1 (one) Packaged units
        6.1 - Packaged units
        6.2 - Packaged units
        6.3 - Packaged units</v>
      </c>
      <c r="U3" s="114">
        <f t="shared" ref="U3:U25" si="6" xml:space="preserve"> IF(AND(E3&gt;0,A3="VALID"),U2+1,U2)</f>
        <v>6</v>
      </c>
      <c r="V3" s="114" t="str">
        <f>_xlfn.CONCAT(E3," (",VLOOKUP(E3,Backend!C:D,2,FALSE),")")</f>
        <v>1 (one)</v>
      </c>
      <c r="W3" s="114" t="str">
        <f t="shared" ref="W3:W11" si="7">_xlfn.CONCAT(U3," - Electrical power supply and controls to ", V3, " ", J3)</f>
        <v>6 - Electrical power supply and controls to 1 (one) Packaged units</v>
      </c>
      <c r="X3" s="114" t="str">
        <f t="shared" ref="X3:X11" si="8">_xlfn.CONCAT(U3,".1 - ",IF(J3="Packaged units","Packaged units",IF(J3="VRF Central Controller","This includes supply and install of circuit breaker, power supply from MSSB, interconnect controls cabling and display install.",IF(J3="VRF Indoor units","VRF Indoor units",IF(J3="VRF Outdoor units","VRF Outdoor units","Split AC systems")))))</f>
        <v>6.1 - Packaged units</v>
      </c>
      <c r="Y3" s="114" t="str">
        <f t="shared" si="1"/>
        <v>6.2 - Packaged units</v>
      </c>
      <c r="Z3" s="114" t="str">
        <f t="shared" si="2"/>
        <v>6.3 - Packaged units</v>
      </c>
    </row>
    <row r="4" spans="1:26" x14ac:dyDescent="0.4">
      <c r="A4" s="343" t="str">
        <f>IF(NOT(I4="N/A"),IF(COUNTBLANK(K4:P4)=0,"VALID","INVALID"),"INVALID")</f>
        <v>VALID</v>
      </c>
      <c r="B4" s="344" t="str">
        <f>_xlfn.CONCAT(VLOOKUP(J4,_VRF!A:B,2,FALSE)," ",(ROW()-1))</f>
        <v>VRFC 3</v>
      </c>
      <c r="C4" s="345">
        <f t="shared" si="3"/>
        <v>370</v>
      </c>
      <c r="D4" s="344">
        <f t="shared" si="4"/>
        <v>10</v>
      </c>
      <c r="E4" s="344">
        <v>4</v>
      </c>
      <c r="F4" s="344"/>
      <c r="G4" s="344">
        <f>VLOOKUP(K4,_Fan!L:N,2,FALSE)</f>
        <v>92.5</v>
      </c>
      <c r="H4" s="344">
        <f>VLOOKUP(K4,_Fan!L:N,3,FALSE)</f>
        <v>2.5</v>
      </c>
      <c r="I4" s="344" t="str">
        <f>IF(COUNTBLANK(K4:P4)=0,_xlfn.CONCAT(VLOOKUP(J4,_VRF!A:B,2,FALSE),IF(K4="Local","-L","-M"),"-",IF(L4="Yes",1,0),IF(M4="Yes",1,0),IF(N4="No",0,N4),IF(O4="Yes",1,0),IF(P4="Yes",1,0)),"")</f>
        <v>VRFC-L-00000</v>
      </c>
      <c r="J4" s="344" t="s">
        <v>1083</v>
      </c>
      <c r="K4" s="344" t="s">
        <v>811</v>
      </c>
      <c r="L4" s="344" t="s">
        <v>1062</v>
      </c>
      <c r="M4" s="344" t="s">
        <v>1062</v>
      </c>
      <c r="N4" s="344" t="s">
        <v>1062</v>
      </c>
      <c r="O4" s="344" t="s">
        <v>1062</v>
      </c>
      <c r="P4" s="344" t="s">
        <v>1062</v>
      </c>
      <c r="Q4" s="344"/>
      <c r="R4" s="344"/>
      <c r="S4" s="344"/>
      <c r="T4" s="349" t="str">
        <f t="shared" si="5"/>
        <v xml:space="preserve">7 - Electrical power supply and controls to 4 (four) VRF Central Controller
        7.1 - This includes supply and install of circuit breaker, power supply from MSSB, interconnect controls cabling and display install.
        </v>
      </c>
      <c r="U4" s="114">
        <f t="shared" si="6"/>
        <v>7</v>
      </c>
      <c r="V4" s="114" t="str">
        <f>_xlfn.CONCAT(E4," (",VLOOKUP(E4,Backend!C:D,2,FALSE),")")</f>
        <v>4 (four)</v>
      </c>
      <c r="W4" s="114" t="str">
        <f t="shared" si="7"/>
        <v>7 - Electrical power supply and controls to 4 (four) VRF Central Controller</v>
      </c>
      <c r="X4" s="114" t="str">
        <f t="shared" si="8"/>
        <v>7.1 - This includes supply and install of circuit breaker, power supply from MSSB, interconnect controls cabling and display install.</v>
      </c>
      <c r="Y4" s="114" t="str">
        <f t="shared" si="1"/>
        <v/>
      </c>
      <c r="Z4" s="114" t="str">
        <f t="shared" si="2"/>
        <v/>
      </c>
    </row>
    <row r="5" spans="1:26" x14ac:dyDescent="0.4">
      <c r="A5" s="343" t="str">
        <f>IF(NOT(I5="N/A"),IF(COUNTBLANK(K5:P5)=0,"VALID","INVALID"),"INVALID")</f>
        <v>VALID</v>
      </c>
      <c r="B5" s="344" t="str">
        <f>_xlfn.CONCAT(VLOOKUP(J5,_VRF!A:B,2,FALSE)," ",(ROW()-1))</f>
        <v>VRFC 4</v>
      </c>
      <c r="C5" s="345">
        <f t="shared" si="3"/>
        <v>570.25</v>
      </c>
      <c r="D5" s="344">
        <f t="shared" si="4"/>
        <v>6</v>
      </c>
      <c r="E5" s="344">
        <v>1</v>
      </c>
      <c r="F5" s="344"/>
      <c r="G5" s="344">
        <f>VLOOKUP(K5,_Fan!L:N,2,FALSE)</f>
        <v>570.25</v>
      </c>
      <c r="H5" s="344">
        <f>VLOOKUP(K5,_Fan!L:N,3,FALSE)</f>
        <v>6</v>
      </c>
      <c r="I5" s="344" t="str">
        <f>IF(COUNTBLANK(K5:P5)=0,_xlfn.CONCAT(VLOOKUP(J5,_VRF!A:B,2,FALSE),IF(K5="Local","-L","-M"),"-",IF(L5="Yes",1,0),IF(M5="Yes",1,0),IF(N5="No",0,N5),IF(O5="Yes",1,0),IF(P5="Yes",1,0)),"")</f>
        <v>VRFC-M-00000</v>
      </c>
      <c r="J5" s="344" t="s">
        <v>1083</v>
      </c>
      <c r="K5" s="344" t="s">
        <v>681</v>
      </c>
      <c r="L5" s="344" t="s">
        <v>1062</v>
      </c>
      <c r="M5" s="344" t="s">
        <v>1062</v>
      </c>
      <c r="N5" s="344" t="s">
        <v>1062</v>
      </c>
      <c r="O5" s="344" t="s">
        <v>1062</v>
      </c>
      <c r="P5" s="344" t="s">
        <v>1062</v>
      </c>
      <c r="Q5" s="344"/>
      <c r="R5" s="344"/>
      <c r="S5" s="344"/>
      <c r="T5" s="349" t="str">
        <f t="shared" si="5"/>
        <v xml:space="preserve">8 - Electrical power supply and controls to 1 (one) VRF Central Controller
        8.1 - This includes supply and install of circuit breaker, power supply from MSSB, interconnect controls cabling and display install.
        </v>
      </c>
      <c r="U5" s="114">
        <f t="shared" si="6"/>
        <v>8</v>
      </c>
      <c r="V5" s="114" t="str">
        <f>_xlfn.CONCAT(E5," (",VLOOKUP(E5,Backend!C:D,2,FALSE),")")</f>
        <v>1 (one)</v>
      </c>
      <c r="W5" s="114" t="str">
        <f t="shared" si="7"/>
        <v>8 - Electrical power supply and controls to 1 (one) VRF Central Controller</v>
      </c>
      <c r="X5" s="114" t="str">
        <f t="shared" si="8"/>
        <v>8.1 - This includes supply and install of circuit breaker, power supply from MSSB, interconnect controls cabling and display install.</v>
      </c>
      <c r="Y5" s="114" t="str">
        <f t="shared" si="1"/>
        <v/>
      </c>
      <c r="Z5" s="114" t="str">
        <f t="shared" si="2"/>
        <v/>
      </c>
    </row>
    <row r="6" spans="1:26" x14ac:dyDescent="0.4">
      <c r="A6" s="343" t="str">
        <f>IF(NOT(I6="N/A"),IF(COUNTBLANK(K6:P6)=0,"VALID","INVALID"),"INVALID")</f>
        <v>VALID</v>
      </c>
      <c r="B6" s="344" t="str">
        <f>_xlfn.CONCAT(VLOOKUP(J6,_VRF!A:B,2,FALSE)," ",(ROW()-1))</f>
        <v>VRFI 5</v>
      </c>
      <c r="C6" s="345">
        <f t="shared" si="3"/>
        <v>185</v>
      </c>
      <c r="D6" s="344">
        <f t="shared" si="4"/>
        <v>5</v>
      </c>
      <c r="E6" s="344">
        <v>2</v>
      </c>
      <c r="F6" s="344"/>
      <c r="G6" s="344">
        <f>VLOOKUP(K6,_Fan!L:N,2,FALSE)</f>
        <v>92.5</v>
      </c>
      <c r="H6" s="344">
        <f>VLOOKUP(K6,_Fan!L:N,3,FALSE)</f>
        <v>2.5</v>
      </c>
      <c r="I6" s="344" t="str">
        <f>IF(COUNTBLANK(K6:P6)=0,_xlfn.CONCAT(VLOOKUP(J6,_VRF!A:B,2,FALSE),IF(K6="Local","-L","-M"),"-",IF(L6="Yes",1,0),IF(M6="Yes",1,0),IF(N6="No",0,N6),IF(O6="Yes",1,0),IF(P6="Yes",1,0)),"")</f>
        <v>VRFI-L-00000</v>
      </c>
      <c r="J6" s="344" t="s">
        <v>1084</v>
      </c>
      <c r="K6" s="344" t="s">
        <v>811</v>
      </c>
      <c r="L6" s="344" t="s">
        <v>1062</v>
      </c>
      <c r="M6" s="344" t="s">
        <v>1062</v>
      </c>
      <c r="N6" s="344" t="s">
        <v>1062</v>
      </c>
      <c r="O6" s="344" t="s">
        <v>1062</v>
      </c>
      <c r="P6" s="344" t="s">
        <v>1062</v>
      </c>
      <c r="Q6" s="344"/>
      <c r="R6" s="344"/>
      <c r="S6" s="344"/>
      <c r="T6" s="349" t="str">
        <f t="shared" si="5"/>
        <v>9 - Electrical power supply and controls to 2 (two) VRF Indoor units
        9.1 - VRF Indoor units
        9.2 - VRF Indoor units
        9.3 - VRF Indoor units</v>
      </c>
      <c r="U6" s="114">
        <f t="shared" si="6"/>
        <v>9</v>
      </c>
      <c r="V6" s="114" t="str">
        <f>_xlfn.CONCAT(E6," (",VLOOKUP(E6,Backend!C:D,2,FALSE),")")</f>
        <v>2 (two)</v>
      </c>
      <c r="W6" s="114" t="str">
        <f t="shared" si="7"/>
        <v>9 - Electrical power supply and controls to 2 (two) VRF Indoor units</v>
      </c>
      <c r="X6" s="114" t="str">
        <f t="shared" si="8"/>
        <v>9.1 - VRF Indoor units</v>
      </c>
      <c r="Y6" s="114" t="str">
        <f t="shared" si="1"/>
        <v>9.2 - VRF Indoor units</v>
      </c>
      <c r="Z6" s="114" t="str">
        <f t="shared" si="2"/>
        <v>9.3 - VRF Indoor units</v>
      </c>
    </row>
    <row r="7" spans="1:26" x14ac:dyDescent="0.4">
      <c r="A7" s="343" t="str">
        <f>IF(NOT(I7="N/A"),IF(COUNTBLANK(K7:P7)=0,"VALID","INVALID"),"INVALID")</f>
        <v>VALID</v>
      </c>
      <c r="B7" s="344" t="str">
        <f>_xlfn.CONCAT(VLOOKUP(J7,_VRF!A:B,2,FALSE)," ",(ROW()-1))</f>
        <v>VRFI 6</v>
      </c>
      <c r="C7" s="345">
        <f t="shared" si="3"/>
        <v>1710.75</v>
      </c>
      <c r="D7" s="344">
        <f t="shared" si="4"/>
        <v>18</v>
      </c>
      <c r="E7" s="344">
        <v>3</v>
      </c>
      <c r="F7" s="344"/>
      <c r="G7" s="344">
        <f>VLOOKUP(K7,_Fan!L:N,2,FALSE)</f>
        <v>570.25</v>
      </c>
      <c r="H7" s="344">
        <f>VLOOKUP(K7,_Fan!L:N,3,FALSE)</f>
        <v>6</v>
      </c>
      <c r="I7" s="344" t="str">
        <f>IF(COUNTBLANK(K7:P7)=0,_xlfn.CONCAT(VLOOKUP(J7,_VRF!A:B,2,FALSE),IF(K7="Local","-L","-M"),"-",IF(L7="Yes",1,0),IF(M7="Yes",1,0),IF(N7="No",0,N7),IF(O7="Yes",1,0),IF(P7="Yes",1,0)),"")</f>
        <v>VRFI-M-00000</v>
      </c>
      <c r="J7" s="344" t="s">
        <v>1084</v>
      </c>
      <c r="K7" s="344" t="s">
        <v>681</v>
      </c>
      <c r="L7" s="344" t="s">
        <v>1062</v>
      </c>
      <c r="M7" s="344" t="s">
        <v>1062</v>
      </c>
      <c r="N7" s="344" t="s">
        <v>1062</v>
      </c>
      <c r="O7" s="344" t="s">
        <v>1062</v>
      </c>
      <c r="P7" s="344" t="s">
        <v>1062</v>
      </c>
      <c r="Q7" s="344"/>
      <c r="R7" s="344"/>
      <c r="S7" s="344"/>
      <c r="T7" s="349" t="str">
        <f t="shared" si="5"/>
        <v>10 - Electrical power supply and controls to 3 (three) VRF Indoor units
        10.1 - VRF Indoor units
        10.2 - VRF Indoor units
        10.3 - VRF Indoor units</v>
      </c>
      <c r="U7" s="114">
        <f t="shared" si="6"/>
        <v>10</v>
      </c>
      <c r="V7" s="114" t="str">
        <f>_xlfn.CONCAT(E7," (",VLOOKUP(E7,Backend!C:D,2,FALSE),")")</f>
        <v>3 (three)</v>
      </c>
      <c r="W7" s="114" t="str">
        <f t="shared" si="7"/>
        <v>10 - Electrical power supply and controls to 3 (three) VRF Indoor units</v>
      </c>
      <c r="X7" s="114" t="str">
        <f t="shared" si="8"/>
        <v>10.1 - VRF Indoor units</v>
      </c>
      <c r="Y7" s="114" t="str">
        <f t="shared" si="1"/>
        <v>10.2 - VRF Indoor units</v>
      </c>
      <c r="Z7" s="114" t="str">
        <f t="shared" si="2"/>
        <v>10.3 - VRF Indoor units</v>
      </c>
    </row>
    <row r="8" spans="1:26" x14ac:dyDescent="0.4">
      <c r="A8" s="343" t="str">
        <f>IF(NOT(I8="N/A"),IF(COUNTBLANK(K8:P8)=0,"VALID","INVALID"),"INVALID")</f>
        <v>VALID</v>
      </c>
      <c r="B8" s="344" t="str">
        <f>_xlfn.CONCAT(VLOOKUP(J8,_VRF!A:B,2,FALSE)," ",(ROW()-1))</f>
        <v>VRFO 7</v>
      </c>
      <c r="C8" s="345">
        <f t="shared" si="3"/>
        <v>370</v>
      </c>
      <c r="D8" s="344">
        <f t="shared" si="4"/>
        <v>10</v>
      </c>
      <c r="E8" s="344">
        <v>4</v>
      </c>
      <c r="F8" s="344"/>
      <c r="G8" s="344">
        <f>VLOOKUP(K8,_Fan!L:N,2,FALSE)</f>
        <v>92.5</v>
      </c>
      <c r="H8" s="344">
        <f>VLOOKUP(K8,_Fan!L:N,3,FALSE)</f>
        <v>2.5</v>
      </c>
      <c r="I8" s="344" t="str">
        <f>IF(COUNTBLANK(K8:P8)=0,_xlfn.CONCAT(VLOOKUP(J8,_VRF!A:B,2,FALSE),IF(K8="Local","-L","-M"),"-",IF(L8="Yes",1,0),IF(M8="Yes",1,0),IF(N8="No",0,N8),IF(O8="Yes",1,0),IF(P8="Yes",1,0)),"")</f>
        <v>VRFO-L-00000</v>
      </c>
      <c r="J8" s="344" t="s">
        <v>1085</v>
      </c>
      <c r="K8" s="344" t="s">
        <v>811</v>
      </c>
      <c r="L8" s="344" t="s">
        <v>1062</v>
      </c>
      <c r="M8" s="344" t="s">
        <v>1062</v>
      </c>
      <c r="N8" s="344" t="s">
        <v>1062</v>
      </c>
      <c r="O8" s="344" t="s">
        <v>1062</v>
      </c>
      <c r="P8" s="344" t="s">
        <v>1062</v>
      </c>
      <c r="Q8" s="344"/>
      <c r="R8" s="344"/>
      <c r="S8" s="344"/>
      <c r="T8" s="349" t="str">
        <f t="shared" si="5"/>
        <v>11 - Electrical power supply and controls to 4 (four) VRF Outdoor units
        11.1 - VRF Outdoor units
        11.2 - VRF Outdoor units
        11.3 - VRF Outdoor units</v>
      </c>
      <c r="U8" s="114">
        <f t="shared" si="6"/>
        <v>11</v>
      </c>
      <c r="V8" s="114" t="str">
        <f>_xlfn.CONCAT(E8," (",VLOOKUP(E8,Backend!C:D,2,FALSE),")")</f>
        <v>4 (four)</v>
      </c>
      <c r="W8" s="114" t="str">
        <f t="shared" si="7"/>
        <v>11 - Electrical power supply and controls to 4 (four) VRF Outdoor units</v>
      </c>
      <c r="X8" s="114" t="str">
        <f t="shared" si="8"/>
        <v>11.1 - VRF Outdoor units</v>
      </c>
      <c r="Y8" s="114" t="str">
        <f t="shared" si="1"/>
        <v>11.2 - VRF Outdoor units</v>
      </c>
      <c r="Z8" s="114" t="str">
        <f t="shared" si="2"/>
        <v>11.3 - VRF Outdoor units</v>
      </c>
    </row>
    <row r="9" spans="1:26" x14ac:dyDescent="0.4">
      <c r="A9" s="343" t="str">
        <f>IF(NOT(I9="N/A"),IF(COUNTBLANK(K9:P9)=0,"VALID","INVALID"),"INVALID")</f>
        <v>VALID</v>
      </c>
      <c r="B9" s="344" t="str">
        <f>_xlfn.CONCAT(VLOOKUP(J9,_VRF!A:B,2,FALSE)," ",(ROW()-1))</f>
        <v>VRFO 8</v>
      </c>
      <c r="C9" s="345">
        <f t="shared" si="3"/>
        <v>2851.25</v>
      </c>
      <c r="D9" s="344">
        <f t="shared" si="4"/>
        <v>30</v>
      </c>
      <c r="E9" s="344">
        <v>5</v>
      </c>
      <c r="F9" s="344"/>
      <c r="G9" s="344">
        <f>VLOOKUP(K9,_Fan!L:N,2,FALSE)</f>
        <v>570.25</v>
      </c>
      <c r="H9" s="344">
        <f>VLOOKUP(K9,_Fan!L:N,3,FALSE)</f>
        <v>6</v>
      </c>
      <c r="I9" s="344" t="str">
        <f>IF(COUNTBLANK(K9:P9)=0,_xlfn.CONCAT(VLOOKUP(J9,_VRF!A:B,2,FALSE),IF(K9="Local","-L","-M"),"-",IF(L9="Yes",1,0),IF(M9="Yes",1,0),IF(N9="No",0,N9),IF(O9="Yes",1,0),IF(P9="Yes",1,0)),"")</f>
        <v>VRFO-M-00000</v>
      </c>
      <c r="J9" s="344" t="s">
        <v>1085</v>
      </c>
      <c r="K9" s="344" t="s">
        <v>681</v>
      </c>
      <c r="L9" s="344" t="s">
        <v>1062</v>
      </c>
      <c r="M9" s="344" t="s">
        <v>1062</v>
      </c>
      <c r="N9" s="344" t="s">
        <v>1062</v>
      </c>
      <c r="O9" s="344" t="s">
        <v>1062</v>
      </c>
      <c r="P9" s="344" t="s">
        <v>1062</v>
      </c>
      <c r="Q9" s="344"/>
      <c r="R9" s="344"/>
      <c r="S9" s="344"/>
      <c r="T9" s="349" t="str">
        <f t="shared" si="5"/>
        <v>12 - Electrical power supply and controls to 5 (five) VRF Outdoor units
        12.1 - VRF Outdoor units
        12.2 - VRF Outdoor units
        12.3 - VRF Outdoor units</v>
      </c>
      <c r="U9" s="114">
        <f t="shared" si="6"/>
        <v>12</v>
      </c>
      <c r="V9" s="114" t="str">
        <f>_xlfn.CONCAT(E9," (",VLOOKUP(E9,Backend!C:D,2,FALSE),")")</f>
        <v>5 (five)</v>
      </c>
      <c r="W9" s="114" t="str">
        <f t="shared" si="7"/>
        <v>12 - Electrical power supply and controls to 5 (five) VRF Outdoor units</v>
      </c>
      <c r="X9" s="114" t="str">
        <f t="shared" si="8"/>
        <v>12.1 - VRF Outdoor units</v>
      </c>
      <c r="Y9" s="114" t="str">
        <f t="shared" si="1"/>
        <v>12.2 - VRF Outdoor units</v>
      </c>
      <c r="Z9" s="114" t="str">
        <f t="shared" si="2"/>
        <v>12.3 - VRF Outdoor units</v>
      </c>
    </row>
    <row r="10" spans="1:26" x14ac:dyDescent="0.4">
      <c r="A10" s="343" t="str">
        <f>IF(NOT(I10="N/A"),IF(COUNTBLANK(K10:P10)=0,"VALID","INVALID"),"INVALID")</f>
        <v>VALID</v>
      </c>
      <c r="B10" s="344" t="str">
        <f>_xlfn.CONCAT(VLOOKUP(J10,_VRF!A:B,2,FALSE)," ",(ROW()-1))</f>
        <v>SPLT 9</v>
      </c>
      <c r="C10" s="345">
        <f t="shared" si="3"/>
        <v>555</v>
      </c>
      <c r="D10" s="344">
        <f t="shared" si="4"/>
        <v>15</v>
      </c>
      <c r="E10" s="344">
        <v>6</v>
      </c>
      <c r="F10" s="344"/>
      <c r="G10" s="344">
        <f>VLOOKUP(K10,_Fan!L:N,2,FALSE)</f>
        <v>92.5</v>
      </c>
      <c r="H10" s="344">
        <f>VLOOKUP(K10,_Fan!L:N,3,FALSE)</f>
        <v>2.5</v>
      </c>
      <c r="I10" s="344" t="str">
        <f>IF(COUNTBLANK(K10:P10)=0,_xlfn.CONCAT(VLOOKUP(J10,_VRF!A:B,2,FALSE),IF(K10="Local","-L","-M"),"-",IF(L10="Yes",1,0),IF(M10="Yes",1,0),IF(N10="No",0,N10),IF(O10="Yes",1,0),IF(P10="Yes",1,0)),"")</f>
        <v>SPLT-L-00000</v>
      </c>
      <c r="J10" s="344" t="s">
        <v>1082</v>
      </c>
      <c r="K10" s="344" t="s">
        <v>811</v>
      </c>
      <c r="L10" s="344" t="s">
        <v>1062</v>
      </c>
      <c r="M10" s="344" t="s">
        <v>1062</v>
      </c>
      <c r="N10" s="344" t="s">
        <v>1062</v>
      </c>
      <c r="O10" s="344" t="s">
        <v>1062</v>
      </c>
      <c r="P10" s="344" t="s">
        <v>1062</v>
      </c>
      <c r="Q10" s="344"/>
      <c r="R10" s="344"/>
      <c r="S10" s="344"/>
      <c r="T10" s="349" t="str">
        <f t="shared" si="5"/>
        <v>13 - Electrical power supply and controls to 6 (six) Split AC systems
        13.1 - Split AC systems
        13.2 - Split AC systems
        13.3 - Split AC systems</v>
      </c>
      <c r="U10" s="114">
        <f t="shared" si="6"/>
        <v>13</v>
      </c>
      <c r="V10" s="114" t="str">
        <f>_xlfn.CONCAT(E10," (",VLOOKUP(E10,Backend!C:D,2,FALSE),")")</f>
        <v>6 (six)</v>
      </c>
      <c r="W10" s="114" t="str">
        <f t="shared" si="7"/>
        <v>13 - Electrical power supply and controls to 6 (six) Split AC systems</v>
      </c>
      <c r="X10" s="114" t="str">
        <f t="shared" si="8"/>
        <v>13.1 - Split AC systems</v>
      </c>
      <c r="Y10" s="114" t="str">
        <f t="shared" si="1"/>
        <v>13.2 - Split AC systems</v>
      </c>
      <c r="Z10" s="114" t="str">
        <f t="shared" si="2"/>
        <v>13.3 - Split AC systems</v>
      </c>
    </row>
    <row r="11" spans="1:26" x14ac:dyDescent="0.4">
      <c r="A11" s="343" t="str">
        <f>IF(NOT(I11="N/A"),IF(COUNTBLANK(K11:P11)=0,"VALID","INVALID"),"INVALID")</f>
        <v>VALID</v>
      </c>
      <c r="B11" s="344" t="str">
        <f>_xlfn.CONCAT(VLOOKUP(J11,_VRF!A:B,2,FALSE)," ",(ROW()-1))</f>
        <v>SPLT 10</v>
      </c>
      <c r="C11" s="345">
        <f t="shared" si="3"/>
        <v>3991.75</v>
      </c>
      <c r="D11" s="344">
        <f t="shared" si="4"/>
        <v>42</v>
      </c>
      <c r="E11" s="344">
        <v>7</v>
      </c>
      <c r="F11" s="344"/>
      <c r="G11" s="344">
        <f>VLOOKUP(K11,_Fan!L:N,2,FALSE)</f>
        <v>570.25</v>
      </c>
      <c r="H11" s="344">
        <f>VLOOKUP(K11,_Fan!L:N,3,FALSE)</f>
        <v>6</v>
      </c>
      <c r="I11" s="344" t="str">
        <f>IF(COUNTBLANK(K11:P11)=0,_xlfn.CONCAT(VLOOKUP(J11,_VRF!A:B,2,FALSE),IF(K11="Local","-L","-M"),"-",IF(L11="Yes",1,0),IF(M11="Yes",1,0),IF(N11="No",0,N11),IF(O11="Yes",1,0),IF(P11="Yes",1,0)),"")</f>
        <v>SPLT-M-00000</v>
      </c>
      <c r="J11" s="344" t="s">
        <v>1082</v>
      </c>
      <c r="K11" s="344" t="s">
        <v>681</v>
      </c>
      <c r="L11" s="344" t="s">
        <v>1062</v>
      </c>
      <c r="M11" s="344" t="s">
        <v>1062</v>
      </c>
      <c r="N11" s="344" t="s">
        <v>1062</v>
      </c>
      <c r="O11" s="344" t="s">
        <v>1062</v>
      </c>
      <c r="P11" s="344" t="s">
        <v>1062</v>
      </c>
      <c r="Q11" s="344"/>
      <c r="R11" s="344"/>
      <c r="S11" s="344"/>
      <c r="T11" s="349" t="str">
        <f t="shared" si="5"/>
        <v>14 - Electrical power supply and controls to 7 (seven) Split AC systems
        14.1 - Split AC systems
        14.2 - Split AC systems
        14.3 - Split AC systems</v>
      </c>
      <c r="U11" s="114">
        <f t="shared" si="6"/>
        <v>14</v>
      </c>
      <c r="V11" s="114" t="str">
        <f>_xlfn.CONCAT(E11," (",VLOOKUP(E11,Backend!C:D,2,FALSE),")")</f>
        <v>7 (seven)</v>
      </c>
      <c r="W11" s="114" t="str">
        <f t="shared" si="7"/>
        <v>14 - Electrical power supply and controls to 7 (seven) Split AC systems</v>
      </c>
      <c r="X11" s="114" t="str">
        <f t="shared" si="8"/>
        <v>14.1 - Split AC systems</v>
      </c>
      <c r="Y11" s="114" t="str">
        <f t="shared" ref="Y5:Y11" si="9">_xlfn.CONCAT(IF(J11="Packaged units",_xlfn.CONCAT(U11,".2 - ","Packaged units"),IF(J11="VRF Central Controller","",IF(J11="VRF Indoor units",_xlfn.CONCAT(U11,".2 - ","VRF Indoor units"),IF(J11="VRF Outdoor units",_xlfn.CONCAT(U11,".2 - ","VRF Outdoor units"),_xlfn.CONCAT(U11,".2 - ","Split AC systems"))))))</f>
        <v>14.2 - Split AC systems</v>
      </c>
      <c r="Z11" s="114" t="str">
        <f>_xlfn.CONCAT(IF(J11="Packaged units",_xlfn.CONCAT(U11,".3 - ","Packaged units"),IF(J11="VRF Central Controller","",IF(J11="VRF Indoor units",_xlfn.CONCAT(U11,".3 - ","VRF Indoor units"),IF(J11="VRF Outdoor units",_xlfn.CONCAT(U11,".3 - ","VRF Outdoor units"),_xlfn.CONCAT(U11,".3 - ","Split AC systems"))))))</f>
        <v>14.3 - Split AC systems</v>
      </c>
    </row>
    <row r="12" spans="1:26" x14ac:dyDescent="0.4">
      <c r="A12" s="343" t="str">
        <f>IF(NOT(I12="N/A"),IF(COUNTBLANK(K12:P12)=0,"VALID","INVALID"),"INVALID")</f>
        <v>INVALID</v>
      </c>
      <c r="B12" s="344" t="e">
        <f>_xlfn.CONCAT(VLOOKUP(J12,_VRF!A:B,2,FALSE)," ",(ROW()-1))</f>
        <v>#N/A</v>
      </c>
      <c r="C12" s="345" t="e">
        <f t="shared" si="3"/>
        <v>#N/A</v>
      </c>
      <c r="D12" s="344" t="e">
        <f t="shared" si="4"/>
        <v>#N/A</v>
      </c>
      <c r="E12" s="344"/>
      <c r="F12" s="344"/>
      <c r="G12" s="344" t="e">
        <f>VLOOKUP(K12,_Fan!L:N,2,FALSE)</f>
        <v>#N/A</v>
      </c>
      <c r="H12" s="344" t="e">
        <f>VLOOKUP(K12,_Fan!L:N,3,FALSE)</f>
        <v>#N/A</v>
      </c>
      <c r="I12" s="344" t="str">
        <f>IF(COUNTBLANK(K12:P12)=0,_xlfn.CONCAT(VLOOKUP(J12,_VRF!A:B,2,FALSE),IF(K12="Local","-L","-M"),"-",IF(L12="Yes",1,0),IF(M12="Yes",1,0),IF(N12="No",0,N12),IF(O12="Yes",1,0),IF(P12="Yes",1,0)),"")</f>
        <v/>
      </c>
      <c r="J12" s="344"/>
      <c r="K12" s="344"/>
      <c r="L12" s="344"/>
      <c r="M12" s="344"/>
      <c r="N12" s="344"/>
      <c r="O12" s="344"/>
      <c r="P12" s="344"/>
      <c r="Q12" s="344"/>
      <c r="R12" s="344"/>
      <c r="S12" s="344"/>
      <c r="T12" s="349"/>
    </row>
    <row r="13" spans="1:26" x14ac:dyDescent="0.4">
      <c r="A13" s="343" t="str">
        <f>IF(NOT(I13="N/A"),IF(COUNTBLANK(K13:P13)=0,"VALID","INVALID"),"INVALID")</f>
        <v>INVALID</v>
      </c>
      <c r="B13" s="344" t="e">
        <f>_xlfn.CONCAT(VLOOKUP(J13,_VRF!A:B,2,FALSE)," ",(ROW()-1))</f>
        <v>#N/A</v>
      </c>
      <c r="C13" s="345" t="e">
        <f t="shared" si="3"/>
        <v>#N/A</v>
      </c>
      <c r="D13" s="344" t="e">
        <f t="shared" si="4"/>
        <v>#N/A</v>
      </c>
      <c r="E13" s="344"/>
      <c r="F13" s="344"/>
      <c r="G13" s="344" t="e">
        <f>VLOOKUP(K13,_Fan!L:N,2,FALSE)</f>
        <v>#N/A</v>
      </c>
      <c r="H13" s="344" t="e">
        <f>VLOOKUP(K13,_Fan!L:N,3,FALSE)</f>
        <v>#N/A</v>
      </c>
      <c r="I13" s="344" t="str">
        <f>IF(COUNTBLANK(K13:P13)=0,_xlfn.CONCAT(VLOOKUP(J13,_VRF!A:B,2,FALSE),IF(K13="Local","-L","-M"),"-",IF(L13="Yes",1,0),IF(M13="Yes",1,0),IF(N13="No",0,N13),IF(O13="Yes",1,0),IF(P13="Yes",1,0)),"")</f>
        <v/>
      </c>
      <c r="J13" s="344"/>
      <c r="K13" s="344"/>
      <c r="L13" s="344"/>
      <c r="M13" s="344"/>
      <c r="N13" s="344"/>
      <c r="O13" s="344"/>
      <c r="P13" s="344"/>
      <c r="Q13" s="344"/>
      <c r="R13" s="344"/>
      <c r="S13" s="344"/>
      <c r="T13" s="349"/>
    </row>
    <row r="14" spans="1:26" x14ac:dyDescent="0.4">
      <c r="A14" s="343" t="str">
        <f>IF(NOT(I14="N/A"),IF(COUNTBLANK(K14:P14)=0,"VALID","INVALID"),"INVALID")</f>
        <v>INVALID</v>
      </c>
      <c r="B14" s="344" t="e">
        <f>_xlfn.CONCAT(VLOOKUP(J14,_VRF!A:B,2,FALSE)," ",(ROW()-1))</f>
        <v>#N/A</v>
      </c>
      <c r="C14" s="345" t="e">
        <f t="shared" si="3"/>
        <v>#N/A</v>
      </c>
      <c r="D14" s="344" t="e">
        <f t="shared" si="4"/>
        <v>#N/A</v>
      </c>
      <c r="E14" s="344"/>
      <c r="F14" s="344"/>
      <c r="G14" s="344" t="e">
        <f>VLOOKUP(K14,_Fan!L:N,2,FALSE)</f>
        <v>#N/A</v>
      </c>
      <c r="H14" s="344" t="e">
        <f>VLOOKUP(K14,_Fan!L:N,3,FALSE)</f>
        <v>#N/A</v>
      </c>
      <c r="I14" s="344" t="str">
        <f>IF(COUNTBLANK(K14:P14)=0,_xlfn.CONCAT(VLOOKUP(J14,_VRF!A:B,2,FALSE),IF(K14="Local","-L","-M"),"-",IF(L14="Yes",1,0),IF(M14="Yes",1,0),IF(N14="No",0,N14),IF(O14="Yes",1,0),IF(P14="Yes",1,0)),"")</f>
        <v/>
      </c>
      <c r="J14" s="344"/>
      <c r="K14" s="344"/>
      <c r="L14" s="344"/>
      <c r="M14" s="344"/>
      <c r="N14" s="344"/>
      <c r="O14" s="344"/>
      <c r="P14" s="344"/>
      <c r="Q14" s="344"/>
      <c r="R14" s="344"/>
      <c r="S14" s="344"/>
      <c r="T14" s="349"/>
    </row>
    <row r="15" spans="1:26" x14ac:dyDescent="0.4">
      <c r="A15" s="343" t="str">
        <f>IF(NOT(I15="N/A"),IF(COUNTBLANK(K15:P15)=0,"VALID","INVALID"),"INVALID")</f>
        <v>INVALID</v>
      </c>
      <c r="B15" s="344" t="e">
        <f>_xlfn.CONCAT(VLOOKUP(J15,_VRF!A:B,2,FALSE)," ",(ROW()-1))</f>
        <v>#N/A</v>
      </c>
      <c r="C15" s="345" t="e">
        <f t="shared" si="3"/>
        <v>#N/A</v>
      </c>
      <c r="D15" s="344" t="e">
        <f t="shared" si="4"/>
        <v>#N/A</v>
      </c>
      <c r="E15" s="344"/>
      <c r="F15" s="344"/>
      <c r="G15" s="344" t="e">
        <f>VLOOKUP(K15,_Fan!L:N,2,FALSE)</f>
        <v>#N/A</v>
      </c>
      <c r="H15" s="344" t="e">
        <f>VLOOKUP(K15,_Fan!L:N,3,FALSE)</f>
        <v>#N/A</v>
      </c>
      <c r="I15" s="344" t="str">
        <f>IF(COUNTBLANK(K15:P15)=0,_xlfn.CONCAT(VLOOKUP(J15,_VRF!A:B,2,FALSE),IF(K15="Local","-L","-M"),"-",IF(L15="Yes",1,0),IF(M15="Yes",1,0),IF(N15="No",0,N15),IF(O15="Yes",1,0),IF(P15="Yes",1,0)),"")</f>
        <v/>
      </c>
      <c r="J15" s="344"/>
      <c r="K15" s="344"/>
      <c r="L15" s="344"/>
      <c r="M15" s="344"/>
      <c r="N15" s="344"/>
      <c r="O15" s="344"/>
      <c r="P15" s="344"/>
      <c r="Q15" s="344"/>
      <c r="R15" s="344"/>
      <c r="S15" s="344"/>
      <c r="T15" s="349"/>
    </row>
    <row r="16" spans="1:26" x14ac:dyDescent="0.4">
      <c r="A16" s="343" t="str">
        <f>IF(NOT(I16="N/A"),IF(COUNTBLANK(K16:P16)=0,"VALID","INVALID"),"INVALID")</f>
        <v>INVALID</v>
      </c>
      <c r="B16" s="344" t="e">
        <f>_xlfn.CONCAT(VLOOKUP(J16,_VRF!A:B,2,FALSE)," ",(ROW()-1))</f>
        <v>#N/A</v>
      </c>
      <c r="C16" s="345" t="e">
        <f t="shared" si="3"/>
        <v>#N/A</v>
      </c>
      <c r="D16" s="344" t="e">
        <f t="shared" si="4"/>
        <v>#N/A</v>
      </c>
      <c r="E16" s="344"/>
      <c r="F16" s="344"/>
      <c r="G16" s="344" t="e">
        <f>VLOOKUP(K16,_Fan!L:N,2,FALSE)</f>
        <v>#N/A</v>
      </c>
      <c r="H16" s="344" t="e">
        <f>VLOOKUP(K16,_Fan!L:N,3,FALSE)</f>
        <v>#N/A</v>
      </c>
      <c r="I16" s="344" t="str">
        <f>IF(COUNTBLANK(K16:P16)=0,_xlfn.CONCAT(VLOOKUP(J16,_VRF!A:B,2,FALSE),IF(K16="Local","-L","-M"),"-",IF(L16="Yes",1,0),IF(M16="Yes",1,0),IF(N16="No",0,N16),IF(O16="Yes",1,0),IF(P16="Yes",1,0)),"")</f>
        <v/>
      </c>
      <c r="J16" s="344"/>
      <c r="K16" s="344"/>
      <c r="L16" s="344"/>
      <c r="M16" s="344"/>
      <c r="N16" s="344"/>
      <c r="O16" s="344"/>
      <c r="P16" s="344"/>
      <c r="Q16" s="344"/>
      <c r="R16" s="344"/>
      <c r="S16" s="344"/>
      <c r="T16" s="349"/>
    </row>
    <row r="17" spans="1:20" x14ac:dyDescent="0.4">
      <c r="A17" s="343" t="str">
        <f>IF(NOT(I17="N/A"),IF(COUNTBLANK(K17:P17)=0,"VALID","INVALID"),"INVALID")</f>
        <v>INVALID</v>
      </c>
      <c r="B17" s="344" t="e">
        <f>_xlfn.CONCAT(VLOOKUP(J17,_VRF!A:B,2,FALSE)," ",(ROW()-1))</f>
        <v>#N/A</v>
      </c>
      <c r="C17" s="345" t="e">
        <f t="shared" si="3"/>
        <v>#N/A</v>
      </c>
      <c r="D17" s="344" t="e">
        <f t="shared" si="4"/>
        <v>#N/A</v>
      </c>
      <c r="E17" s="344"/>
      <c r="F17" s="344"/>
      <c r="G17" s="344" t="e">
        <f>VLOOKUP(K17,_Fan!L:N,2,FALSE)</f>
        <v>#N/A</v>
      </c>
      <c r="H17" s="344" t="e">
        <f>VLOOKUP(K17,_Fan!L:N,3,FALSE)</f>
        <v>#N/A</v>
      </c>
      <c r="I17" s="344" t="str">
        <f>IF(COUNTBLANK(K17:P17)=0,_xlfn.CONCAT(VLOOKUP(J17,_VRF!A:B,2,FALSE),IF(K17="Local","-L","-M"),"-",IF(L17="Yes",1,0),IF(M17="Yes",1,0),IF(N17="No",0,N17),IF(O17="Yes",1,0),IF(P17="Yes",1,0)),"")</f>
        <v/>
      </c>
      <c r="J17" s="344"/>
      <c r="K17" s="344"/>
      <c r="L17" s="344"/>
      <c r="M17" s="344"/>
      <c r="N17" s="344"/>
      <c r="O17" s="344"/>
      <c r="P17" s="344"/>
      <c r="Q17" s="344"/>
      <c r="R17" s="344"/>
      <c r="S17" s="344"/>
      <c r="T17" s="349"/>
    </row>
    <row r="18" spans="1:20" x14ac:dyDescent="0.4">
      <c r="A18" s="343" t="str">
        <f>IF(NOT(I18="N/A"),IF(COUNTBLANK(K18:P18)=0,"VALID","INVALID"),"INVALID")</f>
        <v>INVALID</v>
      </c>
      <c r="B18" s="344" t="e">
        <f>_xlfn.CONCAT(VLOOKUP(J18,_VRF!A:B,2,FALSE)," ",(ROW()-1))</f>
        <v>#N/A</v>
      </c>
      <c r="C18" s="345" t="e">
        <f t="shared" si="3"/>
        <v>#N/A</v>
      </c>
      <c r="D18" s="344" t="e">
        <f t="shared" si="4"/>
        <v>#N/A</v>
      </c>
      <c r="E18" s="344"/>
      <c r="F18" s="344"/>
      <c r="G18" s="344" t="e">
        <f>VLOOKUP(K18,_Fan!L:N,2,FALSE)</f>
        <v>#N/A</v>
      </c>
      <c r="H18" s="344" t="e">
        <f>VLOOKUP(K18,_Fan!L:N,3,FALSE)</f>
        <v>#N/A</v>
      </c>
      <c r="I18" s="344" t="str">
        <f>IF(COUNTBLANK(K18:P18)=0,_xlfn.CONCAT(VLOOKUP(J18,_VRF!A:B,2,FALSE),IF(K18="Local","-L","-M"),"-",IF(L18="Yes",1,0),IF(M18="Yes",1,0),IF(N18="No",0,N18),IF(O18="Yes",1,0),IF(P18="Yes",1,0)),"")</f>
        <v/>
      </c>
      <c r="J18" s="344"/>
      <c r="K18" s="344"/>
      <c r="L18" s="344"/>
      <c r="M18" s="344"/>
      <c r="N18" s="344"/>
      <c r="O18" s="344"/>
      <c r="P18" s="344"/>
      <c r="Q18" s="344"/>
      <c r="R18" s="344"/>
      <c r="S18" s="344"/>
      <c r="T18" s="349"/>
    </row>
    <row r="19" spans="1:20" x14ac:dyDescent="0.4">
      <c r="A19" s="343" t="str">
        <f>IF(NOT(I19="N/A"),IF(COUNTBLANK(K19:P19)=0,"VALID","INVALID"),"INVALID")</f>
        <v>INVALID</v>
      </c>
      <c r="B19" s="344" t="e">
        <f>_xlfn.CONCAT(VLOOKUP(J19,_VRF!A:B,2,FALSE)," ",(ROW()-1))</f>
        <v>#N/A</v>
      </c>
      <c r="C19" s="345" t="e">
        <f t="shared" si="3"/>
        <v>#N/A</v>
      </c>
      <c r="D19" s="344" t="e">
        <f t="shared" si="4"/>
        <v>#N/A</v>
      </c>
      <c r="E19" s="344"/>
      <c r="F19" s="344"/>
      <c r="G19" s="344" t="e">
        <f>VLOOKUP(K19,_Fan!L:N,2,FALSE)</f>
        <v>#N/A</v>
      </c>
      <c r="H19" s="344" t="e">
        <f>VLOOKUP(K19,_Fan!L:N,3,FALSE)</f>
        <v>#N/A</v>
      </c>
      <c r="I19" s="344" t="str">
        <f>IF(COUNTBLANK(K19:P19)=0,_xlfn.CONCAT(VLOOKUP(J19,_VRF!A:B,2,FALSE),IF(K19="Local","-L","-M"),"-",IF(L19="Yes",1,0),IF(M19="Yes",1,0),IF(N19="No",0,N19),IF(O19="Yes",1,0),IF(P19="Yes",1,0)),"")</f>
        <v/>
      </c>
      <c r="J19" s="344"/>
      <c r="K19" s="344"/>
      <c r="L19" s="344"/>
      <c r="M19" s="344"/>
      <c r="N19" s="344"/>
      <c r="O19" s="344"/>
      <c r="P19" s="344"/>
      <c r="Q19" s="344"/>
      <c r="R19" s="344"/>
      <c r="S19" s="344"/>
      <c r="T19" s="349"/>
    </row>
    <row r="20" spans="1:20" x14ac:dyDescent="0.4">
      <c r="A20" s="343" t="str">
        <f>IF(NOT(I20="N/A"),IF(COUNTBLANK(K20:P20)=0,"VALID","INVALID"),"INVALID")</f>
        <v>INVALID</v>
      </c>
      <c r="B20" s="344" t="e">
        <f>_xlfn.CONCAT(VLOOKUP(J20,_VRF!A:B,2,FALSE)," ",(ROW()-1))</f>
        <v>#N/A</v>
      </c>
      <c r="C20" s="345" t="e">
        <f t="shared" si="3"/>
        <v>#N/A</v>
      </c>
      <c r="D20" s="344" t="e">
        <f t="shared" si="4"/>
        <v>#N/A</v>
      </c>
      <c r="E20" s="344"/>
      <c r="F20" s="344"/>
      <c r="G20" s="344" t="e">
        <f>VLOOKUP(K20,_Fan!L:N,2,FALSE)</f>
        <v>#N/A</v>
      </c>
      <c r="H20" s="344" t="e">
        <f>VLOOKUP(K20,_Fan!L:N,3,FALSE)</f>
        <v>#N/A</v>
      </c>
      <c r="I20" s="344" t="str">
        <f>IF(COUNTBLANK(K20:P20)=0,_xlfn.CONCAT(VLOOKUP(J20,_VRF!A:B,2,FALSE),IF(K20="Local","-L","-M"),"-",IF(L20="Yes",1,0),IF(M20="Yes",1,0),IF(N20="No",0,N20),IF(O20="Yes",1,0),IF(P20="Yes",1,0)),"")</f>
        <v/>
      </c>
      <c r="J20" s="344"/>
      <c r="K20" s="344"/>
      <c r="L20" s="344"/>
      <c r="M20" s="344"/>
      <c r="N20" s="344"/>
      <c r="O20" s="344"/>
      <c r="P20" s="344"/>
      <c r="Q20" s="344"/>
      <c r="R20" s="344"/>
      <c r="S20" s="344"/>
      <c r="T20" s="349"/>
    </row>
    <row r="21" spans="1:20" x14ac:dyDescent="0.4">
      <c r="A21" s="343" t="str">
        <f>IF(NOT(I21="N/A"),IF(COUNTBLANK(K21:P21)=0,"VALID","INVALID"),"INVALID")</f>
        <v>INVALID</v>
      </c>
      <c r="B21" s="344" t="e">
        <f>_xlfn.CONCAT(VLOOKUP(J21,_VRF!A:B,2,FALSE)," ",(ROW()-1))</f>
        <v>#N/A</v>
      </c>
      <c r="C21" s="345" t="e">
        <f t="shared" si="3"/>
        <v>#N/A</v>
      </c>
      <c r="D21" s="344" t="e">
        <f t="shared" si="4"/>
        <v>#N/A</v>
      </c>
      <c r="E21" s="344"/>
      <c r="F21" s="344"/>
      <c r="G21" s="344" t="e">
        <f>VLOOKUP(K21,_Fan!L:N,2,FALSE)</f>
        <v>#N/A</v>
      </c>
      <c r="H21" s="344" t="e">
        <f>VLOOKUP(K21,_Fan!L:N,3,FALSE)</f>
        <v>#N/A</v>
      </c>
      <c r="I21" s="344" t="str">
        <f>IF(COUNTBLANK(K21:P21)=0,_xlfn.CONCAT(VLOOKUP(J21,_VRF!A:B,2,FALSE),IF(K21="Local","-L","-M"),"-",IF(L21="Yes",1,0),IF(M21="Yes",1,0),IF(N21="No",0,N21),IF(O21="Yes",1,0),IF(P21="Yes",1,0)),"")</f>
        <v/>
      </c>
      <c r="J21" s="344"/>
      <c r="K21" s="344"/>
      <c r="L21" s="344"/>
      <c r="M21" s="344"/>
      <c r="N21" s="344"/>
      <c r="O21" s="344"/>
      <c r="P21" s="344"/>
      <c r="Q21" s="344"/>
      <c r="R21" s="344"/>
      <c r="S21" s="344"/>
      <c r="T21" s="349"/>
    </row>
    <row r="22" spans="1:20" x14ac:dyDescent="0.4">
      <c r="A22" s="343" t="str">
        <f>IF(NOT(I22="N/A"),IF(COUNTBLANK(K22:P22)=0,"VALID","INVALID"),"INVALID")</f>
        <v>INVALID</v>
      </c>
      <c r="B22" s="344" t="e">
        <f>_xlfn.CONCAT(VLOOKUP(J22,_VRF!A:B,2,FALSE)," ",(ROW()-1))</f>
        <v>#N/A</v>
      </c>
      <c r="C22" s="345" t="e">
        <f t="shared" si="3"/>
        <v>#N/A</v>
      </c>
      <c r="D22" s="344" t="e">
        <f t="shared" si="4"/>
        <v>#N/A</v>
      </c>
      <c r="E22" s="344"/>
      <c r="F22" s="344"/>
      <c r="G22" s="344" t="e">
        <f>VLOOKUP(K22,_Fan!L:N,2,FALSE)</f>
        <v>#N/A</v>
      </c>
      <c r="H22" s="344" t="e">
        <f>VLOOKUP(K22,_Fan!L:N,3,FALSE)</f>
        <v>#N/A</v>
      </c>
      <c r="I22" s="344" t="str">
        <f>IF(COUNTBLANK(K22:P22)=0,_xlfn.CONCAT(VLOOKUP(J22,_VRF!A:B,2,FALSE),IF(K22="Local","-L","-M"),"-",IF(L22="Yes",1,0),IF(M22="Yes",1,0),IF(N22="No",0,N22),IF(O22="Yes",1,0),IF(P22="Yes",1,0)),"")</f>
        <v/>
      </c>
      <c r="J22" s="344"/>
      <c r="K22" s="344"/>
      <c r="L22" s="344"/>
      <c r="M22" s="344"/>
      <c r="N22" s="344"/>
      <c r="O22" s="344"/>
      <c r="P22" s="344"/>
      <c r="Q22" s="344"/>
      <c r="R22" s="344"/>
      <c r="S22" s="344"/>
      <c r="T22" s="349" t="str">
        <f>IF(A22="VALID",_xlfn.CONCAT(#REF!,"
",REPT(" ",8),X22,"
",REPT(" ",8),Y22,"
",REPT(" ", 8),Z22, "
"),"")</f>
        <v/>
      </c>
    </row>
    <row r="23" spans="1:20" x14ac:dyDescent="0.4">
      <c r="I23" s="344" t="str">
        <f>IF(COUNTBLANK(K23:P23)=0,_xlfn.CONCAT(VLOOKUP(J23,_VRF!A:B,2,FALSE),IF(K23="Local","-L","-M"),"-",IF(L23="Yes",1,0),IF(M23="Yes",1,0),IF(N23="No",0,N23),IF(O23="Yes",1,0),IF(P23="Yes",1,0)),"")</f>
        <v/>
      </c>
      <c r="J23" s="344"/>
      <c r="K23" s="344"/>
      <c r="L23" s="344"/>
      <c r="M23" s="344"/>
      <c r="N23" s="344"/>
      <c r="O23" s="344"/>
      <c r="P23" s="344"/>
      <c r="Q23" s="344"/>
      <c r="R23" s="344"/>
      <c r="S23" s="344"/>
      <c r="T23" s="349" t="str">
        <f>IF(A23="VALID",_xlfn.CONCAT(#REF!,"
",REPT(" ",8),X23,"
",REPT(" ",8),Y23,"
",REPT(" ", 8),Z23, "
"),"")</f>
        <v/>
      </c>
    </row>
  </sheetData>
  <conditionalFormatting sqref="A2:A22">
    <cfRule type="cellIs" dxfId="7" priority="7" operator="equal">
      <formula>"INVALID"</formula>
    </cfRule>
    <cfRule type="cellIs" dxfId="6" priority="8" operator="equal">
      <formula>"VALID"</formula>
    </cfRule>
  </conditionalFormatting>
  <conditionalFormatting sqref="J4:P5 J12:P23">
    <cfRule type="cellIs" dxfId="5" priority="6" operator="equal">
      <formula>$ZI$2</formula>
    </cfRule>
  </conditionalFormatting>
  <conditionalFormatting sqref="Z1:Z1048576">
    <cfRule type="colorScale" priority="5">
      <colorScale>
        <cfvo type="min"/>
        <cfvo type="max"/>
        <color rgb="FF63BE7B"/>
        <color rgb="FFFCFCFF"/>
      </colorScale>
    </cfRule>
  </conditionalFormatting>
  <conditionalFormatting sqref="J6:P7">
    <cfRule type="cellIs" dxfId="4" priority="4" operator="equal">
      <formula>$ZI$2</formula>
    </cfRule>
  </conditionalFormatting>
  <conditionalFormatting sqref="J8:P9">
    <cfRule type="cellIs" dxfId="3" priority="3" operator="equal">
      <formula>$ZI$2</formula>
    </cfRule>
  </conditionalFormatting>
  <conditionalFormatting sqref="J10:P11">
    <cfRule type="cellIs" dxfId="2" priority="2" operator="equal">
      <formula>$ZI$2</formula>
    </cfRule>
  </conditionalFormatting>
  <conditionalFormatting sqref="J2:P3">
    <cfRule type="cellIs" dxfId="1" priority="1" operator="equal">
      <formula>$ZI$2</formula>
    </cfRule>
  </conditionalFormatting>
  <dataValidations disablePrompts="1" count="1">
    <dataValidation type="decimal" operator="greaterThanOrEqual" allowBlank="1" showInputMessage="1" showErrorMessage="1" promptTitle="[OVERRIDE] Hours" prompt="Override the default hours for the unit_x000a_" sqref="H2:H22" xr:uid="{A0EDD3C9-6680-44C9-AF3B-BB2B05AADF6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32506CA6-EBE2-4C37-ABE7-154626FC51D2}">
          <x14:formula1>
            <xm:f>_Fan!D$2:D$6</xm:f>
          </x14:formula1>
          <xm:sqref>N2:N23</xm:sqref>
        </x14:dataValidation>
        <x14:dataValidation type="list" allowBlank="1" showInputMessage="1" showErrorMessage="1" xr:uid="{F37B41D9-30E1-4378-981D-7D034A0EC8EF}">
          <x14:formula1>
            <xm:f>_Fan!A$2:A$3</xm:f>
          </x14:formula1>
          <xm:sqref>K2:M23 O2:P23</xm:sqref>
        </x14:dataValidation>
        <x14:dataValidation type="list" allowBlank="1" showInputMessage="1" showErrorMessage="1" xr:uid="{6E10D3A9-B3D4-4B3D-B1F2-D3721F31AB8B}">
          <x14:formula1>
            <xm:f>_VRF!A$2:A$6</xm:f>
          </x14:formula1>
          <xm:sqref>J2:J23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25F3A-B91B-4824-B589-043468F98823}">
  <dimension ref="A1:Y25"/>
  <sheetViews>
    <sheetView workbookViewId="0">
      <selection activeCell="A2" sqref="A2:A6"/>
    </sheetView>
  </sheetViews>
  <sheetFormatPr defaultRowHeight="14.6" x14ac:dyDescent="0.4"/>
  <cols>
    <col min="1" max="2" width="20.23046875" style="114" customWidth="1"/>
    <col min="3" max="8" width="12.61328125" style="114" customWidth="1"/>
    <col min="9" max="11" width="12.23046875" style="114" customWidth="1"/>
    <col min="12" max="12" width="9.23046875" style="114"/>
    <col min="13" max="13" width="27.765625" style="114" customWidth="1"/>
    <col min="14" max="16384" width="9.23046875" style="114"/>
  </cols>
  <sheetData>
    <row r="1" spans="1:25" s="321" customFormat="1" ht="43.75" x14ac:dyDescent="0.4">
      <c r="A1" s="321" t="s">
        <v>808</v>
      </c>
      <c r="B1" s="321" t="s">
        <v>1098</v>
      </c>
      <c r="C1" s="321" t="s">
        <v>1088</v>
      </c>
      <c r="D1" s="321" t="s">
        <v>1089</v>
      </c>
      <c r="E1" s="321" t="s">
        <v>1087</v>
      </c>
      <c r="F1" s="321" t="s">
        <v>1090</v>
      </c>
      <c r="G1" s="321" t="s">
        <v>1086</v>
      </c>
      <c r="H1" s="321" t="s">
        <v>1091</v>
      </c>
      <c r="M1" s="321" t="s">
        <v>1065</v>
      </c>
      <c r="N1" s="321" t="s">
        <v>1063</v>
      </c>
      <c r="O1" s="321" t="s">
        <v>1064</v>
      </c>
    </row>
    <row r="2" spans="1:25" x14ac:dyDescent="0.4">
      <c r="A2" s="114" t="s">
        <v>568</v>
      </c>
      <c r="B2" s="114" t="s">
        <v>1092</v>
      </c>
      <c r="C2" s="114" t="s">
        <v>811</v>
      </c>
      <c r="D2" s="114" t="s">
        <v>1061</v>
      </c>
      <c r="E2" s="114" t="s">
        <v>1061</v>
      </c>
      <c r="F2" s="114" t="s">
        <v>1062</v>
      </c>
      <c r="G2" s="114" t="s">
        <v>1061</v>
      </c>
      <c r="H2" s="114" t="s">
        <v>1061</v>
      </c>
      <c r="M2" s="114" t="str">
        <f>A2</f>
        <v>Packaged units</v>
      </c>
      <c r="N2" s="114">
        <f>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f>
        <v>92.5</v>
      </c>
      <c r="O2" s="114">
        <f>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f>
        <v>2.5</v>
      </c>
      <c r="P2" s="114" t="s">
        <v>1067</v>
      </c>
      <c r="Q2" s="114" t="s">
        <v>253</v>
      </c>
      <c r="R2" s="114" t="s">
        <v>826</v>
      </c>
      <c r="S2" s="114" t="s">
        <v>268</v>
      </c>
      <c r="T2" s="114" t="s">
        <v>830</v>
      </c>
      <c r="U2" s="114" t="s">
        <v>829</v>
      </c>
    </row>
    <row r="3" spans="1:25" x14ac:dyDescent="0.4">
      <c r="A3" s="114" t="s">
        <v>1083</v>
      </c>
      <c r="B3" s="114" t="s">
        <v>1094</v>
      </c>
      <c r="C3" s="114" t="s">
        <v>681</v>
      </c>
      <c r="D3" s="114" t="s">
        <v>1062</v>
      </c>
      <c r="E3" s="114" t="s">
        <v>1062</v>
      </c>
      <c r="F3" s="114">
        <v>2</v>
      </c>
      <c r="G3" s="114" t="s">
        <v>1062</v>
      </c>
      <c r="H3" s="114" t="s">
        <v>1062</v>
      </c>
      <c r="Q3" s="114">
        <v>1</v>
      </c>
      <c r="R3" s="114">
        <v>1</v>
      </c>
      <c r="S3" s="114">
        <v>5</v>
      </c>
      <c r="T3" s="114">
        <v>1</v>
      </c>
      <c r="U3" s="114">
        <v>1</v>
      </c>
    </row>
    <row r="4" spans="1:25" x14ac:dyDescent="0.4">
      <c r="A4" s="114" t="s">
        <v>1084</v>
      </c>
      <c r="B4" s="114" t="s">
        <v>1096</v>
      </c>
      <c r="F4" s="114">
        <v>3</v>
      </c>
      <c r="M4" s="114" t="str">
        <f>A3</f>
        <v>VRF Central Controller</v>
      </c>
      <c r="N4" s="114">
        <f>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f>
        <v>570.25</v>
      </c>
      <c r="O4" s="114">
        <f>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f>
        <v>6</v>
      </c>
      <c r="Q4" s="114" t="s">
        <v>253</v>
      </c>
      <c r="R4" s="114" t="s">
        <v>826</v>
      </c>
      <c r="S4" s="114" t="s">
        <v>268</v>
      </c>
      <c r="T4" s="114" t="s">
        <v>305</v>
      </c>
      <c r="U4" s="114" t="s">
        <v>281</v>
      </c>
      <c r="V4" s="114" t="s">
        <v>827</v>
      </c>
      <c r="W4" s="114" t="s">
        <v>828</v>
      </c>
      <c r="X4" s="114" t="s">
        <v>829</v>
      </c>
    </row>
    <row r="5" spans="1:25" x14ac:dyDescent="0.4">
      <c r="A5" s="114" t="s">
        <v>1085</v>
      </c>
      <c r="B5" s="114" t="s">
        <v>1097</v>
      </c>
      <c r="F5" s="114">
        <v>4</v>
      </c>
      <c r="Q5" s="114">
        <v>1</v>
      </c>
      <c r="R5" s="114">
        <v>1</v>
      </c>
      <c r="S5" s="114">
        <v>20</v>
      </c>
      <c r="T5" s="114">
        <v>1</v>
      </c>
      <c r="U5" s="114">
        <v>1</v>
      </c>
      <c r="V5" s="114">
        <v>1</v>
      </c>
      <c r="W5" s="114">
        <v>1</v>
      </c>
      <c r="X5" s="114">
        <v>1</v>
      </c>
      <c r="Y5" s="114">
        <v>1</v>
      </c>
    </row>
    <row r="6" spans="1:25" x14ac:dyDescent="0.4">
      <c r="A6" s="114" t="s">
        <v>1082</v>
      </c>
      <c r="B6" s="114" t="s">
        <v>1095</v>
      </c>
      <c r="M6" s="114" t="str">
        <f>A4</f>
        <v>VRF Indoor units</v>
      </c>
      <c r="N6" s="114">
        <f>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f>
        <v>4.25</v>
      </c>
      <c r="O6" s="114">
        <f>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f>
        <v>0.5</v>
      </c>
      <c r="P6" s="114" t="s">
        <v>1070</v>
      </c>
      <c r="Q6" s="114" t="s">
        <v>268</v>
      </c>
    </row>
    <row r="7" spans="1:25" x14ac:dyDescent="0.4">
      <c r="Q7" s="114">
        <v>5</v>
      </c>
    </row>
    <row r="8" spans="1:25" x14ac:dyDescent="0.4">
      <c r="M8" s="114" t="str">
        <f>A5</f>
        <v>VRF Outdoor units</v>
      </c>
      <c r="N8" s="114">
        <f>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f>
        <v>0.85</v>
      </c>
      <c r="O8" s="114">
        <f>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f>
        <v>0.1</v>
      </c>
      <c r="P8" s="114" t="s">
        <v>1071</v>
      </c>
      <c r="Q8" s="114" t="s">
        <v>268</v>
      </c>
    </row>
    <row r="9" spans="1:25" x14ac:dyDescent="0.4">
      <c r="Q9" s="114">
        <v>1</v>
      </c>
    </row>
    <row r="10" spans="1:25" x14ac:dyDescent="0.4">
      <c r="M10" s="114" t="str">
        <f>A6</f>
        <v>Split AC systems</v>
      </c>
      <c r="N10" s="114">
        <f>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f>
        <v>24.48</v>
      </c>
      <c r="O10" s="114">
        <f>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f>
        <v>2</v>
      </c>
      <c r="P10" s="114" t="s">
        <v>1072</v>
      </c>
      <c r="Q10" s="114" t="s">
        <v>420</v>
      </c>
      <c r="R10" s="114" t="s">
        <v>328</v>
      </c>
    </row>
    <row r="11" spans="1:25" x14ac:dyDescent="0.4">
      <c r="Q11" s="114">
        <v>1</v>
      </c>
      <c r="R11" s="114">
        <v>1</v>
      </c>
    </row>
    <row r="12" spans="1:25" x14ac:dyDescent="0.4">
      <c r="M12" s="114" t="str">
        <f>C2</f>
        <v>Local</v>
      </c>
      <c r="N12" s="114">
        <f>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f>
        <v>47.879999999999995</v>
      </c>
      <c r="O12" s="114">
        <f>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f>
        <v>2</v>
      </c>
      <c r="P12" s="114" t="s">
        <v>1073</v>
      </c>
      <c r="Q12" s="114" t="s">
        <v>831</v>
      </c>
      <c r="R12" s="114" t="s">
        <v>700</v>
      </c>
      <c r="S12" s="114" t="s">
        <v>420</v>
      </c>
    </row>
    <row r="13" spans="1:25" x14ac:dyDescent="0.4">
      <c r="F13" s="33" t="s">
        <v>883</v>
      </c>
      <c r="Q13" s="114">
        <v>1</v>
      </c>
      <c r="R13" s="114">
        <v>1</v>
      </c>
      <c r="S13" s="114">
        <v>1</v>
      </c>
    </row>
    <row r="14" spans="1:25" x14ac:dyDescent="0.4">
      <c r="F14" s="114" t="s">
        <v>865</v>
      </c>
      <c r="G14" s="114" t="s">
        <v>882</v>
      </c>
      <c r="M14" s="114" t="str">
        <f>C3</f>
        <v>MSSB</v>
      </c>
      <c r="N14" s="114">
        <f>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f>
        <v>24.48</v>
      </c>
      <c r="O14" s="114">
        <f>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f>
        <v>2</v>
      </c>
      <c r="P14" s="114" t="s">
        <v>1074</v>
      </c>
      <c r="Q14" s="114" t="s">
        <v>420</v>
      </c>
      <c r="R14" s="114" t="s">
        <v>328</v>
      </c>
    </row>
    <row r="15" spans="1:25" x14ac:dyDescent="0.4">
      <c r="F15" s="114" t="s">
        <v>881</v>
      </c>
      <c r="G15" s="114" t="s">
        <v>884</v>
      </c>
      <c r="Q15" s="114">
        <v>1</v>
      </c>
      <c r="R15" s="114">
        <v>1</v>
      </c>
    </row>
    <row r="16" spans="1:25" x14ac:dyDescent="0.4">
      <c r="M16" s="114" t="str">
        <f>D1</f>
        <v>Run &amp; Fault Lights</v>
      </c>
      <c r="N16" s="114">
        <f>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f>
        <v>24.48</v>
      </c>
      <c r="O16" s="114">
        <f>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f>
        <v>2</v>
      </c>
      <c r="P16" s="114" t="s">
        <v>1075</v>
      </c>
      <c r="Q16" s="114" t="s">
        <v>420</v>
      </c>
      <c r="R16" s="114" t="s">
        <v>328</v>
      </c>
    </row>
    <row r="17" spans="13:19" x14ac:dyDescent="0.4">
      <c r="Q17" s="114">
        <v>1</v>
      </c>
      <c r="R17" s="114">
        <v>1</v>
      </c>
    </row>
    <row r="18" spans="13:19" x14ac:dyDescent="0.4">
      <c r="M18" s="114" t="str">
        <f>E1</f>
        <v>Ducted</v>
      </c>
      <c r="N18" s="114">
        <f>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f>
        <v>84.48</v>
      </c>
      <c r="O18" s="114">
        <f>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f>
        <v>2</v>
      </c>
      <c r="P18" s="114" t="s">
        <v>1076</v>
      </c>
      <c r="Q18" s="114" t="s">
        <v>672</v>
      </c>
      <c r="R18" s="114" t="s">
        <v>420</v>
      </c>
      <c r="S18" s="114" t="s">
        <v>328</v>
      </c>
    </row>
    <row r="19" spans="13:19" x14ac:dyDescent="0.4">
      <c r="Q19" s="114">
        <v>1</v>
      </c>
      <c r="R19" s="114">
        <v>1</v>
      </c>
      <c r="S19" s="114">
        <v>1</v>
      </c>
    </row>
    <row r="20" spans="13:19" x14ac:dyDescent="0.4">
      <c r="M20" s="114" t="str">
        <f>F1</f>
        <v>Multiheaded</v>
      </c>
      <c r="N20" s="114">
        <f>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f>
        <v>331.67999999999995</v>
      </c>
      <c r="O20" s="114">
        <f>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f>
        <v>2</v>
      </c>
      <c r="P20" s="114" t="s">
        <v>1077</v>
      </c>
      <c r="Q20" s="114" t="s">
        <v>812</v>
      </c>
      <c r="R20" s="114" t="s">
        <v>420</v>
      </c>
      <c r="S20" s="114" t="s">
        <v>328</v>
      </c>
    </row>
    <row r="21" spans="13:19" x14ac:dyDescent="0.4">
      <c r="Q21" s="114">
        <v>1</v>
      </c>
      <c r="R21" s="114">
        <v>1</v>
      </c>
      <c r="S21" s="114">
        <v>1</v>
      </c>
    </row>
    <row r="22" spans="13:19" x14ac:dyDescent="0.4">
      <c r="M22" s="114" t="str">
        <f>G1</f>
        <v>Field Wiring by Customer</v>
      </c>
      <c r="N22" s="114">
        <f>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f>
        <v>60</v>
      </c>
      <c r="O22" s="114">
        <f>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f>
        <v>2</v>
      </c>
      <c r="P22" s="114" t="s">
        <v>1078</v>
      </c>
      <c r="Q22" s="114" t="s">
        <v>816</v>
      </c>
    </row>
    <row r="23" spans="13:19" x14ac:dyDescent="0.4">
      <c r="Q23" s="114">
        <v>1</v>
      </c>
    </row>
    <row r="24" spans="13:19" x14ac:dyDescent="0.4">
      <c r="M24" s="114" t="str">
        <f>H1</f>
        <v>Run status from unit to system</v>
      </c>
      <c r="N24" s="114">
        <f>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f>
        <v>80</v>
      </c>
      <c r="O24" s="114">
        <f>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f>
        <v>2</v>
      </c>
      <c r="P24" s="114" t="s">
        <v>1079</v>
      </c>
      <c r="Q24" s="114" t="s">
        <v>591</v>
      </c>
    </row>
    <row r="25" spans="13:19" x14ac:dyDescent="0.4">
      <c r="Q25" s="114">
        <v>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71C3217-B03C-4F9D-B598-0EBCCB52C285}">
          <x14:formula1>
            <xm:f>'Part List'!$A:$A</xm:f>
          </x14:formula1>
          <xm:sqref>X4 Q26 G23:G25 I23:I25 Q20:S20 Q22 Q24 Q18:S18 Q12:S12 Q16:R16 Q14:R14 Q10:R10 Q6 Q8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CAF3-A9C4-4D22-B2CB-7B06EA316AFC}">
  <dimension ref="A1:G109"/>
  <sheetViews>
    <sheetView workbookViewId="0">
      <pane ySplit="1" topLeftCell="A2" activePane="bottomLeft" state="frozen"/>
      <selection pane="bottomLeft" activeCell="G27" sqref="G27"/>
    </sheetView>
  </sheetViews>
  <sheetFormatPr defaultRowHeight="14.6" x14ac:dyDescent="0.4"/>
  <cols>
    <col min="1" max="2" width="19.4609375" customWidth="1"/>
    <col min="3" max="3" width="8.921875" style="302" customWidth="1"/>
    <col min="4" max="4" width="14.69140625" customWidth="1"/>
    <col min="5" max="5" width="11.53515625" customWidth="1"/>
    <col min="6" max="6" width="20" customWidth="1"/>
    <col min="7" max="7" width="19.4609375" customWidth="1"/>
  </cols>
  <sheetData>
    <row r="1" spans="1:7" s="33" customFormat="1" x14ac:dyDescent="0.4">
      <c r="A1" s="33" t="s">
        <v>819</v>
      </c>
      <c r="B1" s="33" t="s">
        <v>820</v>
      </c>
      <c r="C1" s="302" t="s">
        <v>821</v>
      </c>
      <c r="D1" s="33" t="s">
        <v>760</v>
      </c>
      <c r="E1" s="33" t="s">
        <v>822</v>
      </c>
      <c r="F1" s="33" t="s">
        <v>823</v>
      </c>
      <c r="G1" s="33" t="s">
        <v>753</v>
      </c>
    </row>
    <row r="2" spans="1:7" x14ac:dyDescent="0.4">
      <c r="A2" t="s">
        <v>826</v>
      </c>
      <c r="B2" t="s">
        <v>755</v>
      </c>
      <c r="C2" s="302">
        <v>19.8</v>
      </c>
      <c r="D2" t="s">
        <v>825</v>
      </c>
      <c r="E2">
        <v>1</v>
      </c>
      <c r="G2" t="s">
        <v>758</v>
      </c>
    </row>
    <row r="3" spans="1:7" x14ac:dyDescent="0.4">
      <c r="A3" t="s">
        <v>268</v>
      </c>
      <c r="C3" s="302">
        <v>0.85</v>
      </c>
      <c r="D3" t="s">
        <v>784</v>
      </c>
      <c r="E3" s="317">
        <v>0.1</v>
      </c>
    </row>
    <row r="4" spans="1:7" x14ac:dyDescent="0.4">
      <c r="A4" t="s">
        <v>305</v>
      </c>
      <c r="B4" t="s">
        <v>776</v>
      </c>
      <c r="C4" s="302">
        <v>57.95</v>
      </c>
      <c r="D4" t="s">
        <v>825</v>
      </c>
      <c r="E4">
        <v>2</v>
      </c>
      <c r="G4" t="s">
        <v>771</v>
      </c>
    </row>
    <row r="5" spans="1:7" x14ac:dyDescent="0.4">
      <c r="A5" s="114" t="s">
        <v>253</v>
      </c>
      <c r="B5" t="s">
        <v>767</v>
      </c>
      <c r="C5" s="302">
        <v>8.4499999999999993</v>
      </c>
      <c r="D5" t="s">
        <v>825</v>
      </c>
      <c r="G5" t="s">
        <v>773</v>
      </c>
    </row>
    <row r="6" spans="1:7" x14ac:dyDescent="0.4">
      <c r="A6" t="s">
        <v>829</v>
      </c>
      <c r="C6" s="302">
        <v>0</v>
      </c>
      <c r="E6">
        <v>1</v>
      </c>
    </row>
    <row r="7" spans="1:7" x14ac:dyDescent="0.4">
      <c r="A7" t="s">
        <v>281</v>
      </c>
      <c r="B7" s="315" t="s">
        <v>789</v>
      </c>
      <c r="C7" s="302">
        <f>37.8 +
53.25</f>
        <v>91.05</v>
      </c>
    </row>
    <row r="8" spans="1:7" x14ac:dyDescent="0.4">
      <c r="A8" s="117" t="s">
        <v>328</v>
      </c>
      <c r="B8" t="s">
        <v>779</v>
      </c>
      <c r="C8" s="302">
        <v>24.2</v>
      </c>
      <c r="D8" t="s">
        <v>825</v>
      </c>
      <c r="G8" t="s">
        <v>778</v>
      </c>
    </row>
    <row r="9" spans="1:7" x14ac:dyDescent="0.4">
      <c r="A9" s="316" t="s">
        <v>591</v>
      </c>
      <c r="B9" s="114"/>
      <c r="C9" s="302">
        <v>80</v>
      </c>
      <c r="E9">
        <v>2</v>
      </c>
    </row>
    <row r="10" spans="1:7" x14ac:dyDescent="0.4">
      <c r="A10" t="s">
        <v>672</v>
      </c>
      <c r="C10" s="302">
        <v>60</v>
      </c>
    </row>
    <row r="11" spans="1:7" x14ac:dyDescent="0.4">
      <c r="A11" t="s">
        <v>827</v>
      </c>
      <c r="B11" t="s">
        <v>765</v>
      </c>
      <c r="C11" s="302">
        <v>16</v>
      </c>
      <c r="D11" s="114" t="s">
        <v>825</v>
      </c>
      <c r="G11" t="s">
        <v>764</v>
      </c>
    </row>
    <row r="12" spans="1:7" x14ac:dyDescent="0.4">
      <c r="A12" t="s">
        <v>420</v>
      </c>
      <c r="C12" s="302">
        <v>0.28000000000000003</v>
      </c>
      <c r="D12" s="114"/>
      <c r="E12">
        <v>2</v>
      </c>
    </row>
    <row r="13" spans="1:7" x14ac:dyDescent="0.4">
      <c r="A13" t="s">
        <v>828</v>
      </c>
      <c r="B13" t="s">
        <v>698</v>
      </c>
      <c r="C13" s="302">
        <v>360</v>
      </c>
    </row>
    <row r="14" spans="1:7" x14ac:dyDescent="0.4">
      <c r="A14" t="s">
        <v>812</v>
      </c>
      <c r="B14" t="s">
        <v>774</v>
      </c>
      <c r="C14" s="302">
        <v>307.2</v>
      </c>
    </row>
    <row r="15" spans="1:7" x14ac:dyDescent="0.4">
      <c r="A15" t="s">
        <v>830</v>
      </c>
      <c r="C15" s="302">
        <v>60</v>
      </c>
      <c r="F15" s="282"/>
    </row>
    <row r="16" spans="1:7" x14ac:dyDescent="0.4">
      <c r="A16" s="135" t="s">
        <v>831</v>
      </c>
      <c r="B16" t="s">
        <v>832</v>
      </c>
      <c r="C16" s="302">
        <v>23.4</v>
      </c>
    </row>
    <row r="17" spans="1:7" x14ac:dyDescent="0.4">
      <c r="A17" s="318" t="s">
        <v>700</v>
      </c>
      <c r="B17" s="114" t="s">
        <v>779</v>
      </c>
      <c r="C17" s="302">
        <v>24.2</v>
      </c>
      <c r="D17" s="114" t="s">
        <v>825</v>
      </c>
    </row>
    <row r="18" spans="1:7" x14ac:dyDescent="0.4">
      <c r="A18" s="318" t="s">
        <v>816</v>
      </c>
      <c r="C18" s="302">
        <v>60</v>
      </c>
      <c r="E18">
        <v>2</v>
      </c>
    </row>
    <row r="19" spans="1:7" x14ac:dyDescent="0.4">
      <c r="A19" s="318" t="s">
        <v>269</v>
      </c>
      <c r="C19" s="302">
        <v>1.056</v>
      </c>
      <c r="E19">
        <v>0.1</v>
      </c>
      <c r="F19" s="282"/>
    </row>
    <row r="20" spans="1:7" x14ac:dyDescent="0.4">
      <c r="A20" s="114" t="s">
        <v>885</v>
      </c>
      <c r="B20" s="114" t="s">
        <v>861</v>
      </c>
      <c r="C20" s="302">
        <v>243.55</v>
      </c>
      <c r="D20" s="114" t="s">
        <v>825</v>
      </c>
      <c r="G20" s="282"/>
    </row>
    <row r="21" spans="1:7" x14ac:dyDescent="0.4">
      <c r="A21" s="114" t="s">
        <v>886</v>
      </c>
      <c r="B21" s="114" t="s">
        <v>756</v>
      </c>
      <c r="C21" s="302">
        <v>294.60000000000002</v>
      </c>
      <c r="D21" s="114" t="s">
        <v>825</v>
      </c>
    </row>
    <row r="22" spans="1:7" x14ac:dyDescent="0.4">
      <c r="A22" s="114" t="s">
        <v>887</v>
      </c>
      <c r="B22" s="114" t="s">
        <v>862</v>
      </c>
      <c r="C22" s="302">
        <v>488.25</v>
      </c>
      <c r="D22" s="114" t="s">
        <v>825</v>
      </c>
      <c r="F22" s="282"/>
    </row>
    <row r="23" spans="1:7" x14ac:dyDescent="0.4">
      <c r="A23" s="114" t="s">
        <v>889</v>
      </c>
      <c r="B23" s="114" t="s">
        <v>855</v>
      </c>
      <c r="C23" s="302">
        <v>700.9</v>
      </c>
      <c r="D23" s="114" t="s">
        <v>825</v>
      </c>
    </row>
    <row r="24" spans="1:7" x14ac:dyDescent="0.4">
      <c r="A24" s="114" t="s">
        <v>890</v>
      </c>
      <c r="B24" s="114" t="s">
        <v>860</v>
      </c>
      <c r="C24" s="302">
        <v>243.55</v>
      </c>
      <c r="D24" s="114" t="s">
        <v>825</v>
      </c>
    </row>
    <row r="25" spans="1:7" x14ac:dyDescent="0.4">
      <c r="A25" s="114" t="s">
        <v>891</v>
      </c>
      <c r="B25" s="114" t="s">
        <v>859</v>
      </c>
      <c r="C25" s="302">
        <v>356.4</v>
      </c>
      <c r="D25" s="114" t="s">
        <v>825</v>
      </c>
    </row>
    <row r="26" spans="1:7" x14ac:dyDescent="0.4">
      <c r="A26" s="114" t="s">
        <v>892</v>
      </c>
      <c r="B26" s="114" t="s">
        <v>858</v>
      </c>
      <c r="C26" s="302">
        <v>541.75</v>
      </c>
      <c r="D26" s="114" t="s">
        <v>825</v>
      </c>
    </row>
    <row r="27" spans="1:7" x14ac:dyDescent="0.4">
      <c r="A27" s="114" t="s">
        <v>893</v>
      </c>
      <c r="B27" s="114" t="s">
        <v>857</v>
      </c>
      <c r="C27" s="302">
        <v>651</v>
      </c>
      <c r="D27" s="114" t="s">
        <v>825</v>
      </c>
    </row>
    <row r="28" spans="1:7" x14ac:dyDescent="0.4">
      <c r="A28" s="114" t="s">
        <v>894</v>
      </c>
      <c r="B28" s="114" t="s">
        <v>855</v>
      </c>
      <c r="C28" s="302">
        <v>700.9</v>
      </c>
      <c r="D28" s="114" t="s">
        <v>825</v>
      </c>
    </row>
    <row r="29" spans="1:7" x14ac:dyDescent="0.4">
      <c r="A29" s="114" t="s">
        <v>897</v>
      </c>
      <c r="B29" s="114" t="s">
        <v>977</v>
      </c>
      <c r="C29" s="302">
        <v>999999</v>
      </c>
      <c r="D29" s="114" t="s">
        <v>879</v>
      </c>
    </row>
    <row r="30" spans="1:7" x14ac:dyDescent="0.4">
      <c r="A30" s="114" t="s">
        <v>898</v>
      </c>
      <c r="B30" s="114" t="s">
        <v>978</v>
      </c>
      <c r="C30" s="302">
        <v>999999</v>
      </c>
      <c r="D30" s="114" t="s">
        <v>879</v>
      </c>
    </row>
    <row r="31" spans="1:7" x14ac:dyDescent="0.4">
      <c r="A31" s="114" t="s">
        <v>899</v>
      </c>
      <c r="B31" s="114" t="s">
        <v>979</v>
      </c>
      <c r="C31" s="302">
        <v>999999</v>
      </c>
      <c r="D31" s="114" t="s">
        <v>879</v>
      </c>
    </row>
    <row r="32" spans="1:7" x14ac:dyDescent="0.4">
      <c r="A32" s="114" t="s">
        <v>900</v>
      </c>
      <c r="B32" s="114" t="s">
        <v>980</v>
      </c>
      <c r="C32" s="302">
        <v>999999</v>
      </c>
      <c r="D32" s="114" t="s">
        <v>879</v>
      </c>
    </row>
    <row r="33" spans="1:4" x14ac:dyDescent="0.4">
      <c r="A33" s="114" t="s">
        <v>901</v>
      </c>
      <c r="B33" s="114" t="s">
        <v>981</v>
      </c>
      <c r="C33" s="302">
        <v>999999</v>
      </c>
      <c r="D33" s="114" t="s">
        <v>879</v>
      </c>
    </row>
    <row r="34" spans="1:4" x14ac:dyDescent="0.4">
      <c r="A34" s="114" t="s">
        <v>902</v>
      </c>
      <c r="B34" s="114" t="s">
        <v>982</v>
      </c>
      <c r="C34" s="302">
        <v>999999</v>
      </c>
      <c r="D34" s="114" t="s">
        <v>879</v>
      </c>
    </row>
    <row r="35" spans="1:4" x14ac:dyDescent="0.4">
      <c r="A35" s="114" t="s">
        <v>903</v>
      </c>
      <c r="B35" s="114" t="s">
        <v>983</v>
      </c>
      <c r="C35" s="302">
        <v>999999</v>
      </c>
      <c r="D35" s="114" t="s">
        <v>879</v>
      </c>
    </row>
    <row r="36" spans="1:4" x14ac:dyDescent="0.4">
      <c r="A36" s="114" t="s">
        <v>904</v>
      </c>
      <c r="B36" s="114" t="s">
        <v>984</v>
      </c>
      <c r="C36" s="302">
        <v>999999</v>
      </c>
      <c r="D36" s="114" t="s">
        <v>879</v>
      </c>
    </row>
    <row r="37" spans="1:4" x14ac:dyDescent="0.4">
      <c r="A37" s="114" t="s">
        <v>905</v>
      </c>
      <c r="B37" s="114" t="s">
        <v>985</v>
      </c>
      <c r="C37" s="302">
        <v>999999</v>
      </c>
      <c r="D37" s="114" t="s">
        <v>879</v>
      </c>
    </row>
    <row r="38" spans="1:4" x14ac:dyDescent="0.4">
      <c r="A38" s="114" t="s">
        <v>906</v>
      </c>
      <c r="B38" s="114" t="s">
        <v>986</v>
      </c>
      <c r="C38" s="302">
        <v>999999</v>
      </c>
      <c r="D38" s="114" t="s">
        <v>879</v>
      </c>
    </row>
    <row r="39" spans="1:4" x14ac:dyDescent="0.4">
      <c r="A39" s="114" t="s">
        <v>907</v>
      </c>
      <c r="B39" s="114" t="s">
        <v>987</v>
      </c>
      <c r="C39" s="302">
        <v>999999</v>
      </c>
      <c r="D39" s="114" t="s">
        <v>879</v>
      </c>
    </row>
    <row r="40" spans="1:4" x14ac:dyDescent="0.4">
      <c r="A40" s="114" t="s">
        <v>908</v>
      </c>
      <c r="B40" s="114" t="s">
        <v>988</v>
      </c>
      <c r="C40" s="302">
        <v>999999</v>
      </c>
      <c r="D40" s="114" t="s">
        <v>879</v>
      </c>
    </row>
    <row r="41" spans="1:4" x14ac:dyDescent="0.4">
      <c r="A41" s="114" t="s">
        <v>909</v>
      </c>
      <c r="B41" s="114" t="s">
        <v>989</v>
      </c>
      <c r="C41" s="302">
        <v>999999</v>
      </c>
      <c r="D41" s="114" t="s">
        <v>879</v>
      </c>
    </row>
    <row r="42" spans="1:4" x14ac:dyDescent="0.4">
      <c r="A42" s="114" t="s">
        <v>910</v>
      </c>
      <c r="B42" s="114" t="s">
        <v>990</v>
      </c>
      <c r="C42" s="302">
        <v>999999</v>
      </c>
      <c r="D42" s="114" t="s">
        <v>879</v>
      </c>
    </row>
    <row r="43" spans="1:4" x14ac:dyDescent="0.4">
      <c r="A43" s="114" t="s">
        <v>911</v>
      </c>
      <c r="B43" s="114" t="s">
        <v>991</v>
      </c>
      <c r="C43" s="302">
        <v>999999</v>
      </c>
      <c r="D43" s="114" t="s">
        <v>879</v>
      </c>
    </row>
    <row r="44" spans="1:4" x14ac:dyDescent="0.4">
      <c r="A44" s="114" t="s">
        <v>912</v>
      </c>
      <c r="B44" s="114" t="s">
        <v>992</v>
      </c>
      <c r="C44" s="302">
        <v>999999</v>
      </c>
      <c r="D44" s="114" t="s">
        <v>879</v>
      </c>
    </row>
    <row r="45" spans="1:4" x14ac:dyDescent="0.4">
      <c r="A45" s="114" t="s">
        <v>913</v>
      </c>
      <c r="B45" s="114" t="s">
        <v>993</v>
      </c>
      <c r="C45" s="302">
        <v>999999</v>
      </c>
      <c r="D45" s="114" t="s">
        <v>879</v>
      </c>
    </row>
    <row r="46" spans="1:4" x14ac:dyDescent="0.4">
      <c r="A46" s="114" t="s">
        <v>914</v>
      </c>
      <c r="B46" s="114" t="s">
        <v>994</v>
      </c>
      <c r="C46" s="302">
        <v>999999</v>
      </c>
      <c r="D46" s="114" t="s">
        <v>879</v>
      </c>
    </row>
    <row r="47" spans="1:4" x14ac:dyDescent="0.4">
      <c r="A47" s="114" t="s">
        <v>915</v>
      </c>
      <c r="B47" s="114" t="s">
        <v>995</v>
      </c>
      <c r="C47" s="302">
        <v>999999</v>
      </c>
      <c r="D47" s="114" t="s">
        <v>879</v>
      </c>
    </row>
    <row r="48" spans="1:4" x14ac:dyDescent="0.4">
      <c r="A48" s="114" t="s">
        <v>916</v>
      </c>
      <c r="B48" s="114" t="s">
        <v>996</v>
      </c>
      <c r="C48" s="302">
        <v>999999</v>
      </c>
      <c r="D48" s="114" t="s">
        <v>879</v>
      </c>
    </row>
    <row r="49" spans="1:4" x14ac:dyDescent="0.4">
      <c r="A49" s="114" t="s">
        <v>917</v>
      </c>
      <c r="B49" s="114" t="s">
        <v>997</v>
      </c>
      <c r="C49" s="302">
        <v>999999</v>
      </c>
      <c r="D49" s="114" t="s">
        <v>879</v>
      </c>
    </row>
    <row r="50" spans="1:4" x14ac:dyDescent="0.4">
      <c r="A50" s="114" t="s">
        <v>918</v>
      </c>
      <c r="B50" s="114" t="s">
        <v>998</v>
      </c>
      <c r="C50" s="302">
        <v>999999</v>
      </c>
      <c r="D50" s="114" t="s">
        <v>879</v>
      </c>
    </row>
    <row r="51" spans="1:4" x14ac:dyDescent="0.4">
      <c r="A51" s="114" t="s">
        <v>919</v>
      </c>
      <c r="B51" s="114" t="s">
        <v>999</v>
      </c>
      <c r="C51" s="302">
        <v>999999</v>
      </c>
      <c r="D51" s="114" t="s">
        <v>879</v>
      </c>
    </row>
    <row r="52" spans="1:4" x14ac:dyDescent="0.4">
      <c r="A52" s="114" t="s">
        <v>920</v>
      </c>
      <c r="B52" s="114" t="s">
        <v>1000</v>
      </c>
      <c r="C52" s="302">
        <v>999999</v>
      </c>
      <c r="D52" s="114" t="s">
        <v>879</v>
      </c>
    </row>
    <row r="53" spans="1:4" x14ac:dyDescent="0.4">
      <c r="A53" s="114" t="s">
        <v>921</v>
      </c>
      <c r="B53" s="114" t="s">
        <v>1001</v>
      </c>
      <c r="C53" s="302">
        <v>999999</v>
      </c>
      <c r="D53" s="114" t="s">
        <v>879</v>
      </c>
    </row>
    <row r="54" spans="1:4" x14ac:dyDescent="0.4">
      <c r="A54" s="114" t="s">
        <v>922</v>
      </c>
      <c r="B54" s="114" t="s">
        <v>1002</v>
      </c>
      <c r="C54" s="302">
        <v>999999</v>
      </c>
      <c r="D54" s="114" t="s">
        <v>879</v>
      </c>
    </row>
    <row r="55" spans="1:4" x14ac:dyDescent="0.4">
      <c r="A55" s="114" t="s">
        <v>923</v>
      </c>
      <c r="B55" s="114" t="s">
        <v>1003</v>
      </c>
      <c r="C55" s="302">
        <v>999999</v>
      </c>
      <c r="D55" s="114" t="s">
        <v>879</v>
      </c>
    </row>
    <row r="56" spans="1:4" x14ac:dyDescent="0.4">
      <c r="A56" s="114" t="s">
        <v>924</v>
      </c>
      <c r="B56" s="114" t="s">
        <v>1004</v>
      </c>
      <c r="C56" s="302">
        <v>999999</v>
      </c>
      <c r="D56" s="114" t="s">
        <v>879</v>
      </c>
    </row>
    <row r="57" spans="1:4" x14ac:dyDescent="0.4">
      <c r="A57" s="114" t="s">
        <v>925</v>
      </c>
      <c r="B57" s="114" t="s">
        <v>1005</v>
      </c>
      <c r="C57" s="302">
        <v>999999</v>
      </c>
      <c r="D57" s="114" t="s">
        <v>879</v>
      </c>
    </row>
    <row r="58" spans="1:4" x14ac:dyDescent="0.4">
      <c r="A58" s="114" t="s">
        <v>926</v>
      </c>
      <c r="B58" s="114" t="s">
        <v>1006</v>
      </c>
      <c r="C58" s="302">
        <v>999999</v>
      </c>
      <c r="D58" s="114" t="s">
        <v>879</v>
      </c>
    </row>
    <row r="59" spans="1:4" x14ac:dyDescent="0.4">
      <c r="A59" s="114" t="s">
        <v>927</v>
      </c>
      <c r="B59" s="114" t="s">
        <v>1007</v>
      </c>
      <c r="C59" s="302">
        <v>999999</v>
      </c>
      <c r="D59" s="114" t="s">
        <v>879</v>
      </c>
    </row>
    <row r="60" spans="1:4" x14ac:dyDescent="0.4">
      <c r="A60" s="114" t="s">
        <v>928</v>
      </c>
      <c r="B60" s="114" t="s">
        <v>1008</v>
      </c>
      <c r="C60" s="302">
        <v>999999</v>
      </c>
      <c r="D60" s="114" t="s">
        <v>879</v>
      </c>
    </row>
    <row r="61" spans="1:4" x14ac:dyDescent="0.4">
      <c r="A61" s="114" t="s">
        <v>929</v>
      </c>
      <c r="B61" s="114" t="s">
        <v>1009</v>
      </c>
      <c r="C61" s="302">
        <v>999999</v>
      </c>
      <c r="D61" s="114" t="s">
        <v>879</v>
      </c>
    </row>
    <row r="62" spans="1:4" x14ac:dyDescent="0.4">
      <c r="A62" s="114" t="s">
        <v>930</v>
      </c>
      <c r="B62" s="114" t="s">
        <v>1010</v>
      </c>
      <c r="C62" s="302">
        <v>999999</v>
      </c>
      <c r="D62" s="114" t="s">
        <v>879</v>
      </c>
    </row>
    <row r="63" spans="1:4" x14ac:dyDescent="0.4">
      <c r="A63" s="114" t="s">
        <v>931</v>
      </c>
      <c r="B63" s="114" t="s">
        <v>1011</v>
      </c>
      <c r="C63" s="302">
        <v>999999</v>
      </c>
      <c r="D63" s="114" t="s">
        <v>879</v>
      </c>
    </row>
    <row r="64" spans="1:4" x14ac:dyDescent="0.4">
      <c r="A64" s="114" t="s">
        <v>932</v>
      </c>
      <c r="B64" s="114" t="s">
        <v>1012</v>
      </c>
      <c r="C64" s="302">
        <v>999999</v>
      </c>
      <c r="D64" s="114" t="s">
        <v>879</v>
      </c>
    </row>
    <row r="65" spans="1:4" x14ac:dyDescent="0.4">
      <c r="A65" s="114" t="s">
        <v>933</v>
      </c>
      <c r="B65" s="114" t="s">
        <v>1013</v>
      </c>
      <c r="C65" s="302">
        <v>999999</v>
      </c>
      <c r="D65" s="114" t="s">
        <v>879</v>
      </c>
    </row>
    <row r="66" spans="1:4" x14ac:dyDescent="0.4">
      <c r="A66" s="114" t="s">
        <v>934</v>
      </c>
      <c r="B66" s="114" t="s">
        <v>1014</v>
      </c>
      <c r="C66" s="302">
        <v>999999</v>
      </c>
      <c r="D66" s="114" t="s">
        <v>879</v>
      </c>
    </row>
    <row r="67" spans="1:4" x14ac:dyDescent="0.4">
      <c r="A67" s="114" t="s">
        <v>935</v>
      </c>
      <c r="B67" s="114" t="s">
        <v>1015</v>
      </c>
      <c r="C67" s="302">
        <v>999999</v>
      </c>
      <c r="D67" s="114" t="s">
        <v>879</v>
      </c>
    </row>
    <row r="68" spans="1:4" x14ac:dyDescent="0.4">
      <c r="A68" s="114" t="s">
        <v>936</v>
      </c>
      <c r="B68" s="114" t="s">
        <v>1016</v>
      </c>
      <c r="C68" s="302">
        <v>999999</v>
      </c>
      <c r="D68" s="114" t="s">
        <v>879</v>
      </c>
    </row>
    <row r="69" spans="1:4" x14ac:dyDescent="0.4">
      <c r="A69" s="114" t="s">
        <v>937</v>
      </c>
      <c r="B69" s="114" t="s">
        <v>1017</v>
      </c>
      <c r="C69" s="302">
        <v>999999</v>
      </c>
      <c r="D69" s="114" t="s">
        <v>879</v>
      </c>
    </row>
    <row r="70" spans="1:4" x14ac:dyDescent="0.4">
      <c r="A70" s="114" t="s">
        <v>938</v>
      </c>
      <c r="B70" s="114" t="s">
        <v>1018</v>
      </c>
      <c r="C70" s="302">
        <v>999999</v>
      </c>
      <c r="D70" s="114" t="s">
        <v>879</v>
      </c>
    </row>
    <row r="71" spans="1:4" x14ac:dyDescent="0.4">
      <c r="A71" s="114" t="s">
        <v>939</v>
      </c>
      <c r="B71" s="114" t="s">
        <v>1019</v>
      </c>
      <c r="C71" s="302">
        <v>999999</v>
      </c>
      <c r="D71" s="114" t="s">
        <v>879</v>
      </c>
    </row>
    <row r="72" spans="1:4" x14ac:dyDescent="0.4">
      <c r="A72" s="114" t="s">
        <v>940</v>
      </c>
      <c r="B72" s="114" t="s">
        <v>1020</v>
      </c>
      <c r="C72" s="302">
        <v>999999</v>
      </c>
      <c r="D72" s="114" t="s">
        <v>879</v>
      </c>
    </row>
    <row r="73" spans="1:4" x14ac:dyDescent="0.4">
      <c r="A73" s="114" t="s">
        <v>941</v>
      </c>
      <c r="B73" s="114" t="s">
        <v>1021</v>
      </c>
      <c r="C73" s="302">
        <v>999999</v>
      </c>
      <c r="D73" s="114" t="s">
        <v>879</v>
      </c>
    </row>
    <row r="74" spans="1:4" x14ac:dyDescent="0.4">
      <c r="A74" s="114" t="s">
        <v>942</v>
      </c>
      <c r="B74" s="114" t="s">
        <v>1022</v>
      </c>
      <c r="C74" s="302">
        <v>999999</v>
      </c>
      <c r="D74" s="114" t="s">
        <v>879</v>
      </c>
    </row>
    <row r="75" spans="1:4" x14ac:dyDescent="0.4">
      <c r="A75" s="114" t="s">
        <v>943</v>
      </c>
      <c r="B75" s="114" t="s">
        <v>1023</v>
      </c>
      <c r="C75" s="302">
        <v>999999</v>
      </c>
      <c r="D75" s="114" t="s">
        <v>879</v>
      </c>
    </row>
    <row r="76" spans="1:4" x14ac:dyDescent="0.4">
      <c r="A76" s="114" t="s">
        <v>944</v>
      </c>
      <c r="B76" s="114" t="s">
        <v>1024</v>
      </c>
      <c r="C76" s="302">
        <v>999999</v>
      </c>
      <c r="D76" s="114" t="s">
        <v>879</v>
      </c>
    </row>
    <row r="77" spans="1:4" x14ac:dyDescent="0.4">
      <c r="A77" s="114" t="s">
        <v>945</v>
      </c>
      <c r="B77" s="114" t="s">
        <v>1025</v>
      </c>
      <c r="C77" s="302">
        <v>999999</v>
      </c>
      <c r="D77" s="114" t="s">
        <v>879</v>
      </c>
    </row>
    <row r="78" spans="1:4" x14ac:dyDescent="0.4">
      <c r="A78" s="114" t="s">
        <v>946</v>
      </c>
      <c r="B78" s="114" t="s">
        <v>1026</v>
      </c>
      <c r="C78" s="302">
        <v>999999</v>
      </c>
      <c r="D78" s="114" t="s">
        <v>879</v>
      </c>
    </row>
    <row r="79" spans="1:4" x14ac:dyDescent="0.4">
      <c r="A79" s="114" t="s">
        <v>947</v>
      </c>
      <c r="B79" s="114" t="s">
        <v>1027</v>
      </c>
      <c r="C79" s="302">
        <v>999999</v>
      </c>
      <c r="D79" s="114" t="s">
        <v>879</v>
      </c>
    </row>
    <row r="80" spans="1:4" x14ac:dyDescent="0.4">
      <c r="A80" s="114" t="s">
        <v>948</v>
      </c>
      <c r="B80" s="114" t="s">
        <v>1028</v>
      </c>
      <c r="C80" s="302">
        <v>999999</v>
      </c>
      <c r="D80" s="114" t="s">
        <v>879</v>
      </c>
    </row>
    <row r="81" spans="1:4" x14ac:dyDescent="0.4">
      <c r="A81" s="114" t="s">
        <v>949</v>
      </c>
      <c r="B81" s="114" t="s">
        <v>1029</v>
      </c>
      <c r="C81" s="302">
        <v>999999</v>
      </c>
      <c r="D81" s="114" t="s">
        <v>879</v>
      </c>
    </row>
    <row r="82" spans="1:4" x14ac:dyDescent="0.4">
      <c r="A82" s="114" t="s">
        <v>950</v>
      </c>
      <c r="B82" s="114" t="s">
        <v>1030</v>
      </c>
      <c r="C82" s="302">
        <v>999999</v>
      </c>
      <c r="D82" s="114" t="s">
        <v>879</v>
      </c>
    </row>
    <row r="83" spans="1:4" x14ac:dyDescent="0.4">
      <c r="A83" s="114" t="s">
        <v>951</v>
      </c>
      <c r="B83" s="114" t="s">
        <v>1031</v>
      </c>
      <c r="C83" s="302">
        <v>999999</v>
      </c>
      <c r="D83" s="114" t="s">
        <v>879</v>
      </c>
    </row>
    <row r="84" spans="1:4" x14ac:dyDescent="0.4">
      <c r="A84" s="114" t="s">
        <v>952</v>
      </c>
      <c r="B84" s="114" t="s">
        <v>1032</v>
      </c>
      <c r="C84" s="302">
        <v>999999</v>
      </c>
      <c r="D84" s="114" t="s">
        <v>879</v>
      </c>
    </row>
    <row r="85" spans="1:4" x14ac:dyDescent="0.4">
      <c r="A85" s="114" t="s">
        <v>953</v>
      </c>
      <c r="B85" s="114" t="s">
        <v>1033</v>
      </c>
      <c r="C85" s="302">
        <v>999999</v>
      </c>
      <c r="D85" s="114" t="s">
        <v>879</v>
      </c>
    </row>
    <row r="86" spans="1:4" x14ac:dyDescent="0.4">
      <c r="A86" s="114" t="s">
        <v>954</v>
      </c>
      <c r="B86" s="114" t="s">
        <v>1034</v>
      </c>
      <c r="C86" s="302">
        <v>999999</v>
      </c>
      <c r="D86" s="114" t="s">
        <v>879</v>
      </c>
    </row>
    <row r="87" spans="1:4" x14ac:dyDescent="0.4">
      <c r="A87" s="114" t="s">
        <v>955</v>
      </c>
      <c r="B87" s="114" t="s">
        <v>1035</v>
      </c>
      <c r="C87" s="302">
        <v>999999</v>
      </c>
      <c r="D87" s="114" t="s">
        <v>879</v>
      </c>
    </row>
    <row r="88" spans="1:4" x14ac:dyDescent="0.4">
      <c r="A88" s="114" t="s">
        <v>956</v>
      </c>
      <c r="B88" s="114" t="s">
        <v>1036</v>
      </c>
      <c r="C88" s="302">
        <v>999999</v>
      </c>
      <c r="D88" s="114" t="s">
        <v>879</v>
      </c>
    </row>
    <row r="89" spans="1:4" x14ac:dyDescent="0.4">
      <c r="A89" s="114" t="s">
        <v>957</v>
      </c>
      <c r="B89" s="114" t="s">
        <v>1037</v>
      </c>
      <c r="C89" s="302">
        <v>999999</v>
      </c>
      <c r="D89" s="114" t="s">
        <v>879</v>
      </c>
    </row>
    <row r="90" spans="1:4" x14ac:dyDescent="0.4">
      <c r="A90" s="114" t="s">
        <v>958</v>
      </c>
      <c r="B90" s="114" t="s">
        <v>1038</v>
      </c>
      <c r="C90" s="302">
        <v>999999</v>
      </c>
      <c r="D90" s="114" t="s">
        <v>879</v>
      </c>
    </row>
    <row r="91" spans="1:4" x14ac:dyDescent="0.4">
      <c r="A91" s="114" t="s">
        <v>959</v>
      </c>
      <c r="B91" s="114" t="s">
        <v>1039</v>
      </c>
      <c r="C91" s="302">
        <v>999999</v>
      </c>
      <c r="D91" s="114" t="s">
        <v>879</v>
      </c>
    </row>
    <row r="92" spans="1:4" x14ac:dyDescent="0.4">
      <c r="A92" s="114" t="s">
        <v>960</v>
      </c>
      <c r="B92" s="114" t="s">
        <v>1040</v>
      </c>
      <c r="C92" s="302">
        <v>999999</v>
      </c>
      <c r="D92" s="114" t="s">
        <v>879</v>
      </c>
    </row>
    <row r="93" spans="1:4" x14ac:dyDescent="0.4">
      <c r="A93" s="114" t="s">
        <v>961</v>
      </c>
      <c r="B93" s="114" t="s">
        <v>1041</v>
      </c>
      <c r="C93" s="302">
        <v>999999</v>
      </c>
      <c r="D93" s="114" t="s">
        <v>879</v>
      </c>
    </row>
    <row r="94" spans="1:4" x14ac:dyDescent="0.4">
      <c r="A94" s="114" t="s">
        <v>962</v>
      </c>
      <c r="B94" s="114" t="s">
        <v>1042</v>
      </c>
      <c r="C94" s="302">
        <v>999999</v>
      </c>
      <c r="D94" s="114" t="s">
        <v>879</v>
      </c>
    </row>
    <row r="95" spans="1:4" x14ac:dyDescent="0.4">
      <c r="A95" s="114" t="s">
        <v>963</v>
      </c>
      <c r="B95" s="114" t="s">
        <v>1043</v>
      </c>
      <c r="C95" s="302">
        <v>999999</v>
      </c>
      <c r="D95" s="114" t="s">
        <v>879</v>
      </c>
    </row>
    <row r="96" spans="1:4" x14ac:dyDescent="0.4">
      <c r="A96" s="114" t="s">
        <v>964</v>
      </c>
      <c r="B96" s="114" t="s">
        <v>1044</v>
      </c>
      <c r="C96" s="302">
        <v>999999</v>
      </c>
      <c r="D96" s="114" t="s">
        <v>879</v>
      </c>
    </row>
    <row r="97" spans="1:4" x14ac:dyDescent="0.4">
      <c r="A97" s="114" t="s">
        <v>965</v>
      </c>
      <c r="B97" s="114" t="s">
        <v>1045</v>
      </c>
      <c r="C97" s="302">
        <v>999999</v>
      </c>
      <c r="D97" s="114" t="s">
        <v>879</v>
      </c>
    </row>
    <row r="98" spans="1:4" x14ac:dyDescent="0.4">
      <c r="A98" s="114" t="s">
        <v>966</v>
      </c>
      <c r="B98" s="114" t="s">
        <v>1046</v>
      </c>
      <c r="C98" s="302">
        <v>999999</v>
      </c>
      <c r="D98" s="114" t="s">
        <v>879</v>
      </c>
    </row>
    <row r="99" spans="1:4" x14ac:dyDescent="0.4">
      <c r="A99" s="114" t="s">
        <v>967</v>
      </c>
      <c r="B99" s="114" t="s">
        <v>1047</v>
      </c>
      <c r="C99" s="302">
        <v>999999</v>
      </c>
      <c r="D99" s="114" t="s">
        <v>879</v>
      </c>
    </row>
    <row r="100" spans="1:4" x14ac:dyDescent="0.4">
      <c r="A100" s="114" t="s">
        <v>968</v>
      </c>
      <c r="B100" s="114" t="s">
        <v>1048</v>
      </c>
      <c r="C100" s="302">
        <v>999999</v>
      </c>
      <c r="D100" s="114" t="s">
        <v>879</v>
      </c>
    </row>
    <row r="101" spans="1:4" x14ac:dyDescent="0.4">
      <c r="A101" s="114" t="s">
        <v>969</v>
      </c>
      <c r="B101" s="114" t="s">
        <v>1049</v>
      </c>
      <c r="C101" s="302">
        <v>999999</v>
      </c>
      <c r="D101" s="114" t="s">
        <v>879</v>
      </c>
    </row>
    <row r="102" spans="1:4" x14ac:dyDescent="0.4">
      <c r="A102" s="114" t="s">
        <v>970</v>
      </c>
      <c r="B102" s="114" t="s">
        <v>1050</v>
      </c>
      <c r="C102" s="302">
        <v>999999</v>
      </c>
      <c r="D102" s="114" t="s">
        <v>879</v>
      </c>
    </row>
    <row r="103" spans="1:4" x14ac:dyDescent="0.4">
      <c r="A103" s="114" t="s">
        <v>971</v>
      </c>
      <c r="B103" s="114" t="s">
        <v>1051</v>
      </c>
      <c r="C103" s="302">
        <v>999999</v>
      </c>
      <c r="D103" s="114" t="s">
        <v>879</v>
      </c>
    </row>
    <row r="104" spans="1:4" x14ac:dyDescent="0.4">
      <c r="A104" s="114" t="s">
        <v>972</v>
      </c>
      <c r="B104" s="114" t="s">
        <v>1052</v>
      </c>
      <c r="C104" s="302">
        <v>999999</v>
      </c>
      <c r="D104" s="114" t="s">
        <v>879</v>
      </c>
    </row>
    <row r="105" spans="1:4" x14ac:dyDescent="0.4">
      <c r="A105" s="114" t="s">
        <v>973</v>
      </c>
      <c r="B105" s="114" t="s">
        <v>1053</v>
      </c>
      <c r="C105" s="302">
        <v>999999</v>
      </c>
      <c r="D105" s="114" t="s">
        <v>879</v>
      </c>
    </row>
    <row r="106" spans="1:4" x14ac:dyDescent="0.4">
      <c r="A106" s="114" t="s">
        <v>974</v>
      </c>
      <c r="B106" s="114" t="s">
        <v>1054</v>
      </c>
      <c r="C106" s="302">
        <v>999999</v>
      </c>
      <c r="D106" s="114" t="s">
        <v>879</v>
      </c>
    </row>
    <row r="107" spans="1:4" x14ac:dyDescent="0.4">
      <c r="A107" s="114" t="s">
        <v>975</v>
      </c>
      <c r="B107" s="114" t="s">
        <v>1055</v>
      </c>
      <c r="C107" s="302">
        <v>999999</v>
      </c>
      <c r="D107" s="114" t="s">
        <v>879</v>
      </c>
    </row>
    <row r="108" spans="1:4" x14ac:dyDescent="0.4">
      <c r="A108" s="114" t="s">
        <v>976</v>
      </c>
      <c r="B108" s="114" t="s">
        <v>1056</v>
      </c>
      <c r="C108" s="302">
        <v>999999</v>
      </c>
      <c r="D108" s="114" t="s">
        <v>879</v>
      </c>
    </row>
    <row r="109" spans="1:4" x14ac:dyDescent="0.4">
      <c r="A109" s="114" t="s">
        <v>1057</v>
      </c>
      <c r="B109" s="114" t="s">
        <v>1057</v>
      </c>
      <c r="C109" s="302">
        <v>62</v>
      </c>
      <c r="D109" s="302" t="s">
        <v>825</v>
      </c>
    </row>
  </sheetData>
  <sortState ref="A2:G13">
    <sortCondition ref="A2"/>
  </sortState>
  <conditionalFormatting sqref="A8">
    <cfRule type="expression" dxfId="0" priority="1">
      <formula>IF(ROW() = ROW(), TRUE, FALSE)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7950-6C7E-49EE-9792-FE2824423B56}">
  <dimension ref="A1:I92"/>
  <sheetViews>
    <sheetView workbookViewId="0">
      <selection activeCell="F7" sqref="F7"/>
    </sheetView>
  </sheetViews>
  <sheetFormatPr defaultRowHeight="14.6" x14ac:dyDescent="0.4"/>
  <cols>
    <col min="1" max="1" width="13.69140625" bestFit="1" customWidth="1"/>
    <col min="2" max="2" width="7.61328125" bestFit="1" customWidth="1"/>
    <col min="3" max="3" width="18.84375" bestFit="1" customWidth="1"/>
    <col min="4" max="4" width="19.15234375" style="302" customWidth="1"/>
    <col min="5" max="5" width="5.69140625" bestFit="1" customWidth="1"/>
    <col min="6" max="6" width="16.69140625" bestFit="1" customWidth="1"/>
    <col min="7" max="7" width="3.15234375" bestFit="1" customWidth="1"/>
    <col min="8" max="8" width="5.07421875" bestFit="1" customWidth="1"/>
    <col min="9" max="9" width="5.69140625" bestFit="1" customWidth="1"/>
  </cols>
  <sheetData>
    <row r="1" spans="1:9" s="33" customFormat="1" x14ac:dyDescent="0.4">
      <c r="A1" s="33" t="s">
        <v>895</v>
      </c>
      <c r="B1" s="33" t="s">
        <v>760</v>
      </c>
      <c r="C1" s="33" t="s">
        <v>895</v>
      </c>
      <c r="D1" s="314" t="s">
        <v>821</v>
      </c>
      <c r="E1" s="33" t="s">
        <v>823</v>
      </c>
      <c r="F1" s="33" t="s">
        <v>896</v>
      </c>
      <c r="G1" s="33" t="s">
        <v>895</v>
      </c>
      <c r="H1" s="33" t="s">
        <v>821</v>
      </c>
      <c r="I1" s="33" t="s">
        <v>823</v>
      </c>
    </row>
    <row r="2" spans="1:9" x14ac:dyDescent="0.4">
      <c r="A2" t="s">
        <v>885</v>
      </c>
      <c r="B2" t="s">
        <v>825</v>
      </c>
      <c r="C2" t="s">
        <v>861</v>
      </c>
      <c r="D2" s="302">
        <f>VLOOKUP(C2,'Part List'!B:D,2,FALSE)</f>
        <v>243.55</v>
      </c>
      <c r="H2" s="302" t="e">
        <f>VLOOKUP(G2,'Part List'!B:D,2,FALSE)</f>
        <v>#N/A</v>
      </c>
    </row>
    <row r="3" spans="1:9" x14ac:dyDescent="0.4">
      <c r="A3" t="s">
        <v>886</v>
      </c>
      <c r="B3" s="114" t="s">
        <v>825</v>
      </c>
      <c r="C3" t="s">
        <v>756</v>
      </c>
      <c r="D3" s="302">
        <f>VLOOKUP(C3,'Part List'!B:D,2,FALSE)</f>
        <v>294.60000000000002</v>
      </c>
      <c r="H3" s="302" t="e">
        <f>VLOOKUP(G3,'Part List'!B:D,2,FALSE)</f>
        <v>#N/A</v>
      </c>
    </row>
    <row r="4" spans="1:9" x14ac:dyDescent="0.4">
      <c r="A4" t="s">
        <v>887</v>
      </c>
      <c r="B4" s="114" t="s">
        <v>825</v>
      </c>
      <c r="C4" t="s">
        <v>862</v>
      </c>
      <c r="D4" s="302">
        <f>VLOOKUP(C4,'Part List'!B:D,2,FALSE)</f>
        <v>488.25</v>
      </c>
      <c r="H4" s="302" t="e">
        <f>VLOOKUP(G4,'Part List'!B:D,2,FALSE)</f>
        <v>#N/A</v>
      </c>
    </row>
    <row r="5" spans="1:9" x14ac:dyDescent="0.4">
      <c r="A5" t="s">
        <v>888</v>
      </c>
      <c r="B5" s="114" t="s">
        <v>825</v>
      </c>
      <c r="C5" t="s">
        <v>863</v>
      </c>
      <c r="D5" s="302" t="e">
        <f>VLOOKUP(C5,'Part List'!B:D,2,FALSE)</f>
        <v>#N/A</v>
      </c>
      <c r="H5" s="302" t="e">
        <f>VLOOKUP(G5,'Part List'!B:D,2,FALSE)</f>
        <v>#N/A</v>
      </c>
    </row>
    <row r="6" spans="1:9" x14ac:dyDescent="0.4">
      <c r="A6" t="s">
        <v>889</v>
      </c>
      <c r="B6" s="114" t="s">
        <v>825</v>
      </c>
      <c r="C6" t="s">
        <v>855</v>
      </c>
      <c r="D6" s="302">
        <f>VLOOKUP(C6,'Part List'!B:D,2,FALSE)</f>
        <v>700.9</v>
      </c>
      <c r="H6" s="302" t="e">
        <f>VLOOKUP(G6,'Part List'!B:D,2,FALSE)</f>
        <v>#N/A</v>
      </c>
    </row>
    <row r="7" spans="1:9" x14ac:dyDescent="0.4">
      <c r="A7" t="s">
        <v>890</v>
      </c>
      <c r="B7" s="114" t="s">
        <v>825</v>
      </c>
      <c r="C7" t="s">
        <v>860</v>
      </c>
      <c r="D7" s="302">
        <f>VLOOKUP(C7,'Part List'!B:D,2,FALSE)</f>
        <v>243.55</v>
      </c>
      <c r="H7" s="302" t="e">
        <f>VLOOKUP(G7,'Part List'!B:D,2,FALSE)</f>
        <v>#N/A</v>
      </c>
    </row>
    <row r="8" spans="1:9" x14ac:dyDescent="0.4">
      <c r="A8" t="s">
        <v>891</v>
      </c>
      <c r="B8" s="114" t="s">
        <v>825</v>
      </c>
      <c r="C8" t="s">
        <v>859</v>
      </c>
      <c r="D8" s="302">
        <f>VLOOKUP(C8,'Part List'!B:D,2,FALSE)</f>
        <v>356.4</v>
      </c>
      <c r="H8" s="302" t="e">
        <f>VLOOKUP(G8,'Part List'!B:D,2,FALSE)</f>
        <v>#N/A</v>
      </c>
    </row>
    <row r="9" spans="1:9" x14ac:dyDescent="0.4">
      <c r="A9" t="s">
        <v>892</v>
      </c>
      <c r="B9" s="114" t="s">
        <v>825</v>
      </c>
      <c r="C9" t="s">
        <v>858</v>
      </c>
      <c r="D9" s="302">
        <f>VLOOKUP(C9,'Part List'!B:D,2,FALSE)</f>
        <v>541.75</v>
      </c>
      <c r="H9" s="302" t="e">
        <f>VLOOKUP(G9,'Part List'!B:D,2,FALSE)</f>
        <v>#N/A</v>
      </c>
    </row>
    <row r="10" spans="1:9" x14ac:dyDescent="0.4">
      <c r="A10" t="s">
        <v>893</v>
      </c>
      <c r="B10" s="114" t="s">
        <v>825</v>
      </c>
      <c r="C10" t="s">
        <v>857</v>
      </c>
      <c r="D10" s="302">
        <f>VLOOKUP(C10,'Part List'!B:D,2,FALSE)</f>
        <v>651</v>
      </c>
      <c r="H10" s="302" t="e">
        <f>VLOOKUP(G10,'Part List'!B:D,2,FALSE)</f>
        <v>#N/A</v>
      </c>
    </row>
    <row r="11" spans="1:9" x14ac:dyDescent="0.4">
      <c r="A11" t="s">
        <v>894</v>
      </c>
      <c r="B11" s="114" t="s">
        <v>825</v>
      </c>
      <c r="C11" t="s">
        <v>855</v>
      </c>
      <c r="D11" s="302">
        <f>VLOOKUP(C11,'Part List'!B:D,2,FALSE)</f>
        <v>700.9</v>
      </c>
      <c r="H11" s="302" t="e">
        <f>VLOOKUP(G11,'Part List'!B:D,2,FALSE)</f>
        <v>#N/A</v>
      </c>
    </row>
    <row r="12" spans="1:9" x14ac:dyDescent="0.4">
      <c r="A12" t="s">
        <v>897</v>
      </c>
      <c r="B12" t="s">
        <v>879</v>
      </c>
      <c r="C12" t="s">
        <v>977</v>
      </c>
      <c r="D12" s="302">
        <f>VLOOKUP(C12,'Part List'!B:D,2,FALSE)</f>
        <v>999999</v>
      </c>
      <c r="H12" s="302" t="e">
        <f>VLOOKUP(G12,'Part List'!B:D,2,FALSE)</f>
        <v>#N/A</v>
      </c>
    </row>
    <row r="13" spans="1:9" x14ac:dyDescent="0.4">
      <c r="A13" t="s">
        <v>898</v>
      </c>
      <c r="B13" s="114" t="s">
        <v>879</v>
      </c>
      <c r="C13" t="s">
        <v>978</v>
      </c>
      <c r="D13" s="302">
        <f>VLOOKUP(C13,'Part List'!B:D,2,FALSE)</f>
        <v>999999</v>
      </c>
      <c r="H13" s="302" t="e">
        <f>VLOOKUP(G13,'Part List'!B:D,2,FALSE)</f>
        <v>#N/A</v>
      </c>
    </row>
    <row r="14" spans="1:9" x14ac:dyDescent="0.4">
      <c r="A14" t="s">
        <v>899</v>
      </c>
      <c r="B14" s="114" t="s">
        <v>879</v>
      </c>
      <c r="C14" t="s">
        <v>979</v>
      </c>
      <c r="D14" s="302">
        <f>VLOOKUP(C14,'Part List'!B:D,2,FALSE)</f>
        <v>999999</v>
      </c>
      <c r="H14" s="302" t="e">
        <f>VLOOKUP(G14,'Part List'!B:D,2,FALSE)</f>
        <v>#N/A</v>
      </c>
    </row>
    <row r="15" spans="1:9" x14ac:dyDescent="0.4">
      <c r="A15" t="s">
        <v>900</v>
      </c>
      <c r="B15" s="114" t="s">
        <v>879</v>
      </c>
      <c r="C15" t="s">
        <v>980</v>
      </c>
      <c r="D15" s="302">
        <f>VLOOKUP(C15,'Part List'!B:D,2,FALSE)</f>
        <v>999999</v>
      </c>
      <c r="H15" s="302" t="e">
        <f>VLOOKUP(G15,'Part List'!B:D,2,FALSE)</f>
        <v>#N/A</v>
      </c>
    </row>
    <row r="16" spans="1:9" x14ac:dyDescent="0.4">
      <c r="A16" t="s">
        <v>901</v>
      </c>
      <c r="B16" s="114" t="s">
        <v>879</v>
      </c>
      <c r="C16" t="s">
        <v>981</v>
      </c>
      <c r="D16" s="302">
        <f>VLOOKUP(C16,'Part List'!B:D,2,FALSE)</f>
        <v>999999</v>
      </c>
      <c r="H16" s="302" t="e">
        <f>VLOOKUP(G16,'Part List'!B:D,2,FALSE)</f>
        <v>#N/A</v>
      </c>
    </row>
    <row r="17" spans="1:8" x14ac:dyDescent="0.4">
      <c r="A17" t="s">
        <v>902</v>
      </c>
      <c r="B17" s="114" t="s">
        <v>879</v>
      </c>
      <c r="C17" t="s">
        <v>982</v>
      </c>
      <c r="D17" s="302">
        <f>VLOOKUP(C17,'Part List'!B:D,2,FALSE)</f>
        <v>999999</v>
      </c>
      <c r="H17" s="302" t="e">
        <f>VLOOKUP(G17,'Part List'!B:D,2,FALSE)</f>
        <v>#N/A</v>
      </c>
    </row>
    <row r="18" spans="1:8" x14ac:dyDescent="0.4">
      <c r="A18" t="s">
        <v>903</v>
      </c>
      <c r="B18" s="114" t="s">
        <v>879</v>
      </c>
      <c r="C18" t="s">
        <v>983</v>
      </c>
      <c r="D18" s="302">
        <f>VLOOKUP(C18,'Part List'!B:D,2,FALSE)</f>
        <v>999999</v>
      </c>
      <c r="H18" s="302" t="e">
        <f>VLOOKUP(G18,'Part List'!B:D,2,FALSE)</f>
        <v>#N/A</v>
      </c>
    </row>
    <row r="19" spans="1:8" x14ac:dyDescent="0.4">
      <c r="A19" t="s">
        <v>904</v>
      </c>
      <c r="B19" s="114" t="s">
        <v>879</v>
      </c>
      <c r="C19" t="s">
        <v>984</v>
      </c>
      <c r="D19" s="302">
        <f>VLOOKUP(C19,'Part List'!B:D,2,FALSE)</f>
        <v>999999</v>
      </c>
      <c r="H19" s="302" t="e">
        <f>VLOOKUP(G19,'Part List'!B:D,2,FALSE)</f>
        <v>#N/A</v>
      </c>
    </row>
    <row r="20" spans="1:8" x14ac:dyDescent="0.4">
      <c r="A20" t="s">
        <v>905</v>
      </c>
      <c r="B20" s="114" t="s">
        <v>879</v>
      </c>
      <c r="C20" t="s">
        <v>985</v>
      </c>
      <c r="D20" s="302">
        <f>VLOOKUP(C20,'Part List'!B:D,2,FALSE)</f>
        <v>999999</v>
      </c>
      <c r="H20" s="302" t="e">
        <f>VLOOKUP(G20,'Part List'!B:D,2,FALSE)</f>
        <v>#N/A</v>
      </c>
    </row>
    <row r="21" spans="1:8" x14ac:dyDescent="0.4">
      <c r="A21" t="s">
        <v>906</v>
      </c>
      <c r="B21" s="114" t="s">
        <v>879</v>
      </c>
      <c r="C21" t="s">
        <v>986</v>
      </c>
      <c r="D21" s="302">
        <f>VLOOKUP(C21,'Part List'!B:D,2,FALSE)</f>
        <v>999999</v>
      </c>
      <c r="H21" s="302" t="e">
        <f>VLOOKUP(G21,'Part List'!B:D,2,FALSE)</f>
        <v>#N/A</v>
      </c>
    </row>
    <row r="22" spans="1:8" x14ac:dyDescent="0.4">
      <c r="A22" t="s">
        <v>907</v>
      </c>
      <c r="B22" s="114" t="s">
        <v>879</v>
      </c>
      <c r="C22" t="s">
        <v>987</v>
      </c>
      <c r="D22" s="302">
        <f>VLOOKUP(C22,'Part List'!B:D,2,FALSE)</f>
        <v>999999</v>
      </c>
      <c r="H22" s="302" t="e">
        <f>VLOOKUP(G22,'Part List'!B:D,2,FALSE)</f>
        <v>#N/A</v>
      </c>
    </row>
    <row r="23" spans="1:8" x14ac:dyDescent="0.4">
      <c r="A23" t="s">
        <v>908</v>
      </c>
      <c r="B23" s="114" t="s">
        <v>879</v>
      </c>
      <c r="C23" t="s">
        <v>988</v>
      </c>
      <c r="D23" s="302">
        <f>VLOOKUP(C23,'Part List'!B:D,2,FALSE)</f>
        <v>999999</v>
      </c>
      <c r="H23" s="302" t="e">
        <f>VLOOKUP(G23,'Part List'!B:D,2,FALSE)</f>
        <v>#N/A</v>
      </c>
    </row>
    <row r="24" spans="1:8" x14ac:dyDescent="0.4">
      <c r="A24" t="s">
        <v>909</v>
      </c>
      <c r="B24" s="114" t="s">
        <v>879</v>
      </c>
      <c r="C24" t="s">
        <v>989</v>
      </c>
      <c r="D24" s="302">
        <f>VLOOKUP(C24,'Part List'!B:D,2,FALSE)</f>
        <v>999999</v>
      </c>
      <c r="H24" s="302" t="e">
        <f>VLOOKUP(G24,'Part List'!B:D,2,FALSE)</f>
        <v>#N/A</v>
      </c>
    </row>
    <row r="25" spans="1:8" x14ac:dyDescent="0.4">
      <c r="A25" t="s">
        <v>910</v>
      </c>
      <c r="B25" s="114" t="s">
        <v>879</v>
      </c>
      <c r="C25" t="s">
        <v>990</v>
      </c>
      <c r="D25" s="302">
        <f>VLOOKUP(C25,'Part List'!B:D,2,FALSE)</f>
        <v>999999</v>
      </c>
      <c r="H25" s="302" t="e">
        <f>VLOOKUP(G25,'Part List'!B:D,2,FALSE)</f>
        <v>#N/A</v>
      </c>
    </row>
    <row r="26" spans="1:8" x14ac:dyDescent="0.4">
      <c r="A26" t="s">
        <v>911</v>
      </c>
      <c r="B26" s="114" t="s">
        <v>879</v>
      </c>
      <c r="C26" t="s">
        <v>991</v>
      </c>
      <c r="D26" s="302">
        <f>VLOOKUP(C26,'Part List'!B:D,2,FALSE)</f>
        <v>999999</v>
      </c>
      <c r="H26" s="302" t="e">
        <f>VLOOKUP(G26,'Part List'!B:D,2,FALSE)</f>
        <v>#N/A</v>
      </c>
    </row>
    <row r="27" spans="1:8" x14ac:dyDescent="0.4">
      <c r="A27" t="s">
        <v>912</v>
      </c>
      <c r="B27" s="114" t="s">
        <v>879</v>
      </c>
      <c r="C27" t="s">
        <v>992</v>
      </c>
      <c r="D27" s="302">
        <f>VLOOKUP(C27,'Part List'!B:D,2,FALSE)</f>
        <v>999999</v>
      </c>
      <c r="H27" s="302" t="e">
        <f>VLOOKUP(G27,'Part List'!B:D,2,FALSE)</f>
        <v>#N/A</v>
      </c>
    </row>
    <row r="28" spans="1:8" x14ac:dyDescent="0.4">
      <c r="A28" t="s">
        <v>913</v>
      </c>
      <c r="B28" s="114" t="s">
        <v>879</v>
      </c>
      <c r="C28" t="s">
        <v>993</v>
      </c>
      <c r="D28" s="302">
        <f>VLOOKUP(C28,'Part List'!B:D,2,FALSE)</f>
        <v>999999</v>
      </c>
      <c r="H28" s="302" t="e">
        <f>VLOOKUP(G28,'Part List'!B:D,2,FALSE)</f>
        <v>#N/A</v>
      </c>
    </row>
    <row r="29" spans="1:8" x14ac:dyDescent="0.4">
      <c r="A29" t="s">
        <v>914</v>
      </c>
      <c r="B29" s="114" t="s">
        <v>879</v>
      </c>
      <c r="C29" t="s">
        <v>994</v>
      </c>
      <c r="D29" s="302">
        <f>VLOOKUP(C29,'Part List'!B:D,2,FALSE)</f>
        <v>999999</v>
      </c>
      <c r="H29" s="302" t="e">
        <f>VLOOKUP(G29,'Part List'!B:D,2,FALSE)</f>
        <v>#N/A</v>
      </c>
    </row>
    <row r="30" spans="1:8" x14ac:dyDescent="0.4">
      <c r="A30" t="s">
        <v>915</v>
      </c>
      <c r="B30" s="114" t="s">
        <v>879</v>
      </c>
      <c r="C30" t="s">
        <v>995</v>
      </c>
      <c r="D30" s="302">
        <f>VLOOKUP(C30,'Part List'!B:D,2,FALSE)</f>
        <v>999999</v>
      </c>
      <c r="H30" s="302" t="e">
        <f>VLOOKUP(G30,'Part List'!B:D,2,FALSE)</f>
        <v>#N/A</v>
      </c>
    </row>
    <row r="31" spans="1:8" x14ac:dyDescent="0.4">
      <c r="A31" t="s">
        <v>916</v>
      </c>
      <c r="B31" s="114" t="s">
        <v>879</v>
      </c>
      <c r="C31" t="s">
        <v>996</v>
      </c>
      <c r="D31" s="302">
        <f>VLOOKUP(C31,'Part List'!B:D,2,FALSE)</f>
        <v>999999</v>
      </c>
      <c r="H31" s="302" t="e">
        <f>VLOOKUP(G31,'Part List'!B:D,2,FALSE)</f>
        <v>#N/A</v>
      </c>
    </row>
    <row r="32" spans="1:8" x14ac:dyDescent="0.4">
      <c r="A32" t="s">
        <v>917</v>
      </c>
      <c r="B32" s="114" t="s">
        <v>879</v>
      </c>
      <c r="C32" t="s">
        <v>997</v>
      </c>
      <c r="D32" s="302">
        <f>VLOOKUP(C32,'Part List'!B:D,2,FALSE)</f>
        <v>999999</v>
      </c>
      <c r="H32" s="302" t="e">
        <f>VLOOKUP(G32,'Part List'!B:D,2,FALSE)</f>
        <v>#N/A</v>
      </c>
    </row>
    <row r="33" spans="1:8" x14ac:dyDescent="0.4">
      <c r="A33" t="s">
        <v>918</v>
      </c>
      <c r="B33" s="114" t="s">
        <v>879</v>
      </c>
      <c r="C33" t="s">
        <v>998</v>
      </c>
      <c r="D33" s="302">
        <f>VLOOKUP(C33,'Part List'!B:D,2,FALSE)</f>
        <v>999999</v>
      </c>
      <c r="H33" s="302" t="e">
        <f>VLOOKUP(G33,'Part List'!B:D,2,FALSE)</f>
        <v>#N/A</v>
      </c>
    </row>
    <row r="34" spans="1:8" x14ac:dyDescent="0.4">
      <c r="A34" t="s">
        <v>919</v>
      </c>
      <c r="B34" s="114" t="s">
        <v>879</v>
      </c>
      <c r="C34" t="s">
        <v>999</v>
      </c>
      <c r="D34" s="302">
        <f>VLOOKUP(C34,'Part List'!B:D,2,FALSE)</f>
        <v>999999</v>
      </c>
      <c r="H34" s="302" t="e">
        <f>VLOOKUP(G34,'Part List'!B:D,2,FALSE)</f>
        <v>#N/A</v>
      </c>
    </row>
    <row r="35" spans="1:8" x14ac:dyDescent="0.4">
      <c r="A35" t="s">
        <v>920</v>
      </c>
      <c r="B35" s="114" t="s">
        <v>879</v>
      </c>
      <c r="C35" t="s">
        <v>1000</v>
      </c>
      <c r="D35" s="302">
        <f>VLOOKUP(C35,'Part List'!B:D,2,FALSE)</f>
        <v>999999</v>
      </c>
      <c r="H35" s="302" t="e">
        <f>VLOOKUP(G35,'Part List'!B:D,2,FALSE)</f>
        <v>#N/A</v>
      </c>
    </row>
    <row r="36" spans="1:8" x14ac:dyDescent="0.4">
      <c r="A36" t="s">
        <v>921</v>
      </c>
      <c r="B36" s="114" t="s">
        <v>879</v>
      </c>
      <c r="C36" t="s">
        <v>1001</v>
      </c>
      <c r="D36" s="302">
        <f>VLOOKUP(C36,'Part List'!B:D,2,FALSE)</f>
        <v>999999</v>
      </c>
      <c r="H36" s="302" t="e">
        <f>VLOOKUP(G36,'Part List'!B:D,2,FALSE)</f>
        <v>#N/A</v>
      </c>
    </row>
    <row r="37" spans="1:8" x14ac:dyDescent="0.4">
      <c r="A37" t="s">
        <v>922</v>
      </c>
      <c r="B37" s="114" t="s">
        <v>879</v>
      </c>
      <c r="C37" t="s">
        <v>1002</v>
      </c>
      <c r="D37" s="302">
        <f>VLOOKUP(C37,'Part List'!B:D,2,FALSE)</f>
        <v>999999</v>
      </c>
      <c r="H37" s="302" t="e">
        <f>VLOOKUP(G37,'Part List'!B:D,2,FALSE)</f>
        <v>#N/A</v>
      </c>
    </row>
    <row r="38" spans="1:8" x14ac:dyDescent="0.4">
      <c r="A38" t="s">
        <v>923</v>
      </c>
      <c r="B38" s="114" t="s">
        <v>879</v>
      </c>
      <c r="C38" t="s">
        <v>1003</v>
      </c>
      <c r="D38" s="302">
        <f>VLOOKUP(C38,'Part List'!B:D,2,FALSE)</f>
        <v>999999</v>
      </c>
      <c r="H38" s="302" t="e">
        <f>VLOOKUP(G38,'Part List'!B:D,2,FALSE)</f>
        <v>#N/A</v>
      </c>
    </row>
    <row r="39" spans="1:8" x14ac:dyDescent="0.4">
      <c r="A39" t="s">
        <v>924</v>
      </c>
      <c r="B39" s="114" t="s">
        <v>879</v>
      </c>
      <c r="C39" t="s">
        <v>1004</v>
      </c>
      <c r="D39" s="302">
        <f>VLOOKUP(C39,'Part List'!B:D,2,FALSE)</f>
        <v>999999</v>
      </c>
      <c r="H39" s="302" t="e">
        <f>VLOOKUP(G39,'Part List'!B:D,2,FALSE)</f>
        <v>#N/A</v>
      </c>
    </row>
    <row r="40" spans="1:8" x14ac:dyDescent="0.4">
      <c r="A40" t="s">
        <v>925</v>
      </c>
      <c r="B40" s="114" t="s">
        <v>879</v>
      </c>
      <c r="C40" t="s">
        <v>1005</v>
      </c>
      <c r="D40" s="302">
        <f>VLOOKUP(C40,'Part List'!B:D,2,FALSE)</f>
        <v>999999</v>
      </c>
      <c r="H40" s="302" t="e">
        <f>VLOOKUP(G40,'Part List'!B:D,2,FALSE)</f>
        <v>#N/A</v>
      </c>
    </row>
    <row r="41" spans="1:8" x14ac:dyDescent="0.4">
      <c r="A41" t="s">
        <v>926</v>
      </c>
      <c r="B41" s="114" t="s">
        <v>879</v>
      </c>
      <c r="C41" t="s">
        <v>1006</v>
      </c>
      <c r="D41" s="302">
        <f>VLOOKUP(C41,'Part List'!B:D,2,FALSE)</f>
        <v>999999</v>
      </c>
      <c r="H41" s="302" t="e">
        <f>VLOOKUP(G41,'Part List'!B:D,2,FALSE)</f>
        <v>#N/A</v>
      </c>
    </row>
    <row r="42" spans="1:8" x14ac:dyDescent="0.4">
      <c r="A42" t="s">
        <v>927</v>
      </c>
      <c r="B42" s="114" t="s">
        <v>879</v>
      </c>
      <c r="C42" t="s">
        <v>1007</v>
      </c>
      <c r="D42" s="302">
        <f>VLOOKUP(C42,'Part List'!B:D,2,FALSE)</f>
        <v>999999</v>
      </c>
      <c r="H42" s="302" t="e">
        <f>VLOOKUP(G42,'Part List'!B:D,2,FALSE)</f>
        <v>#N/A</v>
      </c>
    </row>
    <row r="43" spans="1:8" x14ac:dyDescent="0.4">
      <c r="A43" t="s">
        <v>928</v>
      </c>
      <c r="B43" s="114" t="s">
        <v>879</v>
      </c>
      <c r="C43" t="s">
        <v>1008</v>
      </c>
      <c r="D43" s="302">
        <f>VLOOKUP(C43,'Part List'!B:D,2,FALSE)</f>
        <v>999999</v>
      </c>
      <c r="H43" s="302" t="e">
        <f>VLOOKUP(G43,'Part List'!B:D,2,FALSE)</f>
        <v>#N/A</v>
      </c>
    </row>
    <row r="44" spans="1:8" x14ac:dyDescent="0.4">
      <c r="A44" t="s">
        <v>929</v>
      </c>
      <c r="B44" s="114" t="s">
        <v>879</v>
      </c>
      <c r="C44" t="s">
        <v>1009</v>
      </c>
      <c r="D44" s="302">
        <f>VLOOKUP(C44,'Part List'!B:D,2,FALSE)</f>
        <v>999999</v>
      </c>
      <c r="H44" s="302" t="e">
        <f>VLOOKUP(G44,'Part List'!B:D,2,FALSE)</f>
        <v>#N/A</v>
      </c>
    </row>
    <row r="45" spans="1:8" x14ac:dyDescent="0.4">
      <c r="A45" t="s">
        <v>930</v>
      </c>
      <c r="B45" s="114" t="s">
        <v>879</v>
      </c>
      <c r="C45" t="s">
        <v>1010</v>
      </c>
      <c r="D45" s="302">
        <f>VLOOKUP(C45,'Part List'!B:D,2,FALSE)</f>
        <v>999999</v>
      </c>
      <c r="H45" s="302" t="e">
        <f>VLOOKUP(G45,'Part List'!B:D,2,FALSE)</f>
        <v>#N/A</v>
      </c>
    </row>
    <row r="46" spans="1:8" x14ac:dyDescent="0.4">
      <c r="A46" t="s">
        <v>931</v>
      </c>
      <c r="B46" s="114" t="s">
        <v>879</v>
      </c>
      <c r="C46" t="s">
        <v>1011</v>
      </c>
      <c r="D46" s="302">
        <f>VLOOKUP(C46,'Part List'!B:D,2,FALSE)</f>
        <v>999999</v>
      </c>
      <c r="H46" s="302" t="e">
        <f>VLOOKUP(G46,'Part List'!B:D,2,FALSE)</f>
        <v>#N/A</v>
      </c>
    </row>
    <row r="47" spans="1:8" x14ac:dyDescent="0.4">
      <c r="A47" t="s">
        <v>932</v>
      </c>
      <c r="B47" s="114" t="s">
        <v>879</v>
      </c>
      <c r="C47" t="s">
        <v>1012</v>
      </c>
      <c r="D47" s="302">
        <f>VLOOKUP(C47,'Part List'!B:D,2,FALSE)</f>
        <v>999999</v>
      </c>
      <c r="H47" s="302" t="e">
        <f>VLOOKUP(G47,'Part List'!B:D,2,FALSE)</f>
        <v>#N/A</v>
      </c>
    </row>
    <row r="48" spans="1:8" x14ac:dyDescent="0.4">
      <c r="A48" t="s">
        <v>933</v>
      </c>
      <c r="B48" s="114" t="s">
        <v>879</v>
      </c>
      <c r="C48" t="s">
        <v>1013</v>
      </c>
      <c r="D48" s="302">
        <f>VLOOKUP(C48,'Part List'!B:D,2,FALSE)</f>
        <v>999999</v>
      </c>
      <c r="H48" s="302" t="e">
        <f>VLOOKUP(G48,'Part List'!B:D,2,FALSE)</f>
        <v>#N/A</v>
      </c>
    </row>
    <row r="49" spans="1:8" x14ac:dyDescent="0.4">
      <c r="A49" t="s">
        <v>934</v>
      </c>
      <c r="B49" s="114" t="s">
        <v>879</v>
      </c>
      <c r="C49" t="s">
        <v>1014</v>
      </c>
      <c r="D49" s="302">
        <f>VLOOKUP(C49,'Part List'!B:D,2,FALSE)</f>
        <v>999999</v>
      </c>
      <c r="H49" s="302" t="e">
        <f>VLOOKUP(G49,'Part List'!B:D,2,FALSE)</f>
        <v>#N/A</v>
      </c>
    </row>
    <row r="50" spans="1:8" x14ac:dyDescent="0.4">
      <c r="A50" t="s">
        <v>935</v>
      </c>
      <c r="B50" s="114" t="s">
        <v>879</v>
      </c>
      <c r="C50" t="s">
        <v>1015</v>
      </c>
      <c r="D50" s="302">
        <f>VLOOKUP(C50,'Part List'!B:D,2,FALSE)</f>
        <v>999999</v>
      </c>
      <c r="H50" s="302" t="e">
        <f>VLOOKUP(G50,'Part List'!B:D,2,FALSE)</f>
        <v>#N/A</v>
      </c>
    </row>
    <row r="51" spans="1:8" x14ac:dyDescent="0.4">
      <c r="A51" t="s">
        <v>936</v>
      </c>
      <c r="B51" s="114" t="s">
        <v>879</v>
      </c>
      <c r="C51" t="s">
        <v>1016</v>
      </c>
      <c r="D51" s="302">
        <f>VLOOKUP(C51,'Part List'!B:D,2,FALSE)</f>
        <v>999999</v>
      </c>
      <c r="H51" s="302" t="e">
        <f>VLOOKUP(G51,'Part List'!B:D,2,FALSE)</f>
        <v>#N/A</v>
      </c>
    </row>
    <row r="52" spans="1:8" x14ac:dyDescent="0.4">
      <c r="A52" t="s">
        <v>937</v>
      </c>
      <c r="B52" s="114" t="s">
        <v>879</v>
      </c>
      <c r="C52" t="s">
        <v>1017</v>
      </c>
      <c r="D52" s="302">
        <f>VLOOKUP(C52,'Part List'!B:D,2,FALSE)</f>
        <v>999999</v>
      </c>
      <c r="H52" s="302" t="e">
        <f>VLOOKUP(G52,'Part List'!B:D,2,FALSE)</f>
        <v>#N/A</v>
      </c>
    </row>
    <row r="53" spans="1:8" x14ac:dyDescent="0.4">
      <c r="A53" t="s">
        <v>938</v>
      </c>
      <c r="B53" s="114" t="s">
        <v>879</v>
      </c>
      <c r="C53" t="s">
        <v>1018</v>
      </c>
      <c r="D53" s="302">
        <f>VLOOKUP(C53,'Part List'!B:D,2,FALSE)</f>
        <v>999999</v>
      </c>
      <c r="H53" s="302" t="e">
        <f>VLOOKUP(G53,'Part List'!B:D,2,FALSE)</f>
        <v>#N/A</v>
      </c>
    </row>
    <row r="54" spans="1:8" x14ac:dyDescent="0.4">
      <c r="A54" t="s">
        <v>939</v>
      </c>
      <c r="B54" s="114" t="s">
        <v>879</v>
      </c>
      <c r="C54" t="s">
        <v>1019</v>
      </c>
      <c r="D54" s="302">
        <f>VLOOKUP(C54,'Part List'!B:D,2,FALSE)</f>
        <v>999999</v>
      </c>
      <c r="H54" s="302" t="e">
        <f>VLOOKUP(G54,'Part List'!B:D,2,FALSE)</f>
        <v>#N/A</v>
      </c>
    </row>
    <row r="55" spans="1:8" x14ac:dyDescent="0.4">
      <c r="A55" t="s">
        <v>940</v>
      </c>
      <c r="B55" s="114" t="s">
        <v>879</v>
      </c>
      <c r="C55" t="s">
        <v>1020</v>
      </c>
      <c r="D55" s="302">
        <f>VLOOKUP(C55,'Part List'!B:D,2,FALSE)</f>
        <v>999999</v>
      </c>
      <c r="H55" s="302" t="e">
        <f>VLOOKUP(G55,'Part List'!B:D,2,FALSE)</f>
        <v>#N/A</v>
      </c>
    </row>
    <row r="56" spans="1:8" x14ac:dyDescent="0.4">
      <c r="A56" t="s">
        <v>941</v>
      </c>
      <c r="B56" s="114" t="s">
        <v>879</v>
      </c>
      <c r="C56" t="s">
        <v>1021</v>
      </c>
      <c r="D56" s="302">
        <f>VLOOKUP(C56,'Part List'!B:D,2,FALSE)</f>
        <v>999999</v>
      </c>
      <c r="H56" s="302" t="e">
        <f>VLOOKUP(G56,'Part List'!B:D,2,FALSE)</f>
        <v>#N/A</v>
      </c>
    </row>
    <row r="57" spans="1:8" x14ac:dyDescent="0.4">
      <c r="A57" t="s">
        <v>942</v>
      </c>
      <c r="B57" s="114" t="s">
        <v>879</v>
      </c>
      <c r="C57" t="s">
        <v>1022</v>
      </c>
      <c r="D57" s="302">
        <f>VLOOKUP(C57,'Part List'!B:D,2,FALSE)</f>
        <v>999999</v>
      </c>
      <c r="H57" s="302" t="e">
        <f>VLOOKUP(G57,'Part List'!B:D,2,FALSE)</f>
        <v>#N/A</v>
      </c>
    </row>
    <row r="58" spans="1:8" x14ac:dyDescent="0.4">
      <c r="A58" t="s">
        <v>943</v>
      </c>
      <c r="B58" s="114" t="s">
        <v>879</v>
      </c>
      <c r="C58" t="s">
        <v>1023</v>
      </c>
      <c r="D58" s="302">
        <f>VLOOKUP(C58,'Part List'!B:D,2,FALSE)</f>
        <v>999999</v>
      </c>
      <c r="H58" s="302" t="e">
        <f>VLOOKUP(G58,'Part List'!B:D,2,FALSE)</f>
        <v>#N/A</v>
      </c>
    </row>
    <row r="59" spans="1:8" x14ac:dyDescent="0.4">
      <c r="A59" t="s">
        <v>944</v>
      </c>
      <c r="B59" s="114" t="s">
        <v>879</v>
      </c>
      <c r="C59" t="s">
        <v>1024</v>
      </c>
      <c r="D59" s="302">
        <f>VLOOKUP(C59,'Part List'!B:D,2,FALSE)</f>
        <v>999999</v>
      </c>
      <c r="H59" s="302" t="e">
        <f>VLOOKUP(G59,'Part List'!B:D,2,FALSE)</f>
        <v>#N/A</v>
      </c>
    </row>
    <row r="60" spans="1:8" x14ac:dyDescent="0.4">
      <c r="A60" t="s">
        <v>945</v>
      </c>
      <c r="B60" s="114" t="s">
        <v>879</v>
      </c>
      <c r="C60" t="s">
        <v>1025</v>
      </c>
      <c r="D60" s="302">
        <f>VLOOKUP(C60,'Part List'!B:D,2,FALSE)</f>
        <v>999999</v>
      </c>
      <c r="H60" s="302" t="e">
        <f>VLOOKUP(G60,'Part List'!B:D,2,FALSE)</f>
        <v>#N/A</v>
      </c>
    </row>
    <row r="61" spans="1:8" x14ac:dyDescent="0.4">
      <c r="A61" t="s">
        <v>946</v>
      </c>
      <c r="B61" s="114" t="s">
        <v>879</v>
      </c>
      <c r="C61" t="s">
        <v>1026</v>
      </c>
      <c r="D61" s="302">
        <f>VLOOKUP(C61,'Part List'!B:D,2,FALSE)</f>
        <v>999999</v>
      </c>
      <c r="H61" s="302" t="e">
        <f>VLOOKUP(G61,'Part List'!B:D,2,FALSE)</f>
        <v>#N/A</v>
      </c>
    </row>
    <row r="62" spans="1:8" x14ac:dyDescent="0.4">
      <c r="A62" t="s">
        <v>947</v>
      </c>
      <c r="B62" s="114" t="s">
        <v>879</v>
      </c>
      <c r="C62" t="s">
        <v>1027</v>
      </c>
      <c r="D62" s="302">
        <f>VLOOKUP(C62,'Part List'!B:D,2,FALSE)</f>
        <v>999999</v>
      </c>
      <c r="H62" s="302" t="e">
        <f>VLOOKUP(G62,'Part List'!B:D,2,FALSE)</f>
        <v>#N/A</v>
      </c>
    </row>
    <row r="63" spans="1:8" x14ac:dyDescent="0.4">
      <c r="A63" t="s">
        <v>948</v>
      </c>
      <c r="B63" s="114" t="s">
        <v>879</v>
      </c>
      <c r="C63" t="s">
        <v>1028</v>
      </c>
      <c r="D63" s="302">
        <f>VLOOKUP(C63,'Part List'!B:D,2,FALSE)</f>
        <v>999999</v>
      </c>
      <c r="H63" s="302" t="e">
        <f>VLOOKUP(G63,'Part List'!B:D,2,FALSE)</f>
        <v>#N/A</v>
      </c>
    </row>
    <row r="64" spans="1:8" x14ac:dyDescent="0.4">
      <c r="A64" t="s">
        <v>949</v>
      </c>
      <c r="B64" s="114" t="s">
        <v>879</v>
      </c>
      <c r="C64" t="s">
        <v>1029</v>
      </c>
      <c r="D64" s="302">
        <f>VLOOKUP(C64,'Part List'!B:D,2,FALSE)</f>
        <v>999999</v>
      </c>
      <c r="H64" s="302" t="e">
        <f>VLOOKUP(G64,'Part List'!B:D,2,FALSE)</f>
        <v>#N/A</v>
      </c>
    </row>
    <row r="65" spans="1:8" x14ac:dyDescent="0.4">
      <c r="A65" t="s">
        <v>950</v>
      </c>
      <c r="B65" s="114" t="s">
        <v>879</v>
      </c>
      <c r="C65" t="s">
        <v>1030</v>
      </c>
      <c r="D65" s="302">
        <f>VLOOKUP(C65,'Part List'!B:D,2,FALSE)</f>
        <v>999999</v>
      </c>
      <c r="H65" s="302" t="e">
        <f>VLOOKUP(G65,'Part List'!B:D,2,FALSE)</f>
        <v>#N/A</v>
      </c>
    </row>
    <row r="66" spans="1:8" x14ac:dyDescent="0.4">
      <c r="A66" t="s">
        <v>951</v>
      </c>
      <c r="B66" s="114" t="s">
        <v>879</v>
      </c>
      <c r="C66" t="s">
        <v>1031</v>
      </c>
      <c r="D66" s="302">
        <f>VLOOKUP(C66,'Part List'!B:D,2,FALSE)</f>
        <v>999999</v>
      </c>
      <c r="H66" s="302" t="e">
        <f>VLOOKUP(G66,'Part List'!B:D,2,FALSE)</f>
        <v>#N/A</v>
      </c>
    </row>
    <row r="67" spans="1:8" x14ac:dyDescent="0.4">
      <c r="A67" t="s">
        <v>952</v>
      </c>
      <c r="B67" s="114" t="s">
        <v>879</v>
      </c>
      <c r="C67" t="s">
        <v>1032</v>
      </c>
      <c r="D67" s="302">
        <f>VLOOKUP(C67,'Part List'!B:D,2,FALSE)</f>
        <v>999999</v>
      </c>
      <c r="H67" s="302" t="e">
        <f>VLOOKUP(G67,'Part List'!B:D,2,FALSE)</f>
        <v>#N/A</v>
      </c>
    </row>
    <row r="68" spans="1:8" x14ac:dyDescent="0.4">
      <c r="A68" t="s">
        <v>953</v>
      </c>
      <c r="B68" s="114" t="s">
        <v>879</v>
      </c>
      <c r="C68" t="s">
        <v>1033</v>
      </c>
      <c r="D68" s="302">
        <f>VLOOKUP(C68,'Part List'!B:D,2,FALSE)</f>
        <v>999999</v>
      </c>
      <c r="H68" s="302" t="e">
        <f>VLOOKUP(G68,'Part List'!B:D,2,FALSE)</f>
        <v>#N/A</v>
      </c>
    </row>
    <row r="69" spans="1:8" x14ac:dyDescent="0.4">
      <c r="A69" t="s">
        <v>954</v>
      </c>
      <c r="B69" s="114" t="s">
        <v>879</v>
      </c>
      <c r="C69" t="s">
        <v>1034</v>
      </c>
      <c r="D69" s="302">
        <f>VLOOKUP(C69,'Part List'!B:D,2,FALSE)</f>
        <v>999999</v>
      </c>
      <c r="H69" s="302" t="e">
        <f>VLOOKUP(G69,'Part List'!B:D,2,FALSE)</f>
        <v>#N/A</v>
      </c>
    </row>
    <row r="70" spans="1:8" x14ac:dyDescent="0.4">
      <c r="A70" t="s">
        <v>955</v>
      </c>
      <c r="B70" s="114" t="s">
        <v>879</v>
      </c>
      <c r="C70" t="s">
        <v>1035</v>
      </c>
      <c r="D70" s="302">
        <f>VLOOKUP(C70,'Part List'!B:D,2,FALSE)</f>
        <v>999999</v>
      </c>
      <c r="H70" s="302" t="e">
        <f>VLOOKUP(G70,'Part List'!B:D,2,FALSE)</f>
        <v>#N/A</v>
      </c>
    </row>
    <row r="71" spans="1:8" x14ac:dyDescent="0.4">
      <c r="A71" t="s">
        <v>956</v>
      </c>
      <c r="B71" s="114" t="s">
        <v>879</v>
      </c>
      <c r="C71" t="s">
        <v>1036</v>
      </c>
      <c r="D71" s="302">
        <f>VLOOKUP(C71,'Part List'!B:D,2,FALSE)</f>
        <v>999999</v>
      </c>
      <c r="H71" s="302" t="e">
        <f>VLOOKUP(G71,'Part List'!B:D,2,FALSE)</f>
        <v>#N/A</v>
      </c>
    </row>
    <row r="72" spans="1:8" x14ac:dyDescent="0.4">
      <c r="A72" t="s">
        <v>957</v>
      </c>
      <c r="B72" s="114" t="s">
        <v>879</v>
      </c>
      <c r="C72" t="s">
        <v>1037</v>
      </c>
      <c r="D72" s="302">
        <f>VLOOKUP(C72,'Part List'!B:D,2,FALSE)</f>
        <v>999999</v>
      </c>
      <c r="H72" s="302" t="e">
        <f>VLOOKUP(G72,'Part List'!B:D,2,FALSE)</f>
        <v>#N/A</v>
      </c>
    </row>
    <row r="73" spans="1:8" x14ac:dyDescent="0.4">
      <c r="A73" t="s">
        <v>958</v>
      </c>
      <c r="B73" s="114" t="s">
        <v>879</v>
      </c>
      <c r="C73" t="s">
        <v>1038</v>
      </c>
      <c r="D73" s="302">
        <f>VLOOKUP(C73,'Part List'!B:D,2,FALSE)</f>
        <v>999999</v>
      </c>
      <c r="H73" s="302" t="e">
        <f>VLOOKUP(G73,'Part List'!B:D,2,FALSE)</f>
        <v>#N/A</v>
      </c>
    </row>
    <row r="74" spans="1:8" x14ac:dyDescent="0.4">
      <c r="A74" t="s">
        <v>959</v>
      </c>
      <c r="B74" s="114" t="s">
        <v>879</v>
      </c>
      <c r="C74" t="s">
        <v>1039</v>
      </c>
      <c r="D74" s="302">
        <f>VLOOKUP(C74,'Part List'!B:D,2,FALSE)</f>
        <v>999999</v>
      </c>
      <c r="H74" s="302" t="e">
        <f>VLOOKUP(G74,'Part List'!B:D,2,FALSE)</f>
        <v>#N/A</v>
      </c>
    </row>
    <row r="75" spans="1:8" x14ac:dyDescent="0.4">
      <c r="A75" t="s">
        <v>960</v>
      </c>
      <c r="B75" s="114" t="s">
        <v>879</v>
      </c>
      <c r="C75" t="s">
        <v>1040</v>
      </c>
      <c r="D75" s="302">
        <f>VLOOKUP(C75,'Part List'!B:D,2,FALSE)</f>
        <v>999999</v>
      </c>
      <c r="H75" s="302" t="e">
        <f>VLOOKUP(G75,'Part List'!B:D,2,FALSE)</f>
        <v>#N/A</v>
      </c>
    </row>
    <row r="76" spans="1:8" x14ac:dyDescent="0.4">
      <c r="A76" t="s">
        <v>961</v>
      </c>
      <c r="B76" s="114" t="s">
        <v>879</v>
      </c>
      <c r="C76" t="s">
        <v>1041</v>
      </c>
      <c r="D76" s="302">
        <f>VLOOKUP(C76,'Part List'!B:D,2,FALSE)</f>
        <v>999999</v>
      </c>
      <c r="H76" s="302" t="e">
        <f>VLOOKUP(G76,'Part List'!B:D,2,FALSE)</f>
        <v>#N/A</v>
      </c>
    </row>
    <row r="77" spans="1:8" x14ac:dyDescent="0.4">
      <c r="A77" t="s">
        <v>962</v>
      </c>
      <c r="B77" s="114" t="s">
        <v>879</v>
      </c>
      <c r="C77" t="s">
        <v>1042</v>
      </c>
      <c r="D77" s="302">
        <f>VLOOKUP(C77,'Part List'!B:D,2,FALSE)</f>
        <v>999999</v>
      </c>
      <c r="H77" s="302" t="e">
        <f>VLOOKUP(G77,'Part List'!B:D,2,FALSE)</f>
        <v>#N/A</v>
      </c>
    </row>
    <row r="78" spans="1:8" x14ac:dyDescent="0.4">
      <c r="A78" t="s">
        <v>963</v>
      </c>
      <c r="B78" s="114" t="s">
        <v>879</v>
      </c>
      <c r="C78" t="s">
        <v>1043</v>
      </c>
      <c r="D78" s="302">
        <f>VLOOKUP(C78,'Part List'!B:D,2,FALSE)</f>
        <v>999999</v>
      </c>
      <c r="H78" s="302" t="e">
        <f>VLOOKUP(G78,'Part List'!B:D,2,FALSE)</f>
        <v>#N/A</v>
      </c>
    </row>
    <row r="79" spans="1:8" x14ac:dyDescent="0.4">
      <c r="A79" t="s">
        <v>964</v>
      </c>
      <c r="B79" s="114" t="s">
        <v>879</v>
      </c>
      <c r="C79" t="s">
        <v>1044</v>
      </c>
      <c r="D79" s="302">
        <f>VLOOKUP(C79,'Part List'!B:D,2,FALSE)</f>
        <v>999999</v>
      </c>
      <c r="H79" s="302" t="e">
        <f>VLOOKUP(G79,'Part List'!B:D,2,FALSE)</f>
        <v>#N/A</v>
      </c>
    </row>
    <row r="80" spans="1:8" x14ac:dyDescent="0.4">
      <c r="A80" t="s">
        <v>965</v>
      </c>
      <c r="B80" s="114" t="s">
        <v>879</v>
      </c>
      <c r="C80" t="s">
        <v>1045</v>
      </c>
      <c r="D80" s="302">
        <f>VLOOKUP(C80,'Part List'!B:D,2,FALSE)</f>
        <v>999999</v>
      </c>
      <c r="H80" s="302" t="e">
        <f>VLOOKUP(G80,'Part List'!B:D,2,FALSE)</f>
        <v>#N/A</v>
      </c>
    </row>
    <row r="81" spans="1:8" x14ac:dyDescent="0.4">
      <c r="A81" t="s">
        <v>966</v>
      </c>
      <c r="B81" s="114" t="s">
        <v>879</v>
      </c>
      <c r="C81" t="s">
        <v>1046</v>
      </c>
      <c r="D81" s="302">
        <f>VLOOKUP(C81,'Part List'!B:D,2,FALSE)</f>
        <v>999999</v>
      </c>
      <c r="H81" s="302" t="e">
        <f>VLOOKUP(G81,'Part List'!B:D,2,FALSE)</f>
        <v>#N/A</v>
      </c>
    </row>
    <row r="82" spans="1:8" x14ac:dyDescent="0.4">
      <c r="A82" t="s">
        <v>967</v>
      </c>
      <c r="B82" s="114" t="s">
        <v>879</v>
      </c>
      <c r="C82" t="s">
        <v>1047</v>
      </c>
      <c r="D82" s="302">
        <f>VLOOKUP(C82,'Part List'!B:D,2,FALSE)</f>
        <v>999999</v>
      </c>
      <c r="H82" s="302" t="e">
        <f>VLOOKUP(G82,'Part List'!B:D,2,FALSE)</f>
        <v>#N/A</v>
      </c>
    </row>
    <row r="83" spans="1:8" x14ac:dyDescent="0.4">
      <c r="A83" t="s">
        <v>968</v>
      </c>
      <c r="B83" s="114" t="s">
        <v>879</v>
      </c>
      <c r="C83" t="s">
        <v>1048</v>
      </c>
      <c r="D83" s="302">
        <f>VLOOKUP(C83,'Part List'!B:D,2,FALSE)</f>
        <v>999999</v>
      </c>
      <c r="H83" s="302" t="e">
        <f>VLOOKUP(G83,'Part List'!B:D,2,FALSE)</f>
        <v>#N/A</v>
      </c>
    </row>
    <row r="84" spans="1:8" x14ac:dyDescent="0.4">
      <c r="A84" t="s">
        <v>969</v>
      </c>
      <c r="B84" s="114" t="s">
        <v>879</v>
      </c>
      <c r="C84" t="s">
        <v>1049</v>
      </c>
      <c r="D84" s="302">
        <f>VLOOKUP(C84,'Part List'!B:D,2,FALSE)</f>
        <v>999999</v>
      </c>
      <c r="H84" s="302" t="e">
        <f>VLOOKUP(G84,'Part List'!B:D,2,FALSE)</f>
        <v>#N/A</v>
      </c>
    </row>
    <row r="85" spans="1:8" x14ac:dyDescent="0.4">
      <c r="A85" t="s">
        <v>970</v>
      </c>
      <c r="B85" s="114" t="s">
        <v>879</v>
      </c>
      <c r="C85" t="s">
        <v>1050</v>
      </c>
      <c r="D85" s="302">
        <f>VLOOKUP(C85,'Part List'!B:D,2,FALSE)</f>
        <v>999999</v>
      </c>
      <c r="H85" s="302" t="e">
        <f>VLOOKUP(G85,'Part List'!B:D,2,FALSE)</f>
        <v>#N/A</v>
      </c>
    </row>
    <row r="86" spans="1:8" x14ac:dyDescent="0.4">
      <c r="A86" t="s">
        <v>971</v>
      </c>
      <c r="B86" s="114" t="s">
        <v>879</v>
      </c>
      <c r="C86" t="s">
        <v>1051</v>
      </c>
      <c r="D86" s="302">
        <f>VLOOKUP(C86,'Part List'!B:D,2,FALSE)</f>
        <v>999999</v>
      </c>
      <c r="H86" s="302" t="e">
        <f>VLOOKUP(G86,'Part List'!B:D,2,FALSE)</f>
        <v>#N/A</v>
      </c>
    </row>
    <row r="87" spans="1:8" x14ac:dyDescent="0.4">
      <c r="A87" t="s">
        <v>972</v>
      </c>
      <c r="B87" s="114" t="s">
        <v>879</v>
      </c>
      <c r="C87" t="s">
        <v>1052</v>
      </c>
      <c r="D87" s="302">
        <f>VLOOKUP(C87,'Part List'!B:D,2,FALSE)</f>
        <v>999999</v>
      </c>
      <c r="H87" s="302" t="e">
        <f>VLOOKUP(G87,'Part List'!B:D,2,FALSE)</f>
        <v>#N/A</v>
      </c>
    </row>
    <row r="88" spans="1:8" x14ac:dyDescent="0.4">
      <c r="A88" t="s">
        <v>973</v>
      </c>
      <c r="B88" s="114" t="s">
        <v>879</v>
      </c>
      <c r="C88" t="s">
        <v>1053</v>
      </c>
      <c r="D88" s="302">
        <f>VLOOKUP(C88,'Part List'!B:D,2,FALSE)</f>
        <v>999999</v>
      </c>
      <c r="H88" s="302" t="e">
        <f>VLOOKUP(G88,'Part List'!B:D,2,FALSE)</f>
        <v>#N/A</v>
      </c>
    </row>
    <row r="89" spans="1:8" x14ac:dyDescent="0.4">
      <c r="A89" t="s">
        <v>974</v>
      </c>
      <c r="B89" s="114" t="s">
        <v>879</v>
      </c>
      <c r="C89" t="s">
        <v>1054</v>
      </c>
      <c r="D89" s="302">
        <f>VLOOKUP(C89,'Part List'!B:D,2,FALSE)</f>
        <v>999999</v>
      </c>
      <c r="H89" s="302" t="e">
        <f>VLOOKUP(G89,'Part List'!B:D,2,FALSE)</f>
        <v>#N/A</v>
      </c>
    </row>
    <row r="90" spans="1:8" x14ac:dyDescent="0.4">
      <c r="A90" t="s">
        <v>975</v>
      </c>
      <c r="B90" s="114" t="s">
        <v>879</v>
      </c>
      <c r="C90" t="s">
        <v>1055</v>
      </c>
      <c r="D90" s="302">
        <f>VLOOKUP(C90,'Part List'!B:D,2,FALSE)</f>
        <v>999999</v>
      </c>
      <c r="H90" s="302" t="e">
        <f>VLOOKUP(G90,'Part List'!B:D,2,FALSE)</f>
        <v>#N/A</v>
      </c>
    </row>
    <row r="91" spans="1:8" x14ac:dyDescent="0.4">
      <c r="A91" t="s">
        <v>976</v>
      </c>
      <c r="B91" s="114" t="s">
        <v>879</v>
      </c>
      <c r="C91" t="s">
        <v>1056</v>
      </c>
      <c r="D91" s="302">
        <f>VLOOKUP(C91,'Part List'!B:D,2,FALSE)</f>
        <v>999999</v>
      </c>
      <c r="H91" s="302" t="e">
        <f>VLOOKUP(G91,'Part List'!B:D,2,FALSE)</f>
        <v>#N/A</v>
      </c>
    </row>
    <row r="92" spans="1:8" x14ac:dyDescent="0.4">
      <c r="A92" t="s">
        <v>1057</v>
      </c>
      <c r="B92" t="s">
        <v>825</v>
      </c>
      <c r="C92" t="s">
        <v>1057</v>
      </c>
      <c r="D92" s="302">
        <f>VLOOKUP(C92,'Part List'!B:D,2,FALSE)</f>
        <v>62</v>
      </c>
      <c r="H92" s="302"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workbookViewId="0">
      <pane ySplit="1" topLeftCell="A66" activePane="bottomLeft" state="frozen"/>
      <selection pane="bottomLeft" activeCell="B29" sqref="B29"/>
    </sheetView>
  </sheetViews>
  <sheetFormatPr defaultRowHeight="14.6" x14ac:dyDescent="0.4"/>
  <cols>
    <col min="1" max="1" width="18.3046875" customWidth="1"/>
    <col min="2" max="2" width="42.3046875" customWidth="1"/>
    <col min="3" max="3" width="16.84375" customWidth="1"/>
    <col min="6" max="6" width="22.07421875" customWidth="1"/>
    <col min="8" max="8" width="9.23046875" style="309"/>
    <col min="9" max="9" width="35.53515625" customWidth="1"/>
    <col min="10" max="10" width="13" style="303" customWidth="1"/>
    <col min="11" max="11" width="9.3046875" style="303" customWidth="1"/>
    <col min="12" max="13" width="9.84375" style="303" customWidth="1"/>
  </cols>
  <sheetData>
    <row r="1" spans="1:19" x14ac:dyDescent="0.4">
      <c r="I1" s="305" t="s">
        <v>751</v>
      </c>
      <c r="J1" s="305" t="s">
        <v>752</v>
      </c>
      <c r="K1" s="305" t="s">
        <v>753</v>
      </c>
      <c r="L1" s="305" t="s">
        <v>802</v>
      </c>
      <c r="M1" s="305" t="s">
        <v>804</v>
      </c>
      <c r="N1" s="33" t="s">
        <v>761</v>
      </c>
      <c r="O1" s="296" t="s">
        <v>803</v>
      </c>
      <c r="P1" s="305" t="s">
        <v>760</v>
      </c>
      <c r="R1" s="305" t="s">
        <v>751</v>
      </c>
      <c r="S1" s="33" t="s">
        <v>761</v>
      </c>
    </row>
    <row r="2" spans="1:19" x14ac:dyDescent="0.4">
      <c r="B2" s="32"/>
      <c r="C2" s="32"/>
      <c r="D2" s="32" t="s">
        <v>371</v>
      </c>
      <c r="E2" s="296">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9"/>
      <c r="J7" s="303"/>
      <c r="K7" s="303"/>
      <c r="L7" s="303"/>
      <c r="M7" s="303"/>
      <c r="R7" s="114">
        <f t="shared" si="0"/>
        <v>0</v>
      </c>
      <c r="S7" s="114">
        <f t="shared" si="1"/>
        <v>0</v>
      </c>
    </row>
    <row r="8" spans="1:19" s="114" customFormat="1" x14ac:dyDescent="0.4">
      <c r="B8" s="117" t="s">
        <v>481</v>
      </c>
      <c r="C8" s="145">
        <v>2</v>
      </c>
      <c r="D8" s="137"/>
      <c r="E8" s="117"/>
      <c r="F8" s="134"/>
      <c r="H8" s="309"/>
      <c r="J8" s="303"/>
      <c r="K8" s="303"/>
      <c r="L8" s="303"/>
      <c r="M8" s="303"/>
      <c r="R8" s="114">
        <f t="shared" si="0"/>
        <v>0</v>
      </c>
      <c r="S8" s="114">
        <f t="shared" si="1"/>
        <v>0</v>
      </c>
    </row>
    <row r="9" spans="1:19" s="32" customFormat="1" x14ac:dyDescent="0.4">
      <c r="B9" s="38" t="s">
        <v>303</v>
      </c>
      <c r="C9" s="50">
        <v>0.5</v>
      </c>
      <c r="D9" s="50"/>
      <c r="E9" s="38"/>
      <c r="F9" s="42"/>
      <c r="H9" s="309"/>
      <c r="J9" s="303"/>
      <c r="K9" s="303"/>
      <c r="L9" s="303"/>
      <c r="M9" s="303"/>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430</v>
      </c>
      <c r="C11" s="50">
        <v>3.5</v>
      </c>
      <c r="D11" s="50"/>
      <c r="E11" s="43"/>
      <c r="F11" s="44"/>
      <c r="G11" s="32"/>
      <c r="I11" s="32"/>
      <c r="L11" s="303" t="s">
        <v>750</v>
      </c>
      <c r="N11" s="32"/>
      <c r="O11" s="32"/>
      <c r="P11" s="32"/>
      <c r="R11" s="114">
        <f t="shared" si="0"/>
        <v>0</v>
      </c>
      <c r="S11" s="114">
        <f t="shared" si="1"/>
        <v>0</v>
      </c>
    </row>
    <row r="12" spans="1:19" s="114" customFormat="1" x14ac:dyDescent="0.4">
      <c r="B12" s="117" t="s">
        <v>482</v>
      </c>
      <c r="C12" s="145">
        <v>3.5</v>
      </c>
      <c r="D12" s="137"/>
      <c r="E12" s="135"/>
      <c r="F12" s="136"/>
      <c r="H12" s="309"/>
      <c r="J12" s="303"/>
      <c r="K12" s="303"/>
      <c r="L12" s="303"/>
      <c r="M12" s="303"/>
      <c r="R12" s="114">
        <f t="shared" si="0"/>
        <v>0</v>
      </c>
      <c r="S12" s="114">
        <f t="shared" si="1"/>
        <v>0</v>
      </c>
    </row>
    <row r="13" spans="1:19" s="32" customFormat="1" x14ac:dyDescent="0.4">
      <c r="B13" s="43" t="s">
        <v>302</v>
      </c>
      <c r="C13" s="50">
        <v>2.5</v>
      </c>
      <c r="D13" s="50"/>
      <c r="E13" s="43"/>
      <c r="F13" s="44"/>
      <c r="H13" s="309"/>
      <c r="J13" s="303"/>
      <c r="K13" s="303"/>
      <c r="L13" s="303"/>
      <c r="M13" s="303"/>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461</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352</v>
      </c>
      <c r="C22" s="50">
        <v>4</v>
      </c>
      <c r="D22" s="50"/>
      <c r="E22" s="43"/>
      <c r="F22" s="44"/>
      <c r="G22" s="32"/>
      <c r="I22" s="32"/>
      <c r="N22" s="152" t="s">
        <v>462</v>
      </c>
      <c r="O22" s="32"/>
      <c r="P22" s="32"/>
      <c r="R22" s="114">
        <f t="shared" si="2"/>
        <v>0</v>
      </c>
      <c r="S22" s="114">
        <f t="shared" si="3"/>
        <v>0</v>
      </c>
    </row>
    <row r="23" spans="2:19" x14ac:dyDescent="0.4">
      <c r="B23" s="38" t="s">
        <v>223</v>
      </c>
      <c r="C23" s="50">
        <v>1</v>
      </c>
      <c r="D23" s="50"/>
      <c r="E23" s="38"/>
      <c r="F23" s="42"/>
      <c r="G23" s="32"/>
      <c r="I23" s="32"/>
      <c r="N23" s="152" t="s">
        <v>463</v>
      </c>
      <c r="O23" s="32"/>
      <c r="P23" s="32"/>
      <c r="R23" s="114">
        <f t="shared" si="2"/>
        <v>0</v>
      </c>
      <c r="S23" s="114">
        <f t="shared" si="3"/>
        <v>0</v>
      </c>
    </row>
    <row r="24" spans="2:19" s="32" customFormat="1" x14ac:dyDescent="0.4">
      <c r="B24" s="38" t="s">
        <v>363</v>
      </c>
      <c r="C24" s="50">
        <v>1</v>
      </c>
      <c r="D24" s="50"/>
      <c r="E24" s="38"/>
      <c r="F24" s="42"/>
      <c r="H24" s="309"/>
      <c r="J24" s="303"/>
      <c r="K24" s="303"/>
      <c r="L24" s="303"/>
      <c r="M24" s="303"/>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364</v>
      </c>
      <c r="C36" s="50">
        <v>1</v>
      </c>
      <c r="D36" s="50"/>
      <c r="E36" s="38"/>
      <c r="F36" s="44"/>
      <c r="H36" s="309"/>
      <c r="J36" s="303"/>
      <c r="K36" s="303"/>
      <c r="L36" s="303"/>
      <c r="M36" s="303"/>
      <c r="R36" s="114">
        <f t="shared" si="2"/>
        <v>0</v>
      </c>
      <c r="S36" s="114">
        <f t="shared" si="3"/>
        <v>0</v>
      </c>
    </row>
    <row r="37" spans="1:19" s="32" customFormat="1" x14ac:dyDescent="0.4">
      <c r="B37" s="38" t="s">
        <v>365</v>
      </c>
      <c r="C37" s="50">
        <v>1</v>
      </c>
      <c r="D37" s="50"/>
      <c r="E37" s="38"/>
      <c r="F37" s="44"/>
      <c r="H37" s="309"/>
      <c r="J37" s="303"/>
      <c r="K37" s="303"/>
      <c r="L37" s="303"/>
      <c r="M37" s="303"/>
      <c r="R37" s="114">
        <f t="shared" si="2"/>
        <v>0</v>
      </c>
      <c r="S37" s="114">
        <f t="shared" si="3"/>
        <v>0</v>
      </c>
    </row>
    <row r="38" spans="1:19" s="32" customFormat="1" x14ac:dyDescent="0.4">
      <c r="B38" s="38" t="s">
        <v>366</v>
      </c>
      <c r="C38" s="50">
        <v>2</v>
      </c>
      <c r="D38" s="50"/>
      <c r="E38" s="38"/>
      <c r="F38" s="44"/>
      <c r="H38" s="309"/>
      <c r="J38" s="303"/>
      <c r="K38" s="303"/>
      <c r="L38" s="303"/>
      <c r="M38" s="303"/>
      <c r="R38" s="114">
        <f t="shared" si="2"/>
        <v>0</v>
      </c>
      <c r="S38" s="114">
        <f t="shared" si="3"/>
        <v>0</v>
      </c>
    </row>
    <row r="39" spans="1:19" s="114" customFormat="1" x14ac:dyDescent="0.4">
      <c r="B39" s="117" t="s">
        <v>603</v>
      </c>
      <c r="C39" s="137">
        <v>1.5</v>
      </c>
      <c r="D39" s="137"/>
      <c r="E39" s="117"/>
      <c r="F39" s="136"/>
      <c r="H39" s="309"/>
      <c r="J39" s="303"/>
      <c r="K39" s="303"/>
      <c r="L39" s="303"/>
      <c r="M39" s="303"/>
      <c r="R39" s="114">
        <f t="shared" si="2"/>
        <v>0</v>
      </c>
      <c r="S39" s="114">
        <f t="shared" si="3"/>
        <v>0</v>
      </c>
    </row>
    <row r="40" spans="1:19" s="114" customFormat="1" x14ac:dyDescent="0.4">
      <c r="B40" s="117" t="s">
        <v>693</v>
      </c>
      <c r="C40" s="137">
        <v>2.5</v>
      </c>
      <c r="D40" s="137"/>
      <c r="E40" s="117"/>
      <c r="F40" s="136"/>
      <c r="H40" s="309"/>
      <c r="J40" s="303"/>
      <c r="K40" s="303"/>
      <c r="L40" s="303"/>
      <c r="M40" s="303"/>
      <c r="R40" s="114">
        <f t="shared" si="2"/>
        <v>0</v>
      </c>
      <c r="S40" s="114">
        <f t="shared" si="3"/>
        <v>0</v>
      </c>
    </row>
    <row r="41" spans="1:19" s="32" customFormat="1" x14ac:dyDescent="0.4">
      <c r="B41" s="38" t="s">
        <v>435</v>
      </c>
      <c r="C41" s="50">
        <f>20/60</f>
        <v>0.33333333333333331</v>
      </c>
      <c r="D41" s="50"/>
      <c r="E41" s="38"/>
      <c r="F41" s="44"/>
      <c r="H41" s="309"/>
      <c r="J41" s="303"/>
      <c r="K41" s="303"/>
      <c r="L41" s="303"/>
      <c r="M41" s="303"/>
      <c r="R41" s="114">
        <f t="shared" si="2"/>
        <v>0</v>
      </c>
      <c r="S41" s="114">
        <f t="shared" si="3"/>
        <v>0</v>
      </c>
    </row>
    <row r="42" spans="1:19" s="32" customFormat="1" x14ac:dyDescent="0.4">
      <c r="B42" s="38" t="s">
        <v>436</v>
      </c>
      <c r="C42" s="50">
        <f>(20/60)/2.4</f>
        <v>0.1388888888888889</v>
      </c>
      <c r="D42" s="50"/>
      <c r="E42" s="38"/>
      <c r="F42" s="44"/>
      <c r="H42" s="309"/>
      <c r="J42" s="303"/>
      <c r="K42" s="303"/>
      <c r="L42" s="303"/>
      <c r="M42" s="303"/>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9"/>
      <c r="J44" s="303"/>
      <c r="K44" s="303"/>
      <c r="L44" s="303"/>
      <c r="M44" s="303"/>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303" t="s">
        <v>754</v>
      </c>
      <c r="K48" s="303" t="s">
        <v>758</v>
      </c>
      <c r="L48" s="306">
        <v>38.72</v>
      </c>
      <c r="M48" s="306">
        <f>IF(L48=0,N48,L48)*(1+$E$2)</f>
        <v>46.463999999999999</v>
      </c>
      <c r="N48" s="136">
        <v>16</v>
      </c>
      <c r="O48" s="296">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303" t="s">
        <v>766</v>
      </c>
      <c r="K49" s="303" t="s">
        <v>772</v>
      </c>
      <c r="L49" s="306">
        <f>35.2 + 55.65</f>
        <v>90.85</v>
      </c>
      <c r="M49" s="306">
        <f t="shared" ref="M49:M112" si="6">IF(L49=0,N49,L49)*(1+$E$2)</f>
        <v>109.02</v>
      </c>
      <c r="N49" s="136">
        <v>80</v>
      </c>
      <c r="O49" s="296">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303" t="s">
        <v>755</v>
      </c>
      <c r="K50" s="303" t="s">
        <v>758</v>
      </c>
      <c r="L50" s="306">
        <v>19.8</v>
      </c>
      <c r="M50" s="306">
        <f t="shared" si="6"/>
        <v>23.76</v>
      </c>
      <c r="N50" s="136">
        <v>11.8</v>
      </c>
      <c r="O50" s="296">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6"/>
      <c r="M51" s="306">
        <f t="shared" si="6"/>
        <v>7440</v>
      </c>
      <c r="N51" s="136">
        <v>6200</v>
      </c>
      <c r="O51" s="296"/>
      <c r="R51" s="114">
        <f t="shared" si="2"/>
        <v>0</v>
      </c>
      <c r="S51" s="114">
        <f t="shared" si="3"/>
        <v>0</v>
      </c>
    </row>
    <row r="52" spans="1:19" x14ac:dyDescent="0.4">
      <c r="A52" s="32"/>
      <c r="B52" s="43" t="s">
        <v>418</v>
      </c>
      <c r="C52" s="136">
        <f t="shared" si="4"/>
        <v>4560</v>
      </c>
      <c r="D52" s="44"/>
      <c r="E52" s="43"/>
      <c r="F52" s="44"/>
      <c r="G52" s="32"/>
      <c r="I52" s="135" t="str">
        <f t="shared" si="5"/>
        <v>Eureka 18-42 Pole 250A MS</v>
      </c>
      <c r="L52" s="306"/>
      <c r="M52" s="306">
        <f t="shared" si="6"/>
        <v>4560</v>
      </c>
      <c r="N52" s="136">
        <v>3800</v>
      </c>
      <c r="O52" s="296"/>
      <c r="R52" s="114">
        <f t="shared" si="2"/>
        <v>0</v>
      </c>
      <c r="S52" s="114">
        <f t="shared" si="3"/>
        <v>0</v>
      </c>
    </row>
    <row r="53" spans="1:19" s="32" customFormat="1" x14ac:dyDescent="0.4">
      <c r="B53" s="95" t="s">
        <v>419</v>
      </c>
      <c r="C53" s="136">
        <f t="shared" si="4"/>
        <v>586.15199999999993</v>
      </c>
      <c r="D53" s="44"/>
      <c r="E53" s="43"/>
      <c r="F53" s="44"/>
      <c r="H53" s="309"/>
      <c r="I53" s="135" t="str">
        <f t="shared" si="5"/>
        <v>Small Form 1 MSSB ( upto 18 poles)</v>
      </c>
      <c r="J53" s="303"/>
      <c r="K53" s="303"/>
      <c r="L53" s="306"/>
      <c r="M53" s="306">
        <f t="shared" si="6"/>
        <v>586.15199999999993</v>
      </c>
      <c r="N53" s="136">
        <f>420+12.46+13+26+17</f>
        <v>488.46</v>
      </c>
      <c r="O53" s="296"/>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303" t="s">
        <v>756</v>
      </c>
      <c r="K54" s="303" t="s">
        <v>757</v>
      </c>
      <c r="L54" s="306">
        <v>294.60000000000002</v>
      </c>
      <c r="M54" s="306">
        <f t="shared" si="6"/>
        <v>353.52000000000004</v>
      </c>
      <c r="N54" s="136">
        <v>420</v>
      </c>
      <c r="O54" s="296">
        <f t="shared" si="7"/>
        <v>0.42566191446028501</v>
      </c>
      <c r="R54" s="114">
        <f t="shared" si="2"/>
        <v>0</v>
      </c>
      <c r="S54" s="114">
        <f t="shared" si="3"/>
        <v>0</v>
      </c>
    </row>
    <row r="55" spans="1:19" s="32" customFormat="1" x14ac:dyDescent="0.4">
      <c r="B55" s="95" t="s">
        <v>374</v>
      </c>
      <c r="C55" s="136">
        <f t="shared" si="4"/>
        <v>0</v>
      </c>
      <c r="D55" s="44"/>
      <c r="E55" s="43"/>
      <c r="F55" s="44"/>
      <c r="H55" s="309"/>
      <c r="I55" s="135"/>
      <c r="J55" s="303"/>
      <c r="K55" s="303"/>
      <c r="L55" s="306"/>
      <c r="M55" s="306">
        <f t="shared" si="6"/>
        <v>0</v>
      </c>
      <c r="N55" s="136"/>
      <c r="O55" s="296"/>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303" t="s">
        <v>769</v>
      </c>
      <c r="K56" s="303" t="s">
        <v>773</v>
      </c>
      <c r="L56" s="307">
        <v>36.200000000000003</v>
      </c>
      <c r="M56" s="306">
        <f t="shared" si="6"/>
        <v>43.440000000000005</v>
      </c>
      <c r="N56" s="136">
        <v>17</v>
      </c>
      <c r="O56" s="296">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303" t="s">
        <v>780</v>
      </c>
      <c r="K57" s="303" t="s">
        <v>770</v>
      </c>
      <c r="L57" s="306">
        <v>102</v>
      </c>
      <c r="M57" s="306">
        <f t="shared" si="6"/>
        <v>122.39999999999999</v>
      </c>
      <c r="N57" s="53">
        <v>22</v>
      </c>
      <c r="O57" s="296">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303" t="s">
        <v>768</v>
      </c>
      <c r="K58" s="303" t="s">
        <v>773</v>
      </c>
      <c r="L58" s="307">
        <v>36.200000000000003</v>
      </c>
      <c r="M58" s="306">
        <f t="shared" si="6"/>
        <v>43.440000000000005</v>
      </c>
      <c r="N58" s="53">
        <v>17</v>
      </c>
      <c r="O58" s="296">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303" t="s">
        <v>767</v>
      </c>
      <c r="K59" s="303" t="s">
        <v>773</v>
      </c>
      <c r="L59" s="307">
        <v>8.4499999999999993</v>
      </c>
      <c r="M59" s="306">
        <f t="shared" si="6"/>
        <v>10.139999999999999</v>
      </c>
      <c r="N59" s="53">
        <v>4.2</v>
      </c>
      <c r="O59" s="296">
        <f t="shared" si="7"/>
        <v>0.50295857988165671</v>
      </c>
      <c r="R59" s="114">
        <f t="shared" si="2"/>
        <v>0</v>
      </c>
      <c r="S59" s="114">
        <f t="shared" si="3"/>
        <v>0</v>
      </c>
    </row>
    <row r="60" spans="1:19" x14ac:dyDescent="0.4">
      <c r="A60" s="48"/>
      <c r="B60" s="52" t="s">
        <v>254</v>
      </c>
      <c r="C60" s="136">
        <f t="shared" si="4"/>
        <v>3840</v>
      </c>
      <c r="D60" s="53"/>
      <c r="E60" s="52"/>
      <c r="F60" s="53"/>
      <c r="G60" s="48"/>
      <c r="H60" s="309" t="s">
        <v>788</v>
      </c>
      <c r="I60" s="135" t="str">
        <f t="shared" si="5"/>
        <v>Complete Control Panel</v>
      </c>
      <c r="L60" s="307"/>
      <c r="M60" s="306">
        <f t="shared" si="6"/>
        <v>3840</v>
      </c>
      <c r="N60" s="53">
        <v>3200</v>
      </c>
      <c r="O60" s="296"/>
      <c r="R60" s="114" t="str">
        <f t="shared" si="2"/>
        <v>Complete Control Panel</v>
      </c>
      <c r="S60" s="114">
        <f t="shared" si="3"/>
        <v>3200</v>
      </c>
    </row>
    <row r="61" spans="1:19" x14ac:dyDescent="0.4">
      <c r="A61" s="48"/>
      <c r="B61" s="52" t="s">
        <v>255</v>
      </c>
      <c r="C61" s="136">
        <f t="shared" si="4"/>
        <v>6</v>
      </c>
      <c r="D61" s="53"/>
      <c r="E61" s="52"/>
      <c r="F61" s="53"/>
      <c r="G61" s="48"/>
      <c r="H61" s="309" t="s">
        <v>788</v>
      </c>
      <c r="I61" s="135" t="str">
        <f t="shared" si="5"/>
        <v xml:space="preserve">Reed Sw 15mm barrel </v>
      </c>
      <c r="L61" s="307"/>
      <c r="M61" s="306">
        <f t="shared" si="6"/>
        <v>6</v>
      </c>
      <c r="N61" s="53">
        <v>5</v>
      </c>
      <c r="O61" s="296"/>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7"/>
      <c r="M62" s="306">
        <f t="shared" si="6"/>
        <v>1266</v>
      </c>
      <c r="N62" s="53">
        <v>1055</v>
      </c>
      <c r="O62" s="296"/>
      <c r="P62" t="s">
        <v>781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7"/>
      <c r="M63" s="306">
        <f t="shared" si="6"/>
        <v>78</v>
      </c>
      <c r="N63" s="136">
        <v>65</v>
      </c>
      <c r="O63" s="296"/>
      <c r="P63" s="114" t="s">
        <v>781</v>
      </c>
      <c r="R63" s="114">
        <f t="shared" si="2"/>
        <v>0</v>
      </c>
      <c r="S63" s="114">
        <f t="shared" si="3"/>
        <v>0</v>
      </c>
    </row>
    <row r="64" spans="1:19" x14ac:dyDescent="0.4">
      <c r="A64" s="32"/>
      <c r="B64" s="43" t="s">
        <v>258</v>
      </c>
      <c r="C64" s="136">
        <f t="shared" si="4"/>
        <v>270</v>
      </c>
      <c r="D64" s="44"/>
      <c r="E64" s="43"/>
      <c r="F64" s="44"/>
      <c r="G64" s="32"/>
      <c r="I64" s="135" t="str">
        <f t="shared" si="5"/>
        <v>GSTA-C</v>
      </c>
      <c r="L64" s="307"/>
      <c r="M64" s="306">
        <f t="shared" si="6"/>
        <v>270</v>
      </c>
      <c r="N64" s="136">
        <v>225</v>
      </c>
      <c r="O64" s="296"/>
      <c r="P64" s="114" t="s">
        <v>781</v>
      </c>
      <c r="R64" s="114">
        <f t="shared" si="2"/>
        <v>0</v>
      </c>
      <c r="S64" s="114">
        <f t="shared" si="3"/>
        <v>0</v>
      </c>
    </row>
    <row r="65" spans="2:19" x14ac:dyDescent="0.4">
      <c r="B65" s="43" t="s">
        <v>259</v>
      </c>
      <c r="C65" s="136">
        <f t="shared" si="4"/>
        <v>2100</v>
      </c>
      <c r="D65" s="44"/>
      <c r="E65" s="43"/>
      <c r="F65" s="44"/>
      <c r="G65" s="32"/>
      <c r="I65" s="135" t="str">
        <f t="shared" si="5"/>
        <v>CDIB-650</v>
      </c>
      <c r="L65" s="307"/>
      <c r="M65" s="306">
        <f t="shared" si="6"/>
        <v>2100</v>
      </c>
      <c r="N65" s="136">
        <v>1750</v>
      </c>
      <c r="O65" s="296"/>
      <c r="P65" s="114" t="s">
        <v>781</v>
      </c>
      <c r="R65" s="114">
        <f t="shared" si="2"/>
        <v>0</v>
      </c>
      <c r="S65" s="114">
        <f t="shared" si="3"/>
        <v>0</v>
      </c>
    </row>
    <row r="66" spans="2:19" x14ac:dyDescent="0.4">
      <c r="B66" s="43" t="s">
        <v>260</v>
      </c>
      <c r="C66" s="136">
        <f t="shared" si="4"/>
        <v>56.4</v>
      </c>
      <c r="D66" s="44"/>
      <c r="E66" s="43"/>
      <c r="F66" s="44"/>
      <c r="G66" s="32"/>
      <c r="I66" s="135" t="str">
        <f t="shared" si="5"/>
        <v>TF63-240-24</v>
      </c>
      <c r="J66" s="303" t="s">
        <v>762</v>
      </c>
      <c r="K66" s="303" t="s">
        <v>763</v>
      </c>
      <c r="L66" s="306">
        <v>47</v>
      </c>
      <c r="M66" s="306">
        <f t="shared" si="6"/>
        <v>56.4</v>
      </c>
      <c r="N66" s="136">
        <v>100</v>
      </c>
      <c r="O66" s="296">
        <f t="shared" si="7"/>
        <v>1.1276595744680851</v>
      </c>
      <c r="R66" s="114">
        <f t="shared" si="2"/>
        <v>0</v>
      </c>
      <c r="S66" s="114">
        <f t="shared" si="3"/>
        <v>0</v>
      </c>
    </row>
    <row r="67" spans="2:19" x14ac:dyDescent="0.4">
      <c r="B67" s="43" t="s">
        <v>424</v>
      </c>
      <c r="C67" s="136">
        <f t="shared" si="4"/>
        <v>23.4</v>
      </c>
      <c r="D67" s="44"/>
      <c r="E67" s="43"/>
      <c r="F67" s="44"/>
      <c r="G67" s="32"/>
      <c r="H67" s="309" t="s">
        <v>788</v>
      </c>
      <c r="I67" s="135" t="str">
        <f t="shared" si="5"/>
        <v>Current Switch CCS131</v>
      </c>
      <c r="L67" s="307"/>
      <c r="M67" s="306">
        <f t="shared" si="6"/>
        <v>23.4</v>
      </c>
      <c r="N67" s="136">
        <v>19.5</v>
      </c>
      <c r="O67" s="296">
        <f t="shared" si="7"/>
        <v>0</v>
      </c>
      <c r="R67" s="114" t="str">
        <f t="shared" si="2"/>
        <v>Current Switch CCS131</v>
      </c>
      <c r="S67" s="114">
        <f t="shared" si="3"/>
        <v>19.5</v>
      </c>
    </row>
    <row r="68" spans="2:19" x14ac:dyDescent="0.4">
      <c r="B68" s="43" t="s">
        <v>261</v>
      </c>
      <c r="C68" s="136">
        <f t="shared" si="4"/>
        <v>282</v>
      </c>
      <c r="D68" s="44"/>
      <c r="E68" s="43"/>
      <c r="F68" s="114" t="s">
        <v>784</v>
      </c>
      <c r="G68" s="32"/>
      <c r="I68" s="135" t="s">
        <v>782</v>
      </c>
      <c r="L68" s="307"/>
      <c r="M68" s="306">
        <f t="shared" si="6"/>
        <v>282</v>
      </c>
      <c r="N68" s="136">
        <v>235</v>
      </c>
      <c r="O68" s="296">
        <f t="shared" si="7"/>
        <v>0</v>
      </c>
      <c r="P68" t="s">
        <v>783</v>
      </c>
      <c r="R68" s="114">
        <f t="shared" si="2"/>
        <v>0</v>
      </c>
      <c r="S68" s="114">
        <f t="shared" si="3"/>
        <v>0</v>
      </c>
    </row>
    <row r="69" spans="2:19" x14ac:dyDescent="0.4">
      <c r="B69" s="43" t="s">
        <v>262</v>
      </c>
      <c r="C69" s="136">
        <f t="shared" si="4"/>
        <v>530.64</v>
      </c>
      <c r="D69" s="44"/>
      <c r="E69" s="43"/>
      <c r="F69" s="44"/>
      <c r="G69" s="32"/>
      <c r="I69" s="135" t="str">
        <f t="shared" si="5"/>
        <v>VSD Car Park 1.5kW</v>
      </c>
      <c r="J69" s="303" t="s">
        <v>796</v>
      </c>
      <c r="L69" s="307">
        <v>442.2</v>
      </c>
      <c r="M69" s="306">
        <f t="shared" si="6"/>
        <v>530.64</v>
      </c>
      <c r="N69" s="136">
        <v>770</v>
      </c>
      <c r="O69" s="296">
        <f t="shared" si="7"/>
        <v>0.74129353233830853</v>
      </c>
      <c r="P69" s="114" t="s">
        <v>781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303" t="s">
        <v>797</v>
      </c>
      <c r="L70" s="307">
        <v>541.20000000000005</v>
      </c>
      <c r="M70" s="306">
        <f t="shared" si="6"/>
        <v>649.44000000000005</v>
      </c>
      <c r="N70" s="136">
        <v>550</v>
      </c>
      <c r="O70" s="296">
        <f t="shared" si="7"/>
        <v>1.6260162601625931E-2</v>
      </c>
      <c r="P70" s="114" t="s">
        <v>781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303" t="s">
        <v>799</v>
      </c>
      <c r="L71" s="307">
        <v>625.9</v>
      </c>
      <c r="M71" s="306">
        <f t="shared" si="6"/>
        <v>751.07999999999993</v>
      </c>
      <c r="N71" s="136">
        <v>750</v>
      </c>
      <c r="O71" s="296">
        <f t="shared" si="7"/>
        <v>0.1982744847419716</v>
      </c>
      <c r="P71" s="114" t="s">
        <v>781</v>
      </c>
      <c r="R71" s="114">
        <f t="shared" si="2"/>
        <v>0</v>
      </c>
      <c r="S71" s="114">
        <f t="shared" si="3"/>
        <v>0</v>
      </c>
    </row>
    <row r="72" spans="2:19" x14ac:dyDescent="0.4">
      <c r="B72" s="43" t="s">
        <v>265</v>
      </c>
      <c r="C72" s="136">
        <f t="shared" si="4"/>
        <v>971.52</v>
      </c>
      <c r="D72" s="44"/>
      <c r="E72" s="43"/>
      <c r="F72" s="44"/>
      <c r="G72" s="32"/>
      <c r="I72" s="135" t="str">
        <f t="shared" si="5"/>
        <v>VSD Stair Press 7.5kW</v>
      </c>
      <c r="J72" s="303" t="s">
        <v>798</v>
      </c>
      <c r="L72" s="307">
        <v>809.6</v>
      </c>
      <c r="M72" s="306">
        <f t="shared" si="6"/>
        <v>971.52</v>
      </c>
      <c r="N72" s="136">
        <v>750</v>
      </c>
      <c r="O72" s="296">
        <f t="shared" si="7"/>
        <v>7.3616600790513853E-2</v>
      </c>
      <c r="P72" s="114" t="s">
        <v>781</v>
      </c>
      <c r="R72" s="114">
        <f t="shared" si="2"/>
        <v>0</v>
      </c>
      <c r="S72" s="114">
        <f t="shared" si="3"/>
        <v>0</v>
      </c>
    </row>
    <row r="73" spans="2:19" s="114" customFormat="1" x14ac:dyDescent="0.4">
      <c r="B73" s="135" t="s">
        <v>493</v>
      </c>
      <c r="C73" s="136">
        <f t="shared" si="4"/>
        <v>1226.28</v>
      </c>
      <c r="D73" s="136"/>
      <c r="E73" s="135"/>
      <c r="F73" s="136"/>
      <c r="H73" s="309"/>
      <c r="I73" s="135" t="str">
        <f t="shared" si="5"/>
        <v>VSD 11 kW</v>
      </c>
      <c r="J73" s="303" t="s">
        <v>800</v>
      </c>
      <c r="K73" s="303"/>
      <c r="L73" s="307">
        <v>1021.9</v>
      </c>
      <c r="M73" s="306">
        <f t="shared" si="6"/>
        <v>1226.28</v>
      </c>
      <c r="N73" s="136">
        <v>1100</v>
      </c>
      <c r="O73" s="296">
        <f t="shared" si="7"/>
        <v>7.6426264800861163E-2</v>
      </c>
      <c r="P73" s="114" t="s">
        <v>781</v>
      </c>
      <c r="R73" s="114">
        <f t="shared" si="2"/>
        <v>0</v>
      </c>
      <c r="S73" s="114">
        <f t="shared" si="3"/>
        <v>0</v>
      </c>
    </row>
    <row r="74" spans="2:19" s="114" customFormat="1" x14ac:dyDescent="0.4">
      <c r="B74" s="135" t="s">
        <v>545</v>
      </c>
      <c r="C74" s="136">
        <f t="shared" si="4"/>
        <v>530.64</v>
      </c>
      <c r="D74" s="136"/>
      <c r="E74" s="135"/>
      <c r="F74" s="136"/>
      <c r="H74" s="309"/>
      <c r="I74" s="135" t="str">
        <f t="shared" si="5"/>
        <v>VSD 1.5kW</v>
      </c>
      <c r="J74" s="303" t="s">
        <v>796</v>
      </c>
      <c r="K74" s="303"/>
      <c r="L74" s="307">
        <v>442.2</v>
      </c>
      <c r="M74" s="306">
        <f t="shared" si="6"/>
        <v>530.64</v>
      </c>
      <c r="N74" s="136">
        <v>770</v>
      </c>
      <c r="O74" s="296">
        <f t="shared" si="7"/>
        <v>0.74129353233830853</v>
      </c>
      <c r="P74" s="114" t="s">
        <v>781</v>
      </c>
      <c r="R74" s="114">
        <f t="shared" si="2"/>
        <v>0</v>
      </c>
      <c r="S74" s="114">
        <f t="shared" si="3"/>
        <v>0</v>
      </c>
    </row>
    <row r="75" spans="2:19" s="114" customFormat="1" x14ac:dyDescent="0.4">
      <c r="B75" s="135" t="s">
        <v>546</v>
      </c>
      <c r="C75" s="136">
        <f t="shared" si="4"/>
        <v>649.44000000000005</v>
      </c>
      <c r="D75" s="136"/>
      <c r="E75" s="135"/>
      <c r="F75" s="136"/>
      <c r="H75" s="309"/>
      <c r="I75" s="135" t="str">
        <f t="shared" si="5"/>
        <v>VSD 2.2kW</v>
      </c>
      <c r="J75" s="303" t="s">
        <v>797</v>
      </c>
      <c r="K75" s="303"/>
      <c r="L75" s="307">
        <v>541.20000000000005</v>
      </c>
      <c r="M75" s="306">
        <f t="shared" si="6"/>
        <v>649.44000000000005</v>
      </c>
      <c r="N75" s="136">
        <v>750</v>
      </c>
      <c r="O75" s="296">
        <f t="shared" si="7"/>
        <v>0.38580931263858081</v>
      </c>
      <c r="P75" s="114" t="s">
        <v>781</v>
      </c>
      <c r="R75" s="114">
        <f t="shared" si="2"/>
        <v>0</v>
      </c>
      <c r="S75" s="114">
        <f t="shared" si="3"/>
        <v>0</v>
      </c>
    </row>
    <row r="76" spans="2:19" s="114" customFormat="1" x14ac:dyDescent="0.4">
      <c r="B76" s="135" t="s">
        <v>547</v>
      </c>
      <c r="C76" s="136">
        <f t="shared" si="4"/>
        <v>751.07999999999993</v>
      </c>
      <c r="D76" s="136"/>
      <c r="E76" s="135"/>
      <c r="F76" s="136"/>
      <c r="H76" s="309"/>
      <c r="I76" s="135" t="str">
        <f t="shared" si="5"/>
        <v>VSD 3kW</v>
      </c>
      <c r="J76" s="303" t="s">
        <v>799</v>
      </c>
      <c r="K76" s="303"/>
      <c r="L76" s="307">
        <v>625.9</v>
      </c>
      <c r="M76" s="306">
        <f t="shared" si="6"/>
        <v>751.07999999999993</v>
      </c>
      <c r="N76" s="136">
        <v>750</v>
      </c>
      <c r="O76" s="296">
        <f t="shared" si="7"/>
        <v>0.1982744847419716</v>
      </c>
      <c r="P76" s="114" t="s">
        <v>781</v>
      </c>
      <c r="R76" s="114">
        <f t="shared" si="2"/>
        <v>0</v>
      </c>
      <c r="S76" s="114">
        <f t="shared" si="3"/>
        <v>0</v>
      </c>
    </row>
    <row r="77" spans="2:19" s="114" customFormat="1" x14ac:dyDescent="0.4">
      <c r="B77" s="135" t="s">
        <v>549</v>
      </c>
      <c r="C77" s="136">
        <f t="shared" si="4"/>
        <v>865.92</v>
      </c>
      <c r="D77" s="136"/>
      <c r="E77" s="135"/>
      <c r="F77" s="136"/>
      <c r="H77" s="309"/>
      <c r="I77" s="135" t="str">
        <f t="shared" si="5"/>
        <v>VSD 5.5kW</v>
      </c>
      <c r="J77" s="303" t="s">
        <v>801</v>
      </c>
      <c r="K77" s="303"/>
      <c r="L77" s="307">
        <v>721.6</v>
      </c>
      <c r="M77" s="306">
        <f t="shared" si="6"/>
        <v>865.92</v>
      </c>
      <c r="N77" s="136">
        <v>750</v>
      </c>
      <c r="O77" s="296">
        <f t="shared" si="7"/>
        <v>3.9356984478935667E-2</v>
      </c>
      <c r="P77" s="114" t="s">
        <v>781</v>
      </c>
      <c r="R77" s="114">
        <f t="shared" si="2"/>
        <v>0</v>
      </c>
      <c r="S77" s="114">
        <f t="shared" si="3"/>
        <v>0</v>
      </c>
    </row>
    <row r="78" spans="2:19" s="114" customFormat="1" x14ac:dyDescent="0.4">
      <c r="B78" s="135" t="s">
        <v>548</v>
      </c>
      <c r="C78" s="136">
        <f t="shared" si="4"/>
        <v>971.52</v>
      </c>
      <c r="D78" s="136"/>
      <c r="E78" s="135"/>
      <c r="F78" s="136"/>
      <c r="H78" s="309"/>
      <c r="I78" s="135" t="str">
        <f t="shared" si="5"/>
        <v>VSD 7.5kW</v>
      </c>
      <c r="J78" s="303" t="s">
        <v>798</v>
      </c>
      <c r="K78" s="303"/>
      <c r="L78" s="307">
        <v>809.6</v>
      </c>
      <c r="M78" s="306">
        <f t="shared" si="6"/>
        <v>971.52</v>
      </c>
      <c r="N78" s="136">
        <v>750</v>
      </c>
      <c r="O78" s="296">
        <f t="shared" si="7"/>
        <v>7.3616600790513853E-2</v>
      </c>
      <c r="P78" s="114" t="s">
        <v>781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7"/>
      <c r="M79" s="306">
        <f t="shared" si="6"/>
        <v>4.5599999999999996</v>
      </c>
      <c r="N79" s="136">
        <v>3.8</v>
      </c>
      <c r="O79" s="296">
        <f t="shared" si="7"/>
        <v>0</v>
      </c>
      <c r="P79" t="s">
        <v>784</v>
      </c>
      <c r="R79" s="114">
        <f t="shared" si="2"/>
        <v>0</v>
      </c>
      <c r="S79" s="114">
        <f t="shared" si="3"/>
        <v>0</v>
      </c>
    </row>
    <row r="80" spans="2:19" x14ac:dyDescent="0.4">
      <c r="B80" s="52" t="s">
        <v>267</v>
      </c>
      <c r="C80" s="136">
        <f t="shared" si="4"/>
        <v>3.48</v>
      </c>
      <c r="D80" s="53"/>
      <c r="E80" s="52"/>
      <c r="F80" s="53"/>
      <c r="G80" s="32"/>
      <c r="I80" s="135" t="str">
        <f t="shared" si="5"/>
        <v>4mm Cable 3 core and Earth</v>
      </c>
      <c r="L80" s="307"/>
      <c r="M80" s="306">
        <f t="shared" si="6"/>
        <v>3.48</v>
      </c>
      <c r="N80" s="53">
        <v>2.9</v>
      </c>
      <c r="O80" s="296">
        <f t="shared" si="7"/>
        <v>0</v>
      </c>
      <c r="P80" s="114" t="s">
        <v>784</v>
      </c>
      <c r="R80" s="114">
        <f t="shared" si="2"/>
        <v>0</v>
      </c>
      <c r="S80" s="114">
        <f t="shared" si="3"/>
        <v>0</v>
      </c>
    </row>
    <row r="81" spans="2:19" s="32" customFormat="1" x14ac:dyDescent="0.4">
      <c r="B81" s="52" t="s">
        <v>420</v>
      </c>
      <c r="C81" s="136">
        <f t="shared" si="4"/>
        <v>0.33600000000000002</v>
      </c>
      <c r="D81" s="53"/>
      <c r="E81" s="52"/>
      <c r="F81" s="53"/>
      <c r="H81" s="309"/>
      <c r="I81" s="135" t="str">
        <f t="shared" si="5"/>
        <v>Switchboard Cable 1mm</v>
      </c>
      <c r="J81" s="303"/>
      <c r="K81" s="303"/>
      <c r="L81" s="307"/>
      <c r="M81" s="306">
        <f t="shared" si="6"/>
        <v>0.33600000000000002</v>
      </c>
      <c r="N81" s="53">
        <v>0.28000000000000003</v>
      </c>
      <c r="O81" s="296"/>
      <c r="P81" s="114" t="s">
        <v>784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7"/>
      <c r="M82" s="306">
        <f t="shared" si="6"/>
        <v>1.02</v>
      </c>
      <c r="N82" s="136">
        <v>0.85</v>
      </c>
      <c r="O82" s="296"/>
      <c r="P82" s="114" t="s">
        <v>784</v>
      </c>
      <c r="R82" s="114">
        <f t="shared" si="8"/>
        <v>0</v>
      </c>
      <c r="S82" s="114">
        <f t="shared" si="9"/>
        <v>0</v>
      </c>
    </row>
    <row r="83" spans="2:19" x14ac:dyDescent="0.4">
      <c r="B83" s="43" t="s">
        <v>269</v>
      </c>
      <c r="C83" s="136">
        <f t="shared" si="4"/>
        <v>1.056</v>
      </c>
      <c r="D83" s="44"/>
      <c r="E83" s="43"/>
      <c r="F83" s="44"/>
      <c r="G83" s="32"/>
      <c r="I83" s="135" t="str">
        <f t="shared" si="5"/>
        <v>7030 2 pair TCAS7302P</v>
      </c>
      <c r="L83" s="307"/>
      <c r="M83" s="306">
        <f t="shared" si="6"/>
        <v>1.056</v>
      </c>
      <c r="N83" s="136">
        <v>0.88</v>
      </c>
      <c r="O83" s="296"/>
      <c r="P83" s="114" t="s">
        <v>784</v>
      </c>
      <c r="R83" s="114">
        <f t="shared" si="8"/>
        <v>0</v>
      </c>
      <c r="S83" s="114">
        <f t="shared" si="9"/>
        <v>0</v>
      </c>
    </row>
    <row r="84" spans="2:19" s="32" customFormat="1" x14ac:dyDescent="0.4">
      <c r="B84" s="95" t="s">
        <v>375</v>
      </c>
      <c r="C84" s="136">
        <f t="shared" si="4"/>
        <v>0</v>
      </c>
      <c r="D84" s="44"/>
      <c r="E84" s="43"/>
      <c r="F84" s="44"/>
      <c r="H84" s="309"/>
      <c r="I84" s="135"/>
      <c r="J84" s="303"/>
      <c r="K84" s="303"/>
      <c r="L84" s="307"/>
      <c r="M84" s="306">
        <f t="shared" si="6"/>
        <v>0</v>
      </c>
      <c r="N84" s="136"/>
      <c r="O84" s="296"/>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7"/>
      <c r="M85" s="306">
        <f t="shared" si="6"/>
        <v>5.7960000000000003</v>
      </c>
      <c r="N85" s="136">
        <v>4.83</v>
      </c>
      <c r="O85" s="296"/>
      <c r="P85" s="114" t="s">
        <v>784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7"/>
      <c r="M86" s="306">
        <f t="shared" si="6"/>
        <v>3.972</v>
      </c>
      <c r="N86" s="136">
        <v>3.31</v>
      </c>
      <c r="O86" s="296"/>
      <c r="P86" s="114" t="s">
        <v>784</v>
      </c>
      <c r="R86" s="114">
        <f t="shared" si="8"/>
        <v>0</v>
      </c>
      <c r="S86" s="114">
        <f t="shared" si="9"/>
        <v>0</v>
      </c>
    </row>
    <row r="87" spans="2:19" s="32" customFormat="1" x14ac:dyDescent="0.4">
      <c r="B87" s="43" t="s">
        <v>362</v>
      </c>
      <c r="C87" s="136">
        <f t="shared" si="4"/>
        <v>2.4</v>
      </c>
      <c r="D87" s="44"/>
      <c r="E87" s="43"/>
      <c r="F87" s="44"/>
      <c r="H87" s="309"/>
      <c r="I87" s="135" t="str">
        <f t="shared" si="5"/>
        <v>Network cable</v>
      </c>
      <c r="J87" s="303"/>
      <c r="K87" s="303"/>
      <c r="L87" s="307"/>
      <c r="M87" s="306">
        <f t="shared" si="6"/>
        <v>2.4</v>
      </c>
      <c r="N87" s="151">
        <v>2</v>
      </c>
      <c r="O87" s="296"/>
      <c r="P87" s="114" t="s">
        <v>784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7"/>
      <c r="M88" s="306">
        <f t="shared" si="6"/>
        <v>0.624</v>
      </c>
      <c r="N88" s="136">
        <v>0.52</v>
      </c>
      <c r="O88" s="296"/>
      <c r="P88" t="s">
        <v>785</v>
      </c>
      <c r="R88" s="114">
        <f t="shared" si="8"/>
        <v>0</v>
      </c>
      <c r="S88" s="114">
        <f t="shared" si="9"/>
        <v>0</v>
      </c>
    </row>
    <row r="89" spans="2:19" x14ac:dyDescent="0.4">
      <c r="B89" s="43" t="s">
        <v>441</v>
      </c>
      <c r="C89" s="136">
        <f t="shared" si="4"/>
        <v>0.6</v>
      </c>
      <c r="D89" s="44"/>
      <c r="E89" s="43"/>
      <c r="F89" s="44"/>
      <c r="G89" s="32"/>
      <c r="H89" s="309" t="s">
        <v>788</v>
      </c>
      <c r="I89" s="135" t="str">
        <f t="shared" si="5"/>
        <v>Hardware Misc Screws etc per m of cable</v>
      </c>
      <c r="L89" s="307"/>
      <c r="M89" s="306">
        <f t="shared" si="6"/>
        <v>0.6</v>
      </c>
      <c r="N89" s="136">
        <v>0.5</v>
      </c>
      <c r="O89" s="296"/>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774</v>
      </c>
      <c r="L90" s="307"/>
      <c r="M90" s="306">
        <f t="shared" si="6"/>
        <v>307.2</v>
      </c>
      <c r="N90" s="151">
        <v>256</v>
      </c>
      <c r="O90" s="296"/>
      <c r="P90" s="114" t="s">
        <v>781</v>
      </c>
      <c r="R90" s="114">
        <f t="shared" si="8"/>
        <v>0</v>
      </c>
      <c r="S90" s="114">
        <f t="shared" si="9"/>
        <v>0</v>
      </c>
    </row>
    <row r="91" spans="2:19" s="32" customFormat="1" x14ac:dyDescent="0.4">
      <c r="B91" s="95" t="s">
        <v>421</v>
      </c>
      <c r="C91" s="136">
        <f t="shared" si="4"/>
        <v>960</v>
      </c>
      <c r="D91" s="44"/>
      <c r="E91" s="43"/>
      <c r="F91" s="44"/>
      <c r="H91" s="309"/>
      <c r="I91" s="135" t="str">
        <f t="shared" si="5"/>
        <v>Mech thermostat control relay, control relay, enclosure, terminals etc.</v>
      </c>
      <c r="J91" s="114" t="s">
        <v>774</v>
      </c>
      <c r="K91" s="303"/>
      <c r="L91" s="307"/>
      <c r="M91" s="306">
        <f t="shared" si="6"/>
        <v>960</v>
      </c>
      <c r="N91" s="151">
        <v>800</v>
      </c>
      <c r="O91" s="296"/>
      <c r="P91" s="114" t="s">
        <v>781</v>
      </c>
      <c r="R91" s="114">
        <f t="shared" si="8"/>
        <v>0</v>
      </c>
      <c r="S91" s="114">
        <f t="shared" si="9"/>
        <v>0</v>
      </c>
    </row>
    <row r="92" spans="2:19" x14ac:dyDescent="0.4">
      <c r="B92" s="43" t="s">
        <v>274</v>
      </c>
      <c r="C92" s="136">
        <f t="shared" si="4"/>
        <v>360</v>
      </c>
      <c r="D92" s="44"/>
      <c r="E92" s="43"/>
      <c r="F92" s="44"/>
      <c r="G92" s="32"/>
      <c r="I92" s="135" t="str">
        <f t="shared" si="5"/>
        <v>trefolite</v>
      </c>
      <c r="L92" s="307">
        <v>300</v>
      </c>
      <c r="M92" s="306">
        <f t="shared" si="6"/>
        <v>360</v>
      </c>
      <c r="N92" s="99">
        <v>50</v>
      </c>
      <c r="O92" s="296">
        <f t="shared" si="7"/>
        <v>0.83333333333333337</v>
      </c>
      <c r="R92" s="114">
        <f t="shared" si="8"/>
        <v>0</v>
      </c>
      <c r="S92" s="114">
        <f t="shared" si="9"/>
        <v>0</v>
      </c>
    </row>
    <row r="93" spans="2:19" x14ac:dyDescent="0.4">
      <c r="B93" s="43" t="s">
        <v>275</v>
      </c>
      <c r="C93" s="136">
        <f t="shared" si="4"/>
        <v>420</v>
      </c>
      <c r="D93" s="44"/>
      <c r="E93" s="43"/>
      <c r="F93" s="44"/>
      <c r="G93" s="32"/>
      <c r="H93" s="309" t="s">
        <v>788</v>
      </c>
      <c r="I93" s="135" t="str">
        <f t="shared" si="5"/>
        <v>Wall plates (on off or 2 speed)</v>
      </c>
      <c r="L93" s="306"/>
      <c r="M93" s="306">
        <f t="shared" si="6"/>
        <v>420</v>
      </c>
      <c r="N93" s="136">
        <v>350</v>
      </c>
      <c r="O93" s="296"/>
      <c r="R93" s="114" t="str">
        <f t="shared" si="8"/>
        <v>Wall plates (on off or 2 speed)</v>
      </c>
      <c r="S93" s="114">
        <f t="shared" si="9"/>
        <v>350</v>
      </c>
    </row>
    <row r="94" spans="2:19" x14ac:dyDescent="0.4">
      <c r="B94" s="43" t="s">
        <v>276</v>
      </c>
      <c r="C94" s="136">
        <f t="shared" si="4"/>
        <v>6000</v>
      </c>
      <c r="D94" s="44"/>
      <c r="E94" s="43"/>
      <c r="F94" s="44"/>
      <c r="G94" s="32"/>
      <c r="H94" s="309" t="s">
        <v>788</v>
      </c>
      <c r="I94" s="135" t="str">
        <f t="shared" si="5"/>
        <v>PC Amt stuff</v>
      </c>
      <c r="L94" s="306"/>
      <c r="M94" s="306">
        <f t="shared" si="6"/>
        <v>6000</v>
      </c>
      <c r="N94" s="136">
        <v>5000</v>
      </c>
      <c r="O94" s="296"/>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303" t="s">
        <v>776</v>
      </c>
      <c r="K95" s="303" t="s">
        <v>771</v>
      </c>
      <c r="L95" s="306">
        <f>1.5 + 56.45</f>
        <v>57.95</v>
      </c>
      <c r="M95" s="306">
        <f t="shared" si="6"/>
        <v>69.540000000000006</v>
      </c>
      <c r="N95" s="99">
        <v>45</v>
      </c>
      <c r="O95" s="296">
        <f t="shared" si="7"/>
        <v>0.22346850733390858</v>
      </c>
      <c r="R95" s="114">
        <f t="shared" si="8"/>
        <v>0</v>
      </c>
      <c r="S95" s="114">
        <f t="shared" si="9"/>
        <v>0</v>
      </c>
    </row>
    <row r="96" spans="2:19" x14ac:dyDescent="0.4">
      <c r="B96" s="49" t="s">
        <v>278</v>
      </c>
      <c r="C96" s="136">
        <f t="shared" si="4"/>
        <v>36</v>
      </c>
      <c r="D96" s="44"/>
      <c r="E96" s="49"/>
      <c r="F96" s="44"/>
      <c r="G96" s="48"/>
      <c r="H96" s="309" t="s">
        <v>788</v>
      </c>
      <c r="I96" s="135" t="str">
        <f t="shared" si="5"/>
        <v>003 Keyed Padlocks</v>
      </c>
      <c r="L96" s="306"/>
      <c r="M96" s="306">
        <f t="shared" si="6"/>
        <v>36</v>
      </c>
      <c r="N96" s="136">
        <v>30</v>
      </c>
      <c r="O96" s="296"/>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304"/>
      <c r="K97" s="304"/>
      <c r="L97" s="308"/>
      <c r="M97" s="306">
        <f t="shared" si="6"/>
        <v>27.599999999999998</v>
      </c>
      <c r="N97" s="53">
        <v>23</v>
      </c>
      <c r="O97" s="296"/>
      <c r="P97" t="s">
        <v>785</v>
      </c>
      <c r="R97" s="114">
        <f t="shared" si="8"/>
        <v>0</v>
      </c>
      <c r="S97" s="114">
        <f t="shared" si="9"/>
        <v>0</v>
      </c>
    </row>
    <row r="98" spans="2:19" s="32" customFormat="1" x14ac:dyDescent="0.4">
      <c r="B98" s="49" t="s">
        <v>432</v>
      </c>
      <c r="C98" s="136">
        <f t="shared" si="4"/>
        <v>21.599999999999998</v>
      </c>
      <c r="D98" s="53"/>
      <c r="E98" s="49"/>
      <c r="F98" s="53"/>
      <c r="G98" s="48"/>
      <c r="H98" s="309"/>
      <c r="I98" s="135" t="str">
        <f t="shared" si="5"/>
        <v>Cable Tray 80mm wide 2.4mtr</v>
      </c>
      <c r="J98" s="304"/>
      <c r="K98" s="304"/>
      <c r="L98" s="308"/>
      <c r="M98" s="306">
        <f t="shared" si="6"/>
        <v>21.599999999999998</v>
      </c>
      <c r="N98" s="53">
        <v>18</v>
      </c>
      <c r="O98" s="296"/>
      <c r="P98" s="114" t="s">
        <v>785</v>
      </c>
      <c r="R98" s="114">
        <f t="shared" si="8"/>
        <v>0</v>
      </c>
      <c r="S98" s="114">
        <f t="shared" si="9"/>
        <v>0</v>
      </c>
    </row>
    <row r="99" spans="2:19" s="32" customFormat="1" x14ac:dyDescent="0.4">
      <c r="B99" s="49" t="s">
        <v>437</v>
      </c>
      <c r="C99" s="136">
        <f t="shared" si="4"/>
        <v>11.700000000000001</v>
      </c>
      <c r="D99" s="53"/>
      <c r="E99" s="49"/>
      <c r="F99" s="53"/>
      <c r="G99" s="48"/>
      <c r="H99" s="309"/>
      <c r="I99" s="135" t="str">
        <f t="shared" si="5"/>
        <v>Cable Tray 80mm wide per metre</v>
      </c>
      <c r="J99" s="304"/>
      <c r="K99" s="304"/>
      <c r="L99" s="308"/>
      <c r="M99" s="306">
        <f t="shared" si="6"/>
        <v>11.700000000000001</v>
      </c>
      <c r="N99" s="53">
        <f>1.3*N98/2.4</f>
        <v>9.7500000000000018</v>
      </c>
      <c r="O99" s="296"/>
      <c r="P99" s="114" t="s">
        <v>785</v>
      </c>
      <c r="R99" s="114">
        <f t="shared" si="8"/>
        <v>0</v>
      </c>
      <c r="S99" s="114">
        <f t="shared" si="9"/>
        <v>0</v>
      </c>
    </row>
    <row r="100" spans="2:19" s="32" customFormat="1" x14ac:dyDescent="0.4">
      <c r="B100" s="49" t="s">
        <v>433</v>
      </c>
      <c r="C100" s="136">
        <f t="shared" si="4"/>
        <v>216</v>
      </c>
      <c r="D100" s="53"/>
      <c r="E100" s="49"/>
      <c r="F100" s="53"/>
      <c r="G100" s="48"/>
      <c r="H100" s="309"/>
      <c r="I100" s="135" t="str">
        <f t="shared" si="5"/>
        <v>Ladder Tray 300mm wid 2.4mtr</v>
      </c>
      <c r="J100" s="304"/>
      <c r="K100" s="304"/>
      <c r="L100" s="308"/>
      <c r="M100" s="306">
        <f t="shared" si="6"/>
        <v>216</v>
      </c>
      <c r="N100" s="53">
        <v>180</v>
      </c>
      <c r="O100" s="296"/>
      <c r="P100" s="114" t="s">
        <v>785</v>
      </c>
      <c r="R100" s="114">
        <f t="shared" si="8"/>
        <v>0</v>
      </c>
      <c r="S100" s="114">
        <f t="shared" si="9"/>
        <v>0</v>
      </c>
    </row>
    <row r="101" spans="2:19" s="32" customFormat="1" x14ac:dyDescent="0.4">
      <c r="B101" s="49" t="s">
        <v>434</v>
      </c>
      <c r="C101" s="136">
        <f t="shared" si="4"/>
        <v>117</v>
      </c>
      <c r="D101" s="53"/>
      <c r="E101" s="49"/>
      <c r="F101" s="53"/>
      <c r="G101" s="48"/>
      <c r="H101" s="309"/>
      <c r="I101" s="135" t="str">
        <f t="shared" si="5"/>
        <v>Ladder Tray 300mm wid  per metre</v>
      </c>
      <c r="J101" s="304"/>
      <c r="K101" s="304"/>
      <c r="L101" s="308"/>
      <c r="M101" s="306">
        <f t="shared" si="6"/>
        <v>117</v>
      </c>
      <c r="N101" s="53">
        <f>1.3*N100/2.4</f>
        <v>97.5</v>
      </c>
      <c r="O101" s="296"/>
      <c r="P101" s="114" t="s">
        <v>785</v>
      </c>
      <c r="R101" s="114">
        <f t="shared" si="8"/>
        <v>0</v>
      </c>
      <c r="S101" s="114">
        <f t="shared" si="9"/>
        <v>0</v>
      </c>
    </row>
    <row r="102" spans="2:19" s="32" customFormat="1" x14ac:dyDescent="0.4">
      <c r="B102" s="49" t="s">
        <v>438</v>
      </c>
      <c r="C102" s="136">
        <f t="shared" si="4"/>
        <v>1.2</v>
      </c>
      <c r="D102" s="53"/>
      <c r="E102" s="49"/>
      <c r="F102" s="53"/>
      <c r="G102" s="48"/>
      <c r="H102" s="309"/>
      <c r="I102" s="135" t="str">
        <f t="shared" si="5"/>
        <v>Catenery/Conduit per metre</v>
      </c>
      <c r="J102" s="304"/>
      <c r="K102" s="304"/>
      <c r="L102" s="308"/>
      <c r="M102" s="306">
        <f t="shared" si="6"/>
        <v>1.2</v>
      </c>
      <c r="N102" s="53">
        <v>1</v>
      </c>
      <c r="O102" s="296"/>
      <c r="P102" s="114" t="s">
        <v>785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304" t="s">
        <v>765</v>
      </c>
      <c r="K103" s="304" t="s">
        <v>764</v>
      </c>
      <c r="L103" s="308">
        <f>2*8</f>
        <v>16</v>
      </c>
      <c r="M103" s="306">
        <f t="shared" si="6"/>
        <v>19.2</v>
      </c>
      <c r="N103" s="151">
        <v>30</v>
      </c>
      <c r="O103" s="296">
        <f t="shared" si="7"/>
        <v>0.875</v>
      </c>
      <c r="R103" s="114">
        <f t="shared" si="8"/>
        <v>0</v>
      </c>
      <c r="S103" s="114">
        <f t="shared" si="9"/>
        <v>0</v>
      </c>
    </row>
    <row r="104" spans="2:19" s="32" customFormat="1" x14ac:dyDescent="0.4">
      <c r="B104" s="43" t="s">
        <v>321</v>
      </c>
      <c r="C104" s="136">
        <f t="shared" si="4"/>
        <v>120</v>
      </c>
      <c r="D104" s="44"/>
      <c r="E104" s="43"/>
      <c r="F104" s="44"/>
      <c r="H104" s="309" t="s">
        <v>788</v>
      </c>
      <c r="I104" s="135" t="str">
        <f t="shared" si="5"/>
        <v>Stair press sensor</v>
      </c>
      <c r="J104" s="303"/>
      <c r="K104" s="303"/>
      <c r="L104" s="306"/>
      <c r="M104" s="306">
        <f t="shared" si="6"/>
        <v>120</v>
      </c>
      <c r="N104" s="136">
        <v>100</v>
      </c>
      <c r="O104" s="296"/>
      <c r="R104" s="114" t="str">
        <f t="shared" si="8"/>
        <v>Stair press sensor</v>
      </c>
      <c r="S104" s="114">
        <f t="shared" si="9"/>
        <v>100</v>
      </c>
    </row>
    <row r="105" spans="2:19" s="32" customFormat="1" x14ac:dyDescent="0.4">
      <c r="B105" s="43" t="s">
        <v>322</v>
      </c>
      <c r="C105" s="136">
        <f t="shared" si="4"/>
        <v>0</v>
      </c>
      <c r="D105" s="44"/>
      <c r="E105" s="43"/>
      <c r="F105" s="44"/>
      <c r="H105" s="309"/>
      <c r="I105" s="135"/>
      <c r="J105" s="303"/>
      <c r="K105" s="303"/>
      <c r="L105" s="306"/>
      <c r="M105" s="306">
        <f t="shared" si="6"/>
        <v>0</v>
      </c>
      <c r="N105" s="136"/>
      <c r="O105" s="296"/>
      <c r="R105" s="114">
        <f t="shared" si="8"/>
        <v>0</v>
      </c>
      <c r="S105" s="114">
        <f t="shared" si="9"/>
        <v>0</v>
      </c>
    </row>
    <row r="106" spans="2:19" s="32" customFormat="1" x14ac:dyDescent="0.4">
      <c r="B106" s="43" t="s">
        <v>323</v>
      </c>
      <c r="C106" s="136">
        <f t="shared" si="4"/>
        <v>60</v>
      </c>
      <c r="D106" s="44"/>
      <c r="E106" s="43"/>
      <c r="F106" s="44"/>
      <c r="H106" s="309" t="s">
        <v>788</v>
      </c>
      <c r="I106" s="135" t="str">
        <f t="shared" si="5"/>
        <v>Air Pressure switch</v>
      </c>
      <c r="J106" s="303"/>
      <c r="K106" s="303"/>
      <c r="L106" s="306"/>
      <c r="M106" s="306">
        <f t="shared" si="6"/>
        <v>60</v>
      </c>
      <c r="N106" s="151">
        <v>50</v>
      </c>
      <c r="O106" s="296"/>
      <c r="R106" s="114" t="str">
        <f t="shared" si="8"/>
        <v>Air Pressure switch</v>
      </c>
      <c r="S106" s="114">
        <f t="shared" si="9"/>
        <v>50</v>
      </c>
    </row>
    <row r="107" spans="2:19" s="32" customFormat="1" x14ac:dyDescent="0.4">
      <c r="B107" s="13" t="s">
        <v>334</v>
      </c>
      <c r="C107" s="136">
        <f t="shared" si="4"/>
        <v>127.19999999999999</v>
      </c>
      <c r="D107" s="44"/>
      <c r="E107" s="43"/>
      <c r="F107" s="44"/>
      <c r="H107" s="309"/>
      <c r="I107" s="135" t="str">
        <f t="shared" si="5"/>
        <v>Strobe-alarm</v>
      </c>
      <c r="J107" s="303" t="s">
        <v>787</v>
      </c>
      <c r="K107" s="303" t="s">
        <v>786</v>
      </c>
      <c r="L107" s="306">
        <v>106</v>
      </c>
      <c r="M107" s="306">
        <f t="shared" si="6"/>
        <v>127.19999999999999</v>
      </c>
      <c r="N107" s="151">
        <v>100</v>
      </c>
      <c r="O107" s="296">
        <f t="shared" si="7"/>
        <v>5.6603773584905662E-2</v>
      </c>
      <c r="R107" s="114">
        <f t="shared" si="8"/>
        <v>0</v>
      </c>
      <c r="S107" s="114">
        <f t="shared" si="9"/>
        <v>0</v>
      </c>
    </row>
    <row r="108" spans="2:19" s="32" customFormat="1" x14ac:dyDescent="0.4">
      <c r="B108" s="43" t="s">
        <v>324</v>
      </c>
      <c r="C108" s="136">
        <f t="shared" si="4"/>
        <v>48</v>
      </c>
      <c r="D108" s="44"/>
      <c r="E108" s="43"/>
      <c r="F108" s="44"/>
      <c r="H108" s="309" t="s">
        <v>788</v>
      </c>
      <c r="I108" s="135" t="str">
        <f t="shared" si="5"/>
        <v>Interface for fire trade fan control</v>
      </c>
      <c r="J108" s="303"/>
      <c r="K108" s="303"/>
      <c r="L108" s="306"/>
      <c r="M108" s="306">
        <f t="shared" si="6"/>
        <v>48</v>
      </c>
      <c r="N108" s="136">
        <v>40</v>
      </c>
      <c r="O108" s="296"/>
      <c r="R108" s="114" t="str">
        <f t="shared" si="8"/>
        <v>Interface for fire trade fan control</v>
      </c>
      <c r="S108" s="114">
        <f t="shared" si="9"/>
        <v>40</v>
      </c>
    </row>
    <row r="109" spans="2:19" s="32" customFormat="1" x14ac:dyDescent="0.4">
      <c r="B109" s="43" t="s">
        <v>328</v>
      </c>
      <c r="C109" s="136">
        <f t="shared" si="4"/>
        <v>29.04</v>
      </c>
      <c r="D109" s="44"/>
      <c r="E109" s="43"/>
      <c r="F109" s="44"/>
      <c r="H109" s="309"/>
      <c r="I109" s="135" t="str">
        <f t="shared" si="5"/>
        <v>Fire Relay</v>
      </c>
      <c r="J109" s="303" t="str">
        <f>J110</f>
        <v>882DC24SLS or 882DC12SLS</v>
      </c>
      <c r="K109" s="303" t="str">
        <f t="shared" ref="K109:L109" si="10">K110</f>
        <v>B30</v>
      </c>
      <c r="L109" s="303">
        <f t="shared" si="10"/>
        <v>24.2</v>
      </c>
      <c r="M109" s="306">
        <f t="shared" si="6"/>
        <v>29.04</v>
      </c>
      <c r="N109" s="151">
        <v>30</v>
      </c>
      <c r="O109" s="296">
        <f t="shared" si="7"/>
        <v>0.23966942148760334</v>
      </c>
      <c r="R109" s="114">
        <f t="shared" si="8"/>
        <v>0</v>
      </c>
      <c r="S109" s="114">
        <f t="shared" si="9"/>
        <v>0</v>
      </c>
    </row>
    <row r="110" spans="2:19" s="114" customFormat="1" x14ac:dyDescent="0.4">
      <c r="B110" s="135" t="s">
        <v>700</v>
      </c>
      <c r="C110" s="136">
        <f t="shared" si="4"/>
        <v>29.04</v>
      </c>
      <c r="D110" s="136"/>
      <c r="E110" s="135"/>
      <c r="F110" s="136"/>
      <c r="H110" s="309"/>
      <c r="I110" s="135" t="str">
        <f t="shared" si="5"/>
        <v>General Relay</v>
      </c>
      <c r="J110" s="303" t="s">
        <v>779</v>
      </c>
      <c r="K110" s="303" t="s">
        <v>778</v>
      </c>
      <c r="L110" s="306">
        <v>24.2</v>
      </c>
      <c r="M110" s="306">
        <f t="shared" si="6"/>
        <v>29.04</v>
      </c>
      <c r="N110" s="151">
        <v>30</v>
      </c>
      <c r="O110" s="296">
        <f t="shared" si="7"/>
        <v>0.23966942148760334</v>
      </c>
      <c r="R110" s="114">
        <f t="shared" si="8"/>
        <v>0</v>
      </c>
      <c r="S110" s="114">
        <f t="shared" si="9"/>
        <v>0</v>
      </c>
    </row>
    <row r="111" spans="2:19" s="32" customFormat="1" x14ac:dyDescent="0.4">
      <c r="B111" s="43" t="s">
        <v>335</v>
      </c>
      <c r="C111" s="136">
        <f t="shared" si="4"/>
        <v>60</v>
      </c>
      <c r="D111" s="44"/>
      <c r="E111" s="43"/>
      <c r="F111" s="44"/>
      <c r="H111" s="309" t="s">
        <v>788</v>
      </c>
      <c r="I111" s="135" t="str">
        <f t="shared" si="5"/>
        <v>Control box - Plastic</v>
      </c>
      <c r="J111" s="303"/>
      <c r="K111" s="303"/>
      <c r="L111" s="306"/>
      <c r="M111" s="306">
        <f t="shared" si="6"/>
        <v>60</v>
      </c>
      <c r="N111" s="136">
        <v>50</v>
      </c>
      <c r="O111" s="296"/>
      <c r="R111" s="114" t="str">
        <f t="shared" si="8"/>
        <v>Control box - Plastic</v>
      </c>
      <c r="S111" s="114">
        <f t="shared" si="9"/>
        <v>50</v>
      </c>
    </row>
    <row r="112" spans="2:19" s="114" customFormat="1" x14ac:dyDescent="0.4">
      <c r="B112" s="135" t="s">
        <v>672</v>
      </c>
      <c r="C112" s="136">
        <f t="shared" ref="C112:C123" si="11">M112</f>
        <v>60</v>
      </c>
      <c r="D112" s="136"/>
      <c r="E112" s="135"/>
      <c r="F112" s="136"/>
      <c r="H112" s="309" t="s">
        <v>788</v>
      </c>
      <c r="I112" s="135" t="str">
        <f t="shared" si="5"/>
        <v>Reed Switch</v>
      </c>
      <c r="J112" s="303"/>
      <c r="K112" s="303"/>
      <c r="L112" s="306"/>
      <c r="M112" s="306">
        <f t="shared" si="6"/>
        <v>60</v>
      </c>
      <c r="N112" s="136">
        <v>50</v>
      </c>
      <c r="O112" s="296"/>
      <c r="R112" s="114" t="str">
        <f t="shared" si="8"/>
        <v>Reed Switch</v>
      </c>
      <c r="S112" s="114">
        <f t="shared" si="9"/>
        <v>50</v>
      </c>
    </row>
    <row r="113" spans="2:19" s="32" customFormat="1" x14ac:dyDescent="0.4">
      <c r="B113" s="43" t="s">
        <v>336</v>
      </c>
      <c r="C113" s="136">
        <f t="shared" si="11"/>
        <v>56.4</v>
      </c>
      <c r="D113" s="44"/>
      <c r="E113" s="43"/>
      <c r="F113" s="44"/>
      <c r="G113" s="32">
        <f>400*1.35</f>
        <v>540</v>
      </c>
      <c r="H113" s="309"/>
      <c r="I113" s="135" t="str">
        <f t="shared" ref="I113:I124" si="12">B113</f>
        <v>Controls transformer</v>
      </c>
      <c r="J113" s="303" t="s">
        <v>762</v>
      </c>
      <c r="K113" s="303" t="s">
        <v>763</v>
      </c>
      <c r="L113" s="306">
        <v>47</v>
      </c>
      <c r="M113" s="306">
        <f t="shared" ref="M113:M124" si="13">IF(L113=0,N113,L113)*(1+$E$2)</f>
        <v>56.4</v>
      </c>
      <c r="N113" s="136">
        <v>50</v>
      </c>
      <c r="O113" s="296">
        <f t="shared" si="7"/>
        <v>6.3829787234042548E-2</v>
      </c>
      <c r="R113" s="114">
        <f t="shared" si="8"/>
        <v>0</v>
      </c>
      <c r="S113" s="114">
        <f t="shared" si="9"/>
        <v>0</v>
      </c>
    </row>
    <row r="114" spans="2:19" s="114" customFormat="1" x14ac:dyDescent="0.4">
      <c r="B114" s="135" t="s">
        <v>464</v>
      </c>
      <c r="C114" s="136">
        <f t="shared" si="11"/>
        <v>420</v>
      </c>
      <c r="D114" s="136"/>
      <c r="E114" s="135"/>
      <c r="F114" s="136"/>
      <c r="G114" s="114">
        <f>G113/4</f>
        <v>135</v>
      </c>
      <c r="H114" s="309" t="s">
        <v>788</v>
      </c>
      <c r="I114" s="135" t="str">
        <f t="shared" si="12"/>
        <v>Stainless switchplate - 4 switches</v>
      </c>
      <c r="J114" s="303"/>
      <c r="K114" s="303"/>
      <c r="L114" s="306"/>
      <c r="M114" s="306">
        <f t="shared" si="13"/>
        <v>420</v>
      </c>
      <c r="N114" s="136">
        <v>350</v>
      </c>
      <c r="O114" s="296"/>
      <c r="R114" s="114" t="str">
        <f t="shared" si="8"/>
        <v>Stainless switchplate - 4 switches</v>
      </c>
      <c r="S114" s="114">
        <f t="shared" si="9"/>
        <v>350</v>
      </c>
    </row>
    <row r="115" spans="2:19" s="114" customFormat="1" x14ac:dyDescent="0.4">
      <c r="B115" s="135" t="s">
        <v>462</v>
      </c>
      <c r="C115" s="136">
        <f t="shared" si="11"/>
        <v>11.46</v>
      </c>
      <c r="D115" s="136"/>
      <c r="E115" s="135"/>
      <c r="F115" s="136"/>
      <c r="H115" s="309"/>
      <c r="I115" s="135" t="str">
        <f t="shared" si="12"/>
        <v>push button switch</v>
      </c>
      <c r="J115" s="303" t="s">
        <v>775</v>
      </c>
      <c r="K115" s="303" t="s">
        <v>777</v>
      </c>
      <c r="L115" s="306">
        <v>9.5500000000000007</v>
      </c>
      <c r="M115" s="306">
        <f t="shared" si="13"/>
        <v>11.46</v>
      </c>
      <c r="N115" s="136">
        <v>30</v>
      </c>
      <c r="O115" s="296">
        <f t="shared" ref="O115:O124" si="14">IF(L115=0,0,ABS(L115-N115)/L115)</f>
        <v>2.1413612565445024</v>
      </c>
      <c r="R115" s="114">
        <f t="shared" si="8"/>
        <v>0</v>
      </c>
      <c r="S115" s="114">
        <f t="shared" si="9"/>
        <v>0</v>
      </c>
    </row>
    <row r="116" spans="2:19" s="114" customFormat="1" x14ac:dyDescent="0.4">
      <c r="B116" s="135" t="s">
        <v>463</v>
      </c>
      <c r="C116" s="136">
        <f t="shared" si="11"/>
        <v>36</v>
      </c>
      <c r="D116" s="136"/>
      <c r="E116" s="135"/>
      <c r="F116" s="136"/>
      <c r="H116" s="309" t="s">
        <v>788</v>
      </c>
      <c r="I116" s="135" t="str">
        <f t="shared" si="12"/>
        <v>speed control dial</v>
      </c>
      <c r="J116" s="303"/>
      <c r="K116" s="303"/>
      <c r="L116" s="306"/>
      <c r="M116" s="306">
        <f t="shared" si="13"/>
        <v>36</v>
      </c>
      <c r="N116" s="136">
        <v>30</v>
      </c>
      <c r="O116" s="296"/>
      <c r="R116" s="114" t="str">
        <f t="shared" si="8"/>
        <v>speed control dial</v>
      </c>
      <c r="S116" s="114">
        <f t="shared" si="9"/>
        <v>30</v>
      </c>
    </row>
    <row r="117" spans="2:19" s="114" customFormat="1" x14ac:dyDescent="0.4">
      <c r="B117" s="135" t="s">
        <v>478</v>
      </c>
      <c r="C117" s="136">
        <f t="shared" si="11"/>
        <v>60</v>
      </c>
      <c r="D117" s="136"/>
      <c r="E117" s="135"/>
      <c r="F117" s="136"/>
      <c r="H117" s="309" t="s">
        <v>788</v>
      </c>
      <c r="I117" s="135" t="str">
        <f t="shared" si="12"/>
        <v>SSR ( 1 phase)</v>
      </c>
      <c r="J117" s="303"/>
      <c r="K117" s="303"/>
      <c r="L117" s="306"/>
      <c r="M117" s="306">
        <f t="shared" si="13"/>
        <v>60</v>
      </c>
      <c r="N117" s="136">
        <v>50</v>
      </c>
      <c r="O117" s="296"/>
      <c r="P117" s="114" t="s">
        <v>759</v>
      </c>
      <c r="R117" s="114" t="str">
        <f t="shared" si="8"/>
        <v>SSR ( 1 phase)</v>
      </c>
      <c r="S117" s="114">
        <f t="shared" si="9"/>
        <v>50</v>
      </c>
    </row>
    <row r="118" spans="2:19" s="114" customFormat="1" x14ac:dyDescent="0.4">
      <c r="B118" s="135" t="s">
        <v>479</v>
      </c>
      <c r="C118" s="136">
        <f t="shared" si="11"/>
        <v>324</v>
      </c>
      <c r="D118" s="136"/>
      <c r="E118" s="135"/>
      <c r="F118" s="136"/>
      <c r="H118" s="309" t="s">
        <v>788</v>
      </c>
      <c r="I118" s="135" t="str">
        <f t="shared" si="12"/>
        <v>SSR (3 phase)</v>
      </c>
      <c r="J118" s="303"/>
      <c r="K118" s="303"/>
      <c r="L118" s="306"/>
      <c r="M118" s="306">
        <f t="shared" si="13"/>
        <v>324</v>
      </c>
      <c r="N118" s="136">
        <v>270</v>
      </c>
      <c r="O118" s="296"/>
      <c r="P118" s="114" t="s">
        <v>759</v>
      </c>
      <c r="R118" s="114" t="str">
        <f t="shared" si="8"/>
        <v>SSR (3 phase)</v>
      </c>
      <c r="S118" s="114">
        <f t="shared" si="9"/>
        <v>270</v>
      </c>
    </row>
    <row r="119" spans="2:19" s="114" customFormat="1" x14ac:dyDescent="0.4">
      <c r="B119" s="135" t="s">
        <v>591</v>
      </c>
      <c r="C119" s="136">
        <f t="shared" si="11"/>
        <v>96</v>
      </c>
      <c r="D119" s="136"/>
      <c r="E119" s="135"/>
      <c r="F119" s="136"/>
      <c r="H119" s="309" t="s">
        <v>788</v>
      </c>
      <c r="I119" s="135" t="str">
        <f t="shared" si="12"/>
        <v>Programable Timeclock controller</v>
      </c>
      <c r="J119" s="303"/>
      <c r="K119" s="303"/>
      <c r="L119" s="306"/>
      <c r="M119" s="306">
        <f t="shared" si="13"/>
        <v>96</v>
      </c>
      <c r="N119" s="136">
        <v>80</v>
      </c>
      <c r="O119" s="296"/>
      <c r="R119" s="114" t="str">
        <f t="shared" si="8"/>
        <v>Programable Timeclock controller</v>
      </c>
      <c r="S119" s="114">
        <f t="shared" si="9"/>
        <v>80</v>
      </c>
    </row>
    <row r="120" spans="2:19" s="114" customFormat="1" x14ac:dyDescent="0.4">
      <c r="B120" s="135" t="s">
        <v>703</v>
      </c>
      <c r="C120" s="136">
        <f t="shared" si="11"/>
        <v>60</v>
      </c>
      <c r="D120" s="136"/>
      <c r="E120" s="135"/>
      <c r="F120" s="136"/>
      <c r="H120" s="309" t="s">
        <v>788</v>
      </c>
      <c r="I120" s="135" t="str">
        <f t="shared" si="12"/>
        <v>Run on timer</v>
      </c>
      <c r="J120" s="303"/>
      <c r="K120" s="303"/>
      <c r="L120" s="306"/>
      <c r="M120" s="306">
        <f t="shared" si="13"/>
        <v>60</v>
      </c>
      <c r="N120" s="136">
        <v>50</v>
      </c>
      <c r="O120" s="296"/>
      <c r="R120" s="114" t="str">
        <f t="shared" si="8"/>
        <v>Run on timer</v>
      </c>
      <c r="S120" s="114">
        <f t="shared" si="9"/>
        <v>50</v>
      </c>
    </row>
    <row r="121" spans="2:19" s="114" customFormat="1" x14ac:dyDescent="0.4">
      <c r="B121" s="135" t="s">
        <v>707</v>
      </c>
      <c r="C121" s="136">
        <f t="shared" si="11"/>
        <v>240</v>
      </c>
      <c r="D121" s="136"/>
      <c r="E121" s="135"/>
      <c r="F121" s="136"/>
      <c r="H121" s="309" t="s">
        <v>788</v>
      </c>
      <c r="I121" s="135" t="str">
        <f t="shared" si="12"/>
        <v>Motion sensor with run on timer</v>
      </c>
      <c r="J121" s="303"/>
      <c r="K121" s="303"/>
      <c r="L121" s="306"/>
      <c r="M121" s="306">
        <f t="shared" si="13"/>
        <v>240</v>
      </c>
      <c r="N121" s="136">
        <v>200</v>
      </c>
      <c r="O121" s="296"/>
      <c r="R121" s="114" t="str">
        <f t="shared" si="8"/>
        <v>Motion sensor with run on timer</v>
      </c>
      <c r="S121" s="114">
        <f t="shared" si="9"/>
        <v>200</v>
      </c>
    </row>
    <row r="122" spans="2:19" s="114" customFormat="1" x14ac:dyDescent="0.4">
      <c r="B122" s="135" t="s">
        <v>480</v>
      </c>
      <c r="C122" s="136">
        <f t="shared" si="11"/>
        <v>180</v>
      </c>
      <c r="D122" s="136"/>
      <c r="E122" s="135"/>
      <c r="F122" s="136"/>
      <c r="H122" s="309" t="s">
        <v>788</v>
      </c>
      <c r="I122" s="135" t="str">
        <f t="shared" si="12"/>
        <v>HPT</v>
      </c>
      <c r="J122" s="303"/>
      <c r="K122" s="303"/>
      <c r="L122" s="306"/>
      <c r="M122" s="306">
        <f t="shared" si="13"/>
        <v>180</v>
      </c>
      <c r="N122" s="151">
        <v>150</v>
      </c>
      <c r="O122" s="296"/>
      <c r="R122" s="114" t="str">
        <f t="shared" si="8"/>
        <v>HPT</v>
      </c>
      <c r="S122" s="114">
        <f t="shared" si="9"/>
        <v>150</v>
      </c>
    </row>
    <row r="123" spans="2:19" s="32" customFormat="1" x14ac:dyDescent="0.4">
      <c r="B123" s="43" t="s">
        <v>327</v>
      </c>
      <c r="C123" s="136">
        <f t="shared" si="11"/>
        <v>240</v>
      </c>
      <c r="D123" s="44"/>
      <c r="E123" s="43"/>
      <c r="F123" s="44"/>
      <c r="H123" s="309" t="s">
        <v>788</v>
      </c>
      <c r="I123" s="135" t="str">
        <f t="shared" si="12"/>
        <v>Spring return damper actuator</v>
      </c>
      <c r="J123" s="303"/>
      <c r="K123" s="303"/>
      <c r="L123" s="306"/>
      <c r="M123" s="306">
        <f t="shared" si="13"/>
        <v>240</v>
      </c>
      <c r="N123" s="151">
        <v>200</v>
      </c>
      <c r="O123" s="296"/>
      <c r="R123" s="114" t="str">
        <f t="shared" si="8"/>
        <v>Spring return damper actuator</v>
      </c>
      <c r="S123" s="114">
        <f t="shared" si="9"/>
        <v>200</v>
      </c>
    </row>
    <row r="124" spans="2:19" x14ac:dyDescent="0.4">
      <c r="B124" s="43" t="s">
        <v>281</v>
      </c>
      <c r="C124" s="136">
        <f>M124</f>
        <v>109.25999999999999</v>
      </c>
      <c r="D124" s="44"/>
      <c r="E124" s="43"/>
      <c r="F124" s="44"/>
      <c r="G124" s="32"/>
      <c r="H124" s="309" t="s">
        <v>788</v>
      </c>
      <c r="I124" s="135" t="str">
        <f t="shared" si="12"/>
        <v xml:space="preserve">Contactors  + OL </v>
      </c>
      <c r="J124" s="303" t="s">
        <v>789</v>
      </c>
      <c r="L124" s="306">
        <f>37.8 +
53.25</f>
        <v>91.05</v>
      </c>
      <c r="M124" s="306">
        <f t="shared" si="13"/>
        <v>109.25999999999999</v>
      </c>
      <c r="N124" s="136">
        <v>120</v>
      </c>
      <c r="O124" s="296">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340"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topLeftCell="A1147" zoomScale="40" zoomScaleNormal="40" workbookViewId="0">
      <selection activeCell="J1196" sqref="J1196"/>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074218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07421875" style="32" customWidth="1"/>
    <col min="28" max="28" width="51.69140625" style="32" customWidth="1"/>
    <col min="29" max="30" width="21.074218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07421875" style="276" customWidth="1"/>
    <col min="44" max="44" width="24.84375" style="231" customWidth="1"/>
    <col min="45" max="45" width="24.84375" style="276" customWidth="1"/>
    <col min="46" max="46" width="24.84375" style="23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331" t="str">
        <f ca="1">C14</f>
        <v>IGOC - XXX -  Mech Elec - Rev A.xlsx</v>
      </c>
      <c r="D5" s="331"/>
      <c r="E5" s="331"/>
      <c r="F5" s="331"/>
      <c r="G5" s="331"/>
      <c r="H5" s="331"/>
      <c r="I5" s="332"/>
      <c r="J5" s="331"/>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331"/>
      <c r="D6" s="331"/>
      <c r="E6" s="331"/>
      <c r="F6" s="331"/>
      <c r="G6" s="331"/>
      <c r="H6" s="331"/>
      <c r="I6" s="332"/>
      <c r="J6" s="331"/>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331"/>
      <c r="D7" s="331"/>
      <c r="E7" s="331"/>
      <c r="F7" s="331"/>
      <c r="G7" s="331"/>
      <c r="H7" s="331"/>
      <c r="I7" s="332"/>
      <c r="J7" s="331"/>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hidden="1" x14ac:dyDescent="0.8">
      <c r="A8" s="262">
        <f>ROW()</f>
        <v>8</v>
      </c>
      <c r="B8" s="170" t="s">
        <v>494</v>
      </c>
      <c r="C8" s="209" t="s">
        <v>355</v>
      </c>
      <c r="D8" s="225" t="s">
        <v>371</v>
      </c>
      <c r="E8" s="209"/>
      <c r="F8" s="209"/>
      <c r="G8" s="209"/>
      <c r="H8" s="209"/>
      <c r="I8" s="294"/>
      <c r="J8" s="209" t="s">
        <v>370</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hidden="1" x14ac:dyDescent="0.9">
      <c r="A9" s="262">
        <f>ROW()</f>
        <v>9</v>
      </c>
      <c r="B9" s="170" t="s">
        <v>494</v>
      </c>
      <c r="C9" s="210">
        <f>AM13+I11</f>
        <v>169544.85377777787</v>
      </c>
      <c r="D9" s="226">
        <v>0.25</v>
      </c>
      <c r="E9" s="210"/>
      <c r="F9" s="210"/>
      <c r="G9" s="210"/>
      <c r="H9" s="210"/>
      <c r="I9" s="294"/>
      <c r="J9" s="182">
        <f>C9+D9*C9</f>
        <v>211931.06722222234</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hidden="1" x14ac:dyDescent="0.9">
      <c r="A11" s="262">
        <f>ROW()</f>
        <v>11</v>
      </c>
      <c r="B11" s="170" t="s">
        <v>494</v>
      </c>
      <c r="C11" s="208" t="s">
        <v>790</v>
      </c>
      <c r="D11" s="224" t="s">
        <v>585</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211931.06722222234</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169544.85377777787</v>
      </c>
      <c r="AN13" s="117"/>
      <c r="AO13" s="286"/>
      <c r="AP13" s="282"/>
      <c r="AQ13" s="277"/>
      <c r="AR13" s="282"/>
      <c r="AS13" s="277"/>
      <c r="AT13" s="282"/>
    </row>
    <row r="14" spans="1:97" ht="82.4" hidden="1" customHeight="1" x14ac:dyDescent="1.55">
      <c r="A14" s="262">
        <f>ROW()</f>
        <v>14</v>
      </c>
      <c r="B14" s="170" t="s">
        <v>494</v>
      </c>
      <c r="C14" s="333" t="str">
        <f ca="1">MID(CELL("filename",A1),FIND("[",CELL("filename",A1))+1,FIND("]", CELL("filename",A1))-FIND("[",CELL("filename",A1))-1)</f>
        <v>IGOC - XXX -  Mech Elec - Rev A.xlsx</v>
      </c>
      <c r="D14" s="334"/>
      <c r="E14" s="335"/>
      <c r="F14" s="335"/>
      <c r="G14" s="335"/>
      <c r="H14" s="335"/>
      <c r="I14" s="336"/>
      <c r="J14" s="337"/>
      <c r="K14" s="243"/>
      <c r="Z14" s="68"/>
      <c r="AA14" s="68"/>
      <c r="AG14" s="68"/>
      <c r="AH14" s="68"/>
      <c r="AM14" s="256"/>
      <c r="AN14" s="222" t="s">
        <v>608</v>
      </c>
    </row>
    <row r="15" spans="1:97" s="255" customFormat="1" ht="61.3" x14ac:dyDescent="0.9">
      <c r="A15" s="262">
        <f>ROW()</f>
        <v>15</v>
      </c>
      <c r="B15" s="170" t="s">
        <v>494</v>
      </c>
      <c r="C15" s="254"/>
      <c r="D15" s="259"/>
      <c r="E15" s="200"/>
      <c r="F15" s="200"/>
      <c r="G15" s="200"/>
      <c r="H15" s="200"/>
      <c r="I15" s="274" t="s">
        <v>698</v>
      </c>
      <c r="J15" s="275">
        <f ca="1">NOW()</f>
        <v>43242.626615393521</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211931.06722222234</v>
      </c>
      <c r="AO15" s="286"/>
      <c r="AP15" s="237">
        <f>SUM(AP17:AP80000)</f>
        <v>166035.09377777792</v>
      </c>
      <c r="AQ15" s="237">
        <f t="shared" ref="AQ15:AS15" si="0">SUM(AQ17:AQ80000)</f>
        <v>43680</v>
      </c>
      <c r="AR15" s="237">
        <f t="shared" si="0"/>
        <v>73238.196000000025</v>
      </c>
      <c r="AS15" s="237">
        <f t="shared" si="0"/>
        <v>5002.7760000000017</v>
      </c>
      <c r="AT15" s="237">
        <f>(AP15-(AQ15+AR15+AS15+AV15))</f>
        <v>41101.544000000111</v>
      </c>
      <c r="AU15" s="237">
        <f>I11</f>
        <v>0</v>
      </c>
      <c r="AV15" s="237">
        <f>AP2118</f>
        <v>3012.5777777777776</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494</v>
      </c>
      <c r="C16" s="222" t="s">
        <v>495</v>
      </c>
      <c r="D16" s="222" t="s">
        <v>679</v>
      </c>
      <c r="I16" s="293" t="s">
        <v>0</v>
      </c>
      <c r="J16" s="222" t="s">
        <v>388</v>
      </c>
      <c r="K16" s="222" t="s">
        <v>610</v>
      </c>
      <c r="L16" s="222" t="s">
        <v>377</v>
      </c>
      <c r="M16" s="222" t="s">
        <v>107</v>
      </c>
      <c r="N16" s="222" t="s">
        <v>108</v>
      </c>
      <c r="O16" s="222" t="s">
        <v>388</v>
      </c>
      <c r="P16" s="222" t="s">
        <v>536</v>
      </c>
      <c r="R16" s="222" t="s">
        <v>454</v>
      </c>
      <c r="S16" s="222" t="s">
        <v>0</v>
      </c>
      <c r="U16" s="222" t="s">
        <v>288</v>
      </c>
      <c r="V16" s="222" t="s">
        <v>289</v>
      </c>
      <c r="W16" s="222" t="s">
        <v>292</v>
      </c>
      <c r="Y16" s="222" t="s">
        <v>290</v>
      </c>
      <c r="Z16" s="222" t="s">
        <v>356</v>
      </c>
      <c r="AA16" s="222" t="s">
        <v>357</v>
      </c>
      <c r="AB16" s="222" t="s">
        <v>319</v>
      </c>
      <c r="AC16" s="222" t="s">
        <v>320</v>
      </c>
      <c r="AD16" s="222" t="s">
        <v>318</v>
      </c>
      <c r="AF16" s="222" t="s">
        <v>294</v>
      </c>
      <c r="AG16" s="222" t="s">
        <v>356</v>
      </c>
      <c r="AH16" s="222" t="s">
        <v>357</v>
      </c>
      <c r="AI16" s="222" t="s">
        <v>297</v>
      </c>
      <c r="AJ16" s="222" t="s">
        <v>295</v>
      </c>
      <c r="AK16" s="222" t="s">
        <v>296</v>
      </c>
      <c r="AO16" s="288"/>
      <c r="AP16" s="285" t="s">
        <v>718</v>
      </c>
      <c r="AQ16" s="285" t="s">
        <v>719</v>
      </c>
      <c r="AR16" s="285" t="s">
        <v>720</v>
      </c>
      <c r="AS16" s="285" t="s">
        <v>721</v>
      </c>
      <c r="AT16" s="285" t="s">
        <v>683</v>
      </c>
      <c r="AU16" s="285" t="s">
        <v>722</v>
      </c>
      <c r="AV16" s="285" t="s">
        <v>723</v>
      </c>
    </row>
    <row r="17" spans="1:46" s="261" customFormat="1" ht="92.6" x14ac:dyDescent="1.2">
      <c r="A17" s="262">
        <f>ROW()</f>
        <v>17</v>
      </c>
      <c r="B17" s="261" t="s">
        <v>494</v>
      </c>
      <c r="D17" s="261" t="str">
        <f>IF(B17="Shopping List",IF(ISNUMBER(SEARCH("MSSB",C17)),"MSSB",IF(ISNUMBER(SEARCH("local",C17)),"LOCAL","")))</f>
        <v/>
      </c>
      <c r="I17" s="269">
        <f>SUM(I41:I209)</f>
        <v>8</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454</v>
      </c>
      <c r="M18" s="116" t="s">
        <v>107</v>
      </c>
      <c r="N18" s="116" t="s">
        <v>108</v>
      </c>
      <c r="O18" s="170" t="s">
        <v>388</v>
      </c>
      <c r="P18" s="328" t="s">
        <v>377</v>
      </c>
      <c r="Q18" s="328"/>
      <c r="R18" s="101" t="s">
        <v>454</v>
      </c>
      <c r="S18" s="116" t="s">
        <v>0</v>
      </c>
      <c r="T18" s="118"/>
      <c r="U18" s="116" t="s">
        <v>288</v>
      </c>
      <c r="V18" s="116" t="s">
        <v>289</v>
      </c>
      <c r="W18" s="116" t="s">
        <v>292</v>
      </c>
      <c r="X18" s="140"/>
      <c r="Y18" s="116" t="s">
        <v>290</v>
      </c>
      <c r="Z18" s="116" t="s">
        <v>356</v>
      </c>
      <c r="AA18" s="116" t="s">
        <v>357</v>
      </c>
      <c r="AB18" s="116" t="s">
        <v>319</v>
      </c>
      <c r="AC18" s="116" t="s">
        <v>320</v>
      </c>
      <c r="AD18" s="116" t="s">
        <v>318</v>
      </c>
      <c r="AE18" s="140"/>
      <c r="AF18" s="116" t="s">
        <v>294</v>
      </c>
      <c r="AG18" s="116" t="s">
        <v>356</v>
      </c>
      <c r="AH18" s="116" t="s">
        <v>357</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one</v>
      </c>
      <c r="M19" s="121">
        <f>I41</f>
        <v>1</v>
      </c>
      <c r="N19" s="132" t="s">
        <v>529</v>
      </c>
      <c r="O19" s="121" t="s">
        <v>195</v>
      </c>
      <c r="P19" s="173" t="s">
        <v>381</v>
      </c>
      <c r="Q19" s="173" t="s">
        <v>377</v>
      </c>
      <c r="R19" s="173"/>
      <c r="S19" s="174">
        <f>M19</f>
        <v>1</v>
      </c>
      <c r="T19" s="175"/>
      <c r="U19" s="175" t="s">
        <v>293</v>
      </c>
      <c r="V19" s="174">
        <f>S19</f>
        <v>1</v>
      </c>
      <c r="W19" s="174">
        <f>VLOOKUP(U19,Sheet1!$B$6:$C$45,2,FALSE)*V19</f>
        <v>0</v>
      </c>
      <c r="X19" s="174"/>
      <c r="Y19" s="175" t="s">
        <v>293</v>
      </c>
      <c r="Z19" s="168">
        <f>VLOOKUP(Takeoffs!Y19,Sheet1!$B$6:$C$124,2,FALSE)</f>
        <v>0</v>
      </c>
      <c r="AA19" s="168">
        <f>Z19*AB19</f>
        <v>0</v>
      </c>
      <c r="AB19" s="176">
        <f>AD19*AC19</f>
        <v>1</v>
      </c>
      <c r="AC19" s="174">
        <f>S19</f>
        <v>1</v>
      </c>
      <c r="AD19" s="174">
        <v>1</v>
      </c>
      <c r="AE19" s="174"/>
      <c r="AF19" s="175" t="s">
        <v>293</v>
      </c>
      <c r="AG19" s="168">
        <f>VLOOKUP(Takeoffs!AF19,Sheet1!$B$6:$C$124,2,FALSE)</f>
        <v>0</v>
      </c>
      <c r="AH19" s="168">
        <f>AG19*AI19</f>
        <v>0</v>
      </c>
      <c r="AI19" s="176">
        <f>AK19*AJ19</f>
        <v>0</v>
      </c>
      <c r="AJ19" s="174">
        <f>S19</f>
        <v>1</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537</v>
      </c>
      <c r="P20" s="175"/>
      <c r="Q20" s="175"/>
      <c r="R20" s="175"/>
      <c r="S20" s="174">
        <f>M19</f>
        <v>1</v>
      </c>
      <c r="T20" s="172"/>
      <c r="U20" s="175" t="s">
        <v>293</v>
      </c>
      <c r="V20" s="174">
        <f t="shared" ref="V20:V39" si="1">S20</f>
        <v>1</v>
      </c>
      <c r="W20" s="174">
        <f>VLOOKUP(U20,Sheet1!$B$6:$C$45,2,FALSE)*V20</f>
        <v>0</v>
      </c>
      <c r="X20" s="174"/>
      <c r="Y20" s="175" t="s">
        <v>293</v>
      </c>
      <c r="Z20" s="168">
        <f>VLOOKUP(Takeoffs!Y20,Sheet1!$B$6:$C$124,2,FALSE)</f>
        <v>0</v>
      </c>
      <c r="AA20" s="168">
        <f t="shared" ref="AA20:AA39" si="2">Z20*AB20</f>
        <v>0</v>
      </c>
      <c r="AB20" s="176">
        <f t="shared" ref="AB20:AB39" si="3">AD20*AC20</f>
        <v>1</v>
      </c>
      <c r="AC20" s="174">
        <f>S20</f>
        <v>1</v>
      </c>
      <c r="AD20" s="174">
        <v>1</v>
      </c>
      <c r="AE20" s="174"/>
      <c r="AF20" s="175" t="s">
        <v>293</v>
      </c>
      <c r="AG20" s="168">
        <f>VLOOKUP(Takeoffs!AF20,Sheet1!$B$6:$C$124,2,FALSE)</f>
        <v>0</v>
      </c>
      <c r="AH20" s="168">
        <f t="shared" ref="AH20:AH39" si="4">AG20*AI20</f>
        <v>0</v>
      </c>
      <c r="AI20" s="176">
        <f t="shared" ref="AI20:AI39" si="5">AK20*AJ20</f>
        <v>0</v>
      </c>
      <c r="AJ20" s="174">
        <f t="shared" ref="AJ20:AJ39" si="6">S20</f>
        <v>1</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401</v>
      </c>
      <c r="P21" s="175"/>
      <c r="Q21" s="175"/>
      <c r="R21" s="175"/>
      <c r="S21" s="174">
        <f>M19</f>
        <v>1</v>
      </c>
      <c r="T21" s="172"/>
      <c r="U21" s="175" t="s">
        <v>293</v>
      </c>
      <c r="V21" s="174">
        <f t="shared" si="1"/>
        <v>1</v>
      </c>
      <c r="W21" s="174">
        <f>VLOOKUP(U21,Sheet1!$B$6:$C$45,2,FALSE)*V21</f>
        <v>0</v>
      </c>
      <c r="X21" s="174"/>
      <c r="Y21" s="175" t="s">
        <v>293</v>
      </c>
      <c r="Z21" s="168">
        <f>VLOOKUP(Takeoffs!Y21,Sheet1!$B$6:$C$124,2,FALSE)</f>
        <v>0</v>
      </c>
      <c r="AA21" s="168">
        <f t="shared" si="2"/>
        <v>0</v>
      </c>
      <c r="AB21" s="176">
        <f t="shared" si="3"/>
        <v>1</v>
      </c>
      <c r="AC21" s="174">
        <f>S21</f>
        <v>1</v>
      </c>
      <c r="AD21" s="174">
        <v>1</v>
      </c>
      <c r="AE21" s="174"/>
      <c r="AF21" s="175" t="s">
        <v>293</v>
      </c>
      <c r="AG21" s="168">
        <f>VLOOKUP(Takeoffs!AF21,Sheet1!$B$6:$C$124,2,FALSE)</f>
        <v>0</v>
      </c>
      <c r="AH21" s="168">
        <f t="shared" si="4"/>
        <v>0</v>
      </c>
      <c r="AI21" s="176">
        <f t="shared" si="5"/>
        <v>0</v>
      </c>
      <c r="AJ21" s="174">
        <f t="shared" si="6"/>
        <v>1</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402</v>
      </c>
      <c r="P22" s="175"/>
      <c r="Q22" s="175"/>
      <c r="R22" s="175"/>
      <c r="S22" s="174">
        <f>M19</f>
        <v>1</v>
      </c>
      <c r="T22" s="172"/>
      <c r="U22" s="175" t="s">
        <v>293</v>
      </c>
      <c r="V22" s="174">
        <f t="shared" si="1"/>
        <v>1</v>
      </c>
      <c r="W22" s="174">
        <f>VLOOKUP(U22,Sheet1!$B$6:$C$45,2,FALSE)*V22</f>
        <v>0</v>
      </c>
      <c r="X22" s="174"/>
      <c r="Y22" s="175" t="s">
        <v>293</v>
      </c>
      <c r="Z22" s="168">
        <f>VLOOKUP(Takeoffs!Y22,Sheet1!$B$6:$C$124,2,FALSE)</f>
        <v>0</v>
      </c>
      <c r="AA22" s="168">
        <f t="shared" si="2"/>
        <v>0</v>
      </c>
      <c r="AB22" s="176">
        <f t="shared" si="3"/>
        <v>1</v>
      </c>
      <c r="AC22" s="174">
        <f t="shared" ref="AC22:AC39" si="13">S22</f>
        <v>1</v>
      </c>
      <c r="AD22" s="174">
        <v>1</v>
      </c>
      <c r="AE22" s="174"/>
      <c r="AF22" s="175" t="s">
        <v>293</v>
      </c>
      <c r="AG22" s="168">
        <f>VLOOKUP(Takeoffs!AF22,Sheet1!$B$6:$C$124,2,FALSE)</f>
        <v>0</v>
      </c>
      <c r="AH22" s="168">
        <f t="shared" si="4"/>
        <v>0</v>
      </c>
      <c r="AI22" s="176">
        <f t="shared" si="5"/>
        <v>0</v>
      </c>
      <c r="AJ22" s="174">
        <f t="shared" si="6"/>
        <v>1</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403</v>
      </c>
      <c r="P23" s="175"/>
      <c r="Q23" s="175"/>
      <c r="R23" s="175"/>
      <c r="S23" s="174">
        <f>M19</f>
        <v>1</v>
      </c>
      <c r="T23" s="172"/>
      <c r="U23" s="175" t="s">
        <v>293</v>
      </c>
      <c r="V23" s="174">
        <f t="shared" si="1"/>
        <v>1</v>
      </c>
      <c r="W23" s="174">
        <f>VLOOKUP(U23,Sheet1!$B$6:$C$45,2,FALSE)*V23</f>
        <v>0</v>
      </c>
      <c r="X23" s="174"/>
      <c r="Y23" s="175" t="s">
        <v>293</v>
      </c>
      <c r="Z23" s="168">
        <f>VLOOKUP(Takeoffs!Y23,Sheet1!$B$6:$C$124,2,FALSE)</f>
        <v>0</v>
      </c>
      <c r="AA23" s="168">
        <f t="shared" si="2"/>
        <v>0</v>
      </c>
      <c r="AB23" s="176">
        <f t="shared" si="3"/>
        <v>1</v>
      </c>
      <c r="AC23" s="174">
        <f t="shared" si="13"/>
        <v>1</v>
      </c>
      <c r="AD23" s="174">
        <v>1</v>
      </c>
      <c r="AE23" s="174"/>
      <c r="AF23" s="175" t="s">
        <v>293</v>
      </c>
      <c r="AG23" s="168">
        <f>VLOOKUP(Takeoffs!AF23,Sheet1!$B$6:$C$124,2,FALSE)</f>
        <v>0</v>
      </c>
      <c r="AH23" s="168">
        <f t="shared" si="4"/>
        <v>0</v>
      </c>
      <c r="AI23" s="176">
        <f t="shared" si="5"/>
        <v>0</v>
      </c>
      <c r="AJ23" s="174">
        <f t="shared" si="6"/>
        <v>1</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404</v>
      </c>
      <c r="P24" s="175"/>
      <c r="Q24" s="175"/>
      <c r="R24" s="175"/>
      <c r="S24" s="174">
        <f>M19</f>
        <v>1</v>
      </c>
      <c r="T24" s="172"/>
      <c r="U24" s="175" t="s">
        <v>293</v>
      </c>
      <c r="V24" s="174">
        <f t="shared" si="1"/>
        <v>1</v>
      </c>
      <c r="W24" s="174">
        <f>VLOOKUP(U24,Sheet1!$B$6:$C$45,2,FALSE)*V24</f>
        <v>0</v>
      </c>
      <c r="X24" s="174"/>
      <c r="Y24" s="175" t="s">
        <v>293</v>
      </c>
      <c r="Z24" s="168">
        <f>VLOOKUP(Takeoffs!Y24,Sheet1!$B$6:$C$124,2,FALSE)</f>
        <v>0</v>
      </c>
      <c r="AA24" s="168">
        <f t="shared" si="2"/>
        <v>0</v>
      </c>
      <c r="AB24" s="176">
        <f t="shared" si="3"/>
        <v>1</v>
      </c>
      <c r="AC24" s="174">
        <f t="shared" si="13"/>
        <v>1</v>
      </c>
      <c r="AD24" s="174">
        <v>1</v>
      </c>
      <c r="AE24" s="174"/>
      <c r="AF24" s="175" t="s">
        <v>293</v>
      </c>
      <c r="AG24" s="168">
        <f>VLOOKUP(Takeoffs!AF24,Sheet1!$B$6:$C$124,2,FALSE)</f>
        <v>0</v>
      </c>
      <c r="AH24" s="168">
        <f t="shared" si="4"/>
        <v>0</v>
      </c>
      <c r="AI24" s="176">
        <f t="shared" si="5"/>
        <v>0</v>
      </c>
      <c r="AJ24" s="174">
        <f t="shared" si="6"/>
        <v>1</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405</v>
      </c>
      <c r="P25" s="175"/>
      <c r="Q25" s="175"/>
      <c r="R25" s="175"/>
      <c r="S25" s="174">
        <f>M19</f>
        <v>1</v>
      </c>
      <c r="T25" s="172"/>
      <c r="U25" s="175" t="s">
        <v>293</v>
      </c>
      <c r="V25" s="174">
        <f t="shared" si="1"/>
        <v>1</v>
      </c>
      <c r="W25" s="174">
        <f>VLOOKUP(U25,Sheet1!$B$6:$C$45,2,FALSE)*V25</f>
        <v>0</v>
      </c>
      <c r="X25" s="174"/>
      <c r="Y25" s="175" t="s">
        <v>293</v>
      </c>
      <c r="Z25" s="168">
        <f>VLOOKUP(Takeoffs!Y25,Sheet1!$B$6:$C$124,2,FALSE)</f>
        <v>0</v>
      </c>
      <c r="AA25" s="168">
        <f t="shared" si="2"/>
        <v>0</v>
      </c>
      <c r="AB25" s="176">
        <f t="shared" si="3"/>
        <v>1</v>
      </c>
      <c r="AC25" s="174">
        <f t="shared" si="13"/>
        <v>1</v>
      </c>
      <c r="AD25" s="174">
        <v>1</v>
      </c>
      <c r="AE25" s="174"/>
      <c r="AF25" s="175" t="s">
        <v>293</v>
      </c>
      <c r="AG25" s="168">
        <f>VLOOKUP(Takeoffs!AF25,Sheet1!$B$6:$C$124,2,FALSE)</f>
        <v>0</v>
      </c>
      <c r="AH25" s="168">
        <f t="shared" si="4"/>
        <v>0</v>
      </c>
      <c r="AI25" s="176">
        <f t="shared" si="5"/>
        <v>0</v>
      </c>
      <c r="AJ25" s="174">
        <f t="shared" si="6"/>
        <v>1</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406</v>
      </c>
      <c r="P26" s="175"/>
      <c r="Q26" s="175"/>
      <c r="R26" s="175"/>
      <c r="S26" s="174">
        <f>M19</f>
        <v>1</v>
      </c>
      <c r="T26" s="172"/>
      <c r="U26" s="175" t="s">
        <v>293</v>
      </c>
      <c r="V26" s="174">
        <f t="shared" si="1"/>
        <v>1</v>
      </c>
      <c r="W26" s="174">
        <f>VLOOKUP(U26,Sheet1!$B$6:$C$45,2,FALSE)*V26</f>
        <v>0</v>
      </c>
      <c r="X26" s="174"/>
      <c r="Y26" s="175" t="s">
        <v>293</v>
      </c>
      <c r="Z26" s="168">
        <f>VLOOKUP(Takeoffs!Y26,Sheet1!$B$6:$C$124,2,FALSE)</f>
        <v>0</v>
      </c>
      <c r="AA26" s="168">
        <f t="shared" si="2"/>
        <v>0</v>
      </c>
      <c r="AB26" s="176">
        <f t="shared" si="3"/>
        <v>1</v>
      </c>
      <c r="AC26" s="174">
        <f t="shared" si="13"/>
        <v>1</v>
      </c>
      <c r="AD26" s="174">
        <v>1</v>
      </c>
      <c r="AE26" s="174"/>
      <c r="AF26" s="175" t="s">
        <v>293</v>
      </c>
      <c r="AG26" s="168">
        <f>VLOOKUP(Takeoffs!AF26,Sheet1!$B$6:$C$124,2,FALSE)</f>
        <v>0</v>
      </c>
      <c r="AH26" s="168">
        <f t="shared" si="4"/>
        <v>0</v>
      </c>
      <c r="AI26" s="176">
        <f t="shared" si="5"/>
        <v>0</v>
      </c>
      <c r="AJ26" s="174">
        <f t="shared" si="6"/>
        <v>1</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512</v>
      </c>
      <c r="P27" s="175"/>
      <c r="Q27" s="175"/>
      <c r="R27" s="175"/>
      <c r="S27" s="174">
        <f>M19</f>
        <v>1</v>
      </c>
      <c r="T27" s="172"/>
      <c r="U27" s="175" t="s">
        <v>293</v>
      </c>
      <c r="V27" s="174">
        <f t="shared" si="1"/>
        <v>1</v>
      </c>
      <c r="W27" s="174">
        <f>VLOOKUP(U27,Sheet1!$B$6:$C$45,2,FALSE)*V27</f>
        <v>0</v>
      </c>
      <c r="X27" s="174"/>
      <c r="Y27" s="175" t="s">
        <v>293</v>
      </c>
      <c r="Z27" s="168">
        <f>VLOOKUP(Takeoffs!Y27,Sheet1!$B$6:$C$124,2,FALSE)</f>
        <v>0</v>
      </c>
      <c r="AA27" s="168">
        <f t="shared" si="2"/>
        <v>0</v>
      </c>
      <c r="AB27" s="176">
        <f t="shared" si="3"/>
        <v>1</v>
      </c>
      <c r="AC27" s="174">
        <f t="shared" si="13"/>
        <v>1</v>
      </c>
      <c r="AD27" s="174">
        <v>1</v>
      </c>
      <c r="AE27" s="174"/>
      <c r="AF27" s="175" t="s">
        <v>293</v>
      </c>
      <c r="AG27" s="168">
        <f>VLOOKUP(Takeoffs!AF27,Sheet1!$B$6:$C$124,2,FALSE)</f>
        <v>0</v>
      </c>
      <c r="AH27" s="168">
        <f t="shared" si="4"/>
        <v>0</v>
      </c>
      <c r="AI27" s="176">
        <f t="shared" si="5"/>
        <v>0</v>
      </c>
      <c r="AJ27" s="174">
        <f t="shared" si="6"/>
        <v>1</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442</v>
      </c>
      <c r="P28" s="175"/>
      <c r="Q28" s="175"/>
      <c r="R28" s="175"/>
      <c r="S28" s="174">
        <f>M19</f>
        <v>1</v>
      </c>
      <c r="T28" s="172"/>
      <c r="U28" s="175" t="s">
        <v>293</v>
      </c>
      <c r="V28" s="174">
        <f t="shared" si="1"/>
        <v>1</v>
      </c>
      <c r="W28" s="174">
        <f>VLOOKUP(U28,Sheet1!$B$6:$C$45,2,FALSE)*V28</f>
        <v>0</v>
      </c>
      <c r="X28" s="174"/>
      <c r="Y28" s="175" t="s">
        <v>293</v>
      </c>
      <c r="Z28" s="168">
        <f>VLOOKUP(Takeoffs!Y28,Sheet1!$B$6:$C$124,2,FALSE)</f>
        <v>0</v>
      </c>
      <c r="AA28" s="168">
        <f t="shared" si="2"/>
        <v>0</v>
      </c>
      <c r="AB28" s="176">
        <f t="shared" si="3"/>
        <v>1</v>
      </c>
      <c r="AC28" s="174">
        <f t="shared" si="13"/>
        <v>1</v>
      </c>
      <c r="AD28" s="174">
        <v>1</v>
      </c>
      <c r="AE28" s="174"/>
      <c r="AF28" s="175" t="s">
        <v>293</v>
      </c>
      <c r="AG28" s="168">
        <f>VLOOKUP(Takeoffs!AF28,Sheet1!$B$6:$C$124,2,FALSE)</f>
        <v>0</v>
      </c>
      <c r="AH28" s="168">
        <f t="shared" si="4"/>
        <v>0</v>
      </c>
      <c r="AI28" s="176">
        <f t="shared" si="5"/>
        <v>0</v>
      </c>
      <c r="AJ28" s="174">
        <f t="shared" si="6"/>
        <v>1</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535</v>
      </c>
      <c r="P29" s="175"/>
      <c r="Q29" s="175"/>
      <c r="R29" s="175"/>
      <c r="S29" s="174">
        <f>M19</f>
        <v>1</v>
      </c>
      <c r="T29" s="172"/>
      <c r="U29" s="175" t="s">
        <v>293</v>
      </c>
      <c r="V29" s="174">
        <f t="shared" si="1"/>
        <v>1</v>
      </c>
      <c r="W29" s="174">
        <f>VLOOKUP(U29,Sheet1!$B$6:$C$45,2,FALSE)*V29</f>
        <v>0</v>
      </c>
      <c r="X29" s="174"/>
      <c r="Y29" s="175" t="s">
        <v>293</v>
      </c>
      <c r="Z29" s="168">
        <f>VLOOKUP(Takeoffs!Y29,Sheet1!$B$6:$C$124,2,FALSE)</f>
        <v>0</v>
      </c>
      <c r="AA29" s="168">
        <f t="shared" si="2"/>
        <v>0</v>
      </c>
      <c r="AB29" s="176">
        <f t="shared" si="3"/>
        <v>1</v>
      </c>
      <c r="AC29" s="174">
        <f t="shared" si="13"/>
        <v>1</v>
      </c>
      <c r="AD29" s="174">
        <v>1</v>
      </c>
      <c r="AE29" s="174"/>
      <c r="AF29" s="175" t="s">
        <v>293</v>
      </c>
      <c r="AG29" s="168">
        <f>VLOOKUP(Takeoffs!AF29,Sheet1!$B$6:$C$124,2,FALSE)</f>
        <v>0</v>
      </c>
      <c r="AH29" s="168">
        <f t="shared" si="4"/>
        <v>0</v>
      </c>
      <c r="AI29" s="176">
        <f t="shared" si="5"/>
        <v>0</v>
      </c>
      <c r="AJ29" s="174">
        <f t="shared" si="6"/>
        <v>1</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1</v>
      </c>
      <c r="T30" s="172"/>
      <c r="U30" s="175" t="s">
        <v>293</v>
      </c>
      <c r="V30" s="174">
        <f t="shared" si="1"/>
        <v>1</v>
      </c>
      <c r="W30" s="174">
        <f>VLOOKUP(U30,Sheet1!$B$6:$C$45,2,FALSE)*V30</f>
        <v>0</v>
      </c>
      <c r="X30" s="174"/>
      <c r="Y30" s="175" t="s">
        <v>293</v>
      </c>
      <c r="Z30" s="168">
        <f>VLOOKUP(Takeoffs!Y30,Sheet1!$B$6:$C$124,2,FALSE)</f>
        <v>0</v>
      </c>
      <c r="AA30" s="168">
        <f t="shared" si="2"/>
        <v>0</v>
      </c>
      <c r="AB30" s="176">
        <f t="shared" si="3"/>
        <v>1</v>
      </c>
      <c r="AC30" s="174">
        <f t="shared" si="13"/>
        <v>1</v>
      </c>
      <c r="AD30" s="174">
        <v>1</v>
      </c>
      <c r="AE30" s="174"/>
      <c r="AF30" s="175" t="s">
        <v>293</v>
      </c>
      <c r="AG30" s="168">
        <f>VLOOKUP(Takeoffs!AF30,Sheet1!$B$6:$C$124,2,FALSE)</f>
        <v>0</v>
      </c>
      <c r="AH30" s="168">
        <f t="shared" si="4"/>
        <v>0</v>
      </c>
      <c r="AI30" s="176">
        <f t="shared" si="5"/>
        <v>0</v>
      </c>
      <c r="AJ30" s="174">
        <f t="shared" si="6"/>
        <v>1</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1</v>
      </c>
      <c r="T31" s="172"/>
      <c r="U31" s="175" t="s">
        <v>293</v>
      </c>
      <c r="V31" s="174">
        <f t="shared" si="1"/>
        <v>1</v>
      </c>
      <c r="W31" s="174">
        <f>VLOOKUP(U31,Sheet1!$B$6:$C$45,2,FALSE)*V31</f>
        <v>0</v>
      </c>
      <c r="X31" s="174"/>
      <c r="Y31" s="175" t="s">
        <v>293</v>
      </c>
      <c r="Z31" s="168">
        <f>VLOOKUP(Takeoffs!Y31,Sheet1!$B$6:$C$124,2,FALSE)</f>
        <v>0</v>
      </c>
      <c r="AA31" s="168">
        <f t="shared" si="2"/>
        <v>0</v>
      </c>
      <c r="AB31" s="176">
        <f t="shared" si="3"/>
        <v>1</v>
      </c>
      <c r="AC31" s="174">
        <f t="shared" si="13"/>
        <v>1</v>
      </c>
      <c r="AD31" s="174">
        <v>1</v>
      </c>
      <c r="AE31" s="174"/>
      <c r="AF31" s="175" t="s">
        <v>293</v>
      </c>
      <c r="AG31" s="168">
        <f>VLOOKUP(Takeoffs!AF31,Sheet1!$B$6:$C$124,2,FALSE)</f>
        <v>0</v>
      </c>
      <c r="AH31" s="168">
        <f t="shared" si="4"/>
        <v>0</v>
      </c>
      <c r="AI31" s="176">
        <f t="shared" si="5"/>
        <v>0</v>
      </c>
      <c r="AJ31" s="174">
        <f t="shared" si="6"/>
        <v>1</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1</v>
      </c>
      <c r="T32" s="172"/>
      <c r="U32" s="175" t="s">
        <v>293</v>
      </c>
      <c r="V32" s="174">
        <f t="shared" si="1"/>
        <v>1</v>
      </c>
      <c r="W32" s="174">
        <f>VLOOKUP(U32,Sheet1!$B$6:$C$45,2,FALSE)*V32</f>
        <v>0</v>
      </c>
      <c r="X32" s="174"/>
      <c r="Y32" s="175" t="s">
        <v>293</v>
      </c>
      <c r="Z32" s="168">
        <f>VLOOKUP(Takeoffs!Y32,Sheet1!$B$6:$C$124,2,FALSE)</f>
        <v>0</v>
      </c>
      <c r="AA32" s="168">
        <f t="shared" si="2"/>
        <v>0</v>
      </c>
      <c r="AB32" s="176">
        <f t="shared" si="3"/>
        <v>1</v>
      </c>
      <c r="AC32" s="174">
        <f t="shared" si="13"/>
        <v>1</v>
      </c>
      <c r="AD32" s="174">
        <v>1</v>
      </c>
      <c r="AE32" s="174"/>
      <c r="AF32" s="175" t="s">
        <v>293</v>
      </c>
      <c r="AG32" s="168">
        <f>VLOOKUP(Takeoffs!AF32,Sheet1!$B$6:$C$124,2,FALSE)</f>
        <v>0</v>
      </c>
      <c r="AH32" s="168">
        <f t="shared" si="4"/>
        <v>0</v>
      </c>
      <c r="AI32" s="176">
        <f t="shared" si="5"/>
        <v>0</v>
      </c>
      <c r="AJ32" s="174">
        <f t="shared" si="6"/>
        <v>1</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1</v>
      </c>
      <c r="T33" s="172"/>
      <c r="U33" s="175" t="s">
        <v>293</v>
      </c>
      <c r="V33" s="174">
        <f t="shared" si="1"/>
        <v>1</v>
      </c>
      <c r="W33" s="174">
        <f>VLOOKUP(U33,Sheet1!$B$6:$C$45,2,FALSE)*V33</f>
        <v>0</v>
      </c>
      <c r="X33" s="174"/>
      <c r="Y33" s="175" t="s">
        <v>293</v>
      </c>
      <c r="Z33" s="168">
        <f>VLOOKUP(Takeoffs!Y33,Sheet1!$B$6:$C$124,2,FALSE)</f>
        <v>0</v>
      </c>
      <c r="AA33" s="168">
        <f t="shared" si="2"/>
        <v>0</v>
      </c>
      <c r="AB33" s="176">
        <f t="shared" si="3"/>
        <v>1</v>
      </c>
      <c r="AC33" s="174">
        <f t="shared" si="13"/>
        <v>1</v>
      </c>
      <c r="AD33" s="174">
        <v>1</v>
      </c>
      <c r="AE33" s="174"/>
      <c r="AF33" s="175" t="s">
        <v>293</v>
      </c>
      <c r="AG33" s="168">
        <f>VLOOKUP(Takeoffs!AF33,Sheet1!$B$6:$C$124,2,FALSE)</f>
        <v>0</v>
      </c>
      <c r="AH33" s="168">
        <f t="shared" si="4"/>
        <v>0</v>
      </c>
      <c r="AI33" s="176">
        <f t="shared" si="5"/>
        <v>0</v>
      </c>
      <c r="AJ33" s="174">
        <f t="shared" si="6"/>
        <v>1</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1</v>
      </c>
      <c r="T34" s="172"/>
      <c r="U34" s="175" t="s">
        <v>293</v>
      </c>
      <c r="V34" s="174">
        <f t="shared" si="1"/>
        <v>1</v>
      </c>
      <c r="W34" s="174">
        <f>VLOOKUP(U34,Sheet1!$B$6:$C$45,2,FALSE)*V34</f>
        <v>0</v>
      </c>
      <c r="X34" s="174"/>
      <c r="Y34" s="175" t="s">
        <v>293</v>
      </c>
      <c r="Z34" s="168">
        <f>VLOOKUP(Takeoffs!Y34,Sheet1!$B$6:$C$124,2,FALSE)</f>
        <v>0</v>
      </c>
      <c r="AA34" s="168">
        <f t="shared" si="2"/>
        <v>0</v>
      </c>
      <c r="AB34" s="176">
        <f t="shared" si="3"/>
        <v>2</v>
      </c>
      <c r="AC34" s="174">
        <f t="shared" si="13"/>
        <v>1</v>
      </c>
      <c r="AD34" s="174">
        <v>2</v>
      </c>
      <c r="AE34" s="174"/>
      <c r="AF34" s="175" t="s">
        <v>293</v>
      </c>
      <c r="AG34" s="168">
        <f>VLOOKUP(Takeoffs!AF34,Sheet1!$B$6:$C$124,2,FALSE)</f>
        <v>0</v>
      </c>
      <c r="AH34" s="168">
        <f t="shared" si="4"/>
        <v>0</v>
      </c>
      <c r="AI34" s="176">
        <f t="shared" si="5"/>
        <v>0</v>
      </c>
      <c r="AJ34" s="174">
        <f t="shared" si="6"/>
        <v>1</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1</v>
      </c>
      <c r="T35" s="172"/>
      <c r="U35" s="175" t="s">
        <v>293</v>
      </c>
      <c r="V35" s="174">
        <f t="shared" si="1"/>
        <v>1</v>
      </c>
      <c r="W35" s="174">
        <f>VLOOKUP(U35,Sheet1!$B$6:$C$45,2,FALSE)*V35</f>
        <v>0</v>
      </c>
      <c r="X35" s="174"/>
      <c r="Y35" s="175" t="s">
        <v>293</v>
      </c>
      <c r="Z35" s="168">
        <f>VLOOKUP(Takeoffs!Y35,Sheet1!$B$6:$C$124,2,FALSE)</f>
        <v>0</v>
      </c>
      <c r="AA35" s="168">
        <f t="shared" si="2"/>
        <v>0</v>
      </c>
      <c r="AB35" s="176">
        <f t="shared" si="3"/>
        <v>1</v>
      </c>
      <c r="AC35" s="174">
        <f t="shared" si="13"/>
        <v>1</v>
      </c>
      <c r="AD35" s="174">
        <v>1</v>
      </c>
      <c r="AE35" s="174"/>
      <c r="AF35" s="175" t="s">
        <v>293</v>
      </c>
      <c r="AG35" s="168">
        <f>VLOOKUP(Takeoffs!AF35,Sheet1!$B$6:$C$124,2,FALSE)</f>
        <v>0</v>
      </c>
      <c r="AH35" s="168">
        <f t="shared" si="4"/>
        <v>0</v>
      </c>
      <c r="AI35" s="176">
        <f t="shared" si="5"/>
        <v>0</v>
      </c>
      <c r="AJ35" s="174">
        <f t="shared" si="6"/>
        <v>1</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1</v>
      </c>
      <c r="T36" s="172"/>
      <c r="U36" s="175" t="s">
        <v>293</v>
      </c>
      <c r="V36" s="174">
        <f t="shared" si="1"/>
        <v>1</v>
      </c>
      <c r="W36" s="174">
        <f>VLOOKUP(U36,Sheet1!$B$6:$C$45,2,FALSE)*V36</f>
        <v>0</v>
      </c>
      <c r="X36" s="174"/>
      <c r="Y36" s="175" t="s">
        <v>293</v>
      </c>
      <c r="Z36" s="168">
        <f>VLOOKUP(Takeoffs!Y36,Sheet1!$B$6:$C$124,2,FALSE)</f>
        <v>0</v>
      </c>
      <c r="AA36" s="168">
        <f t="shared" si="2"/>
        <v>0</v>
      </c>
      <c r="AB36" s="176">
        <f t="shared" si="3"/>
        <v>1</v>
      </c>
      <c r="AC36" s="174">
        <f t="shared" si="13"/>
        <v>1</v>
      </c>
      <c r="AD36" s="174">
        <v>1</v>
      </c>
      <c r="AE36" s="174"/>
      <c r="AF36" s="175" t="s">
        <v>293</v>
      </c>
      <c r="AG36" s="168">
        <f>VLOOKUP(Takeoffs!AF36,Sheet1!$B$6:$C$124,2,FALSE)</f>
        <v>0</v>
      </c>
      <c r="AH36" s="168">
        <f t="shared" si="4"/>
        <v>0</v>
      </c>
      <c r="AI36" s="176">
        <f t="shared" si="5"/>
        <v>0</v>
      </c>
      <c r="AJ36" s="174">
        <f t="shared" si="6"/>
        <v>1</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1</v>
      </c>
      <c r="T37" s="172"/>
      <c r="U37" s="175" t="s">
        <v>293</v>
      </c>
      <c r="V37" s="174">
        <f t="shared" si="1"/>
        <v>1</v>
      </c>
      <c r="W37" s="174">
        <f>VLOOKUP(U37,Sheet1!$B$6:$C$45,2,FALSE)*V37</f>
        <v>0</v>
      </c>
      <c r="X37" s="174"/>
      <c r="Y37" s="175" t="s">
        <v>293</v>
      </c>
      <c r="Z37" s="168">
        <f>VLOOKUP(Takeoffs!Y37,Sheet1!$B$6:$C$124,2,FALSE)</f>
        <v>0</v>
      </c>
      <c r="AA37" s="168">
        <f t="shared" si="2"/>
        <v>0</v>
      </c>
      <c r="AB37" s="176">
        <f t="shared" si="3"/>
        <v>1</v>
      </c>
      <c r="AC37" s="174">
        <f t="shared" si="13"/>
        <v>1</v>
      </c>
      <c r="AD37" s="174">
        <v>1</v>
      </c>
      <c r="AE37" s="174"/>
      <c r="AF37" s="175" t="s">
        <v>293</v>
      </c>
      <c r="AG37" s="168">
        <f>VLOOKUP(Takeoffs!AF37,Sheet1!$B$6:$C$124,2,FALSE)</f>
        <v>0</v>
      </c>
      <c r="AH37" s="168">
        <f t="shared" si="4"/>
        <v>0</v>
      </c>
      <c r="AI37" s="176">
        <f t="shared" si="5"/>
        <v>0</v>
      </c>
      <c r="AJ37" s="174">
        <f t="shared" si="6"/>
        <v>1</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1</v>
      </c>
      <c r="T38" s="172"/>
      <c r="U38" s="175" t="s">
        <v>293</v>
      </c>
      <c r="V38" s="174">
        <f t="shared" si="1"/>
        <v>1</v>
      </c>
      <c r="W38" s="174">
        <f>VLOOKUP(U38,Sheet1!$B$6:$C$45,2,FALSE)*V38</f>
        <v>0</v>
      </c>
      <c r="X38" s="174"/>
      <c r="Y38" s="175" t="s">
        <v>293</v>
      </c>
      <c r="Z38" s="168">
        <f>VLOOKUP(Takeoffs!Y38,Sheet1!$B$6:$C$124,2,FALSE)</f>
        <v>0</v>
      </c>
      <c r="AA38" s="168">
        <f t="shared" si="2"/>
        <v>0</v>
      </c>
      <c r="AB38" s="176">
        <f t="shared" si="3"/>
        <v>1</v>
      </c>
      <c r="AC38" s="174">
        <f t="shared" si="13"/>
        <v>1</v>
      </c>
      <c r="AD38" s="174">
        <v>1</v>
      </c>
      <c r="AE38" s="174"/>
      <c r="AF38" s="175" t="s">
        <v>293</v>
      </c>
      <c r="AG38" s="168">
        <f>VLOOKUP(Takeoffs!AF38,Sheet1!$B$6:$C$124,2,FALSE)</f>
        <v>0</v>
      </c>
      <c r="AH38" s="168">
        <f t="shared" si="4"/>
        <v>0</v>
      </c>
      <c r="AI38" s="176">
        <f t="shared" si="5"/>
        <v>0</v>
      </c>
      <c r="AJ38" s="174">
        <f t="shared" si="6"/>
        <v>1</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1</v>
      </c>
      <c r="T39" s="172"/>
      <c r="U39" s="175" t="s">
        <v>293</v>
      </c>
      <c r="V39" s="174">
        <f t="shared" si="1"/>
        <v>1</v>
      </c>
      <c r="W39" s="174">
        <f>VLOOKUP(U39,Sheet1!$B$6:$C$45,2,FALSE)*V39</f>
        <v>0</v>
      </c>
      <c r="X39" s="174"/>
      <c r="Y39" s="175" t="s">
        <v>293</v>
      </c>
      <c r="Z39" s="168">
        <f>VLOOKUP(Takeoffs!Y39,Sheet1!$B$6:$C$124,2,FALSE)</f>
        <v>0</v>
      </c>
      <c r="AA39" s="168">
        <f t="shared" si="2"/>
        <v>0</v>
      </c>
      <c r="AB39" s="176">
        <f t="shared" si="3"/>
        <v>1</v>
      </c>
      <c r="AC39" s="174">
        <f t="shared" si="13"/>
        <v>1</v>
      </c>
      <c r="AD39" s="174">
        <v>1</v>
      </c>
      <c r="AE39" s="174"/>
      <c r="AF39" s="175" t="s">
        <v>293</v>
      </c>
      <c r="AG39" s="168">
        <f>VLOOKUP(Takeoffs!AF39,Sheet1!$B$6:$C$124,2,FALSE)</f>
        <v>0</v>
      </c>
      <c r="AH39" s="168">
        <f t="shared" si="4"/>
        <v>0</v>
      </c>
      <c r="AI39" s="176">
        <f t="shared" si="5"/>
        <v>0</v>
      </c>
      <c r="AJ39" s="174">
        <f t="shared" si="6"/>
        <v>1</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379</v>
      </c>
      <c r="L40" s="128" t="s">
        <v>380</v>
      </c>
      <c r="N40" s="129"/>
      <c r="O40" s="130" t="s">
        <v>359</v>
      </c>
      <c r="P40" s="172">
        <f>P41*M19</f>
        <v>15500</v>
      </c>
      <c r="Q40" s="172"/>
      <c r="R40" s="172"/>
      <c r="S40" s="175"/>
      <c r="T40" s="172"/>
      <c r="U40" s="175" t="s">
        <v>353</v>
      </c>
      <c r="V40" s="172">
        <f>W40*80</f>
        <v>0</v>
      </c>
      <c r="W40" s="177">
        <f>SUM(W19:W39)</f>
        <v>0</v>
      </c>
      <c r="X40" s="178"/>
      <c r="Y40" s="172" t="s">
        <v>354</v>
      </c>
      <c r="Z40" s="168"/>
      <c r="AA40" s="168">
        <f>SUM(AA19:AA39)</f>
        <v>0</v>
      </c>
      <c r="AB40" s="179"/>
      <c r="AC40" s="179"/>
      <c r="AD40" s="179"/>
      <c r="AE40" s="179"/>
      <c r="AF40" s="172" t="s">
        <v>358</v>
      </c>
      <c r="AG40" s="168"/>
      <c r="AH40" s="168">
        <f>SUM(AH19:AH39)</f>
        <v>0</v>
      </c>
      <c r="AI40" s="179"/>
      <c r="AJ40" s="179"/>
      <c r="AK40" s="179"/>
      <c r="AL40" s="149"/>
      <c r="AM40" s="150">
        <f>P40</f>
        <v>15500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494</v>
      </c>
      <c r="C41" s="217" t="str">
        <f>N19</f>
        <v>large-sized weatherproof CHILLER MSSB</v>
      </c>
      <c r="D41" s="260" t="str">
        <f>IF(B41="Shopping List",IF(ISNUMBER(SEARCH("MSSB",C41)),"MSSB",IF(ISNUMBER(SEARCH("local",C41)),"LOCAL","")))</f>
        <v>MSSB</v>
      </c>
      <c r="E41" s="238"/>
      <c r="F41" s="217"/>
      <c r="G41" s="217"/>
      <c r="H41" s="245">
        <v>1</v>
      </c>
      <c r="I41" s="270">
        <v>1</v>
      </c>
      <c r="J41" s="241" t="str">
        <f>CONCATENATE(O19," ",L19, " (",M19,") ",N19,".", IF(M19&gt;1," Each "," This "),"includes supply and install of ",O20,O21,O22,O23,O24,O25,O26,O27,O28,O29,O30,O31,O32,O33,O34,O35,O36,O37,O38,O39,J20,J21,J22,J23,J24,J25,J26,J27,J28,J29,J30,J31,J32,J33,J34,J35,J36,J37,J38,J39)</f>
        <v xml:space="preserve">Electrical services for one (1)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15500</v>
      </c>
      <c r="L41" s="234" t="str">
        <f>CONCATENATE(Q20,Q21,Q22,Q23,Q24,Q25,Q26,Q27,Q28,Q29,Q30,Q31,Q32,Q33,Q34,Q35,Q36,Q37,Q38,Q39,)</f>
        <v/>
      </c>
      <c r="M41" s="166" t="s">
        <v>369</v>
      </c>
      <c r="N41" s="160" t="str">
        <f>N19</f>
        <v>large-sized weatherproof CHILLER MSSB</v>
      </c>
      <c r="O41" s="160" t="s">
        <v>367</v>
      </c>
      <c r="P41" s="64">
        <f>15000+500</f>
        <v>15500</v>
      </c>
      <c r="Q41" s="161"/>
      <c r="R41" s="161"/>
      <c r="S41" s="160"/>
      <c r="T41" s="161"/>
      <c r="U41" s="327" t="s">
        <v>368</v>
      </c>
      <c r="V41" s="327"/>
      <c r="W41" s="162">
        <f>W40/M19</f>
        <v>0</v>
      </c>
      <c r="X41" s="163"/>
      <c r="Y41" s="325" t="s">
        <v>367</v>
      </c>
      <c r="Z41" s="325"/>
      <c r="AA41" s="164">
        <f>AA40/M19</f>
        <v>0</v>
      </c>
      <c r="AB41" s="161"/>
      <c r="AC41" s="161"/>
      <c r="AD41" s="161"/>
      <c r="AE41" s="161"/>
      <c r="AF41" s="325" t="s">
        <v>367</v>
      </c>
      <c r="AG41" s="325"/>
      <c r="AH41" s="164">
        <f>AH40/M19</f>
        <v>0</v>
      </c>
      <c r="AI41" s="161"/>
      <c r="AJ41" s="161"/>
      <c r="AK41" s="161"/>
      <c r="AL41" s="247"/>
      <c r="AM41" s="257"/>
      <c r="AN41" s="236">
        <f>K41*1.25</f>
        <v>19375</v>
      </c>
      <c r="AO41" s="290"/>
      <c r="AP41" s="284">
        <f t="shared" si="7"/>
        <v>15500</v>
      </c>
      <c r="AQ41" s="281">
        <f t="shared" si="8"/>
        <v>0</v>
      </c>
      <c r="AR41" s="284">
        <f t="shared" si="9"/>
        <v>0</v>
      </c>
      <c r="AS41" s="281">
        <f t="shared" si="10"/>
        <v>0</v>
      </c>
      <c r="AT41" s="284">
        <f t="shared" si="11"/>
        <v>15500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454</v>
      </c>
      <c r="M42" s="116" t="s">
        <v>107</v>
      </c>
      <c r="N42" s="116" t="s">
        <v>108</v>
      </c>
      <c r="O42" s="170" t="s">
        <v>388</v>
      </c>
      <c r="P42" s="326" t="s">
        <v>377</v>
      </c>
      <c r="Q42" s="326"/>
      <c r="R42" s="101" t="s">
        <v>454</v>
      </c>
      <c r="S42" s="116" t="s">
        <v>0</v>
      </c>
      <c r="T42" s="118"/>
      <c r="U42" s="116" t="s">
        <v>288</v>
      </c>
      <c r="V42" s="116" t="s">
        <v>289</v>
      </c>
      <c r="W42" s="116" t="s">
        <v>292</v>
      </c>
      <c r="X42" s="140"/>
      <c r="Y42" s="116" t="s">
        <v>290</v>
      </c>
      <c r="Z42" s="116" t="s">
        <v>356</v>
      </c>
      <c r="AA42" s="116" t="s">
        <v>357</v>
      </c>
      <c r="AB42" s="116" t="s">
        <v>319</v>
      </c>
      <c r="AC42" s="116" t="s">
        <v>320</v>
      </c>
      <c r="AD42" s="116" t="s">
        <v>318</v>
      </c>
      <c r="AE42" s="140"/>
      <c r="AF42" s="116" t="s">
        <v>294</v>
      </c>
      <c r="AG42" s="116" t="s">
        <v>356</v>
      </c>
      <c r="AH42" s="116" t="s">
        <v>357</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one</v>
      </c>
      <c r="M43" s="121">
        <f>I65</f>
        <v>1</v>
      </c>
      <c r="N43" s="132" t="s">
        <v>528</v>
      </c>
      <c r="O43" s="121" t="s">
        <v>195</v>
      </c>
      <c r="P43" s="173" t="s">
        <v>381</v>
      </c>
      <c r="Q43" s="173" t="s">
        <v>377</v>
      </c>
      <c r="R43" s="173"/>
      <c r="S43" s="174">
        <f>M43</f>
        <v>1</v>
      </c>
      <c r="T43" s="175"/>
      <c r="U43" s="175" t="s">
        <v>293</v>
      </c>
      <c r="V43" s="174">
        <f>S43</f>
        <v>1</v>
      </c>
      <c r="W43" s="174">
        <f>VLOOKUP(U43,Sheet1!$B$6:$C$45,2,FALSE)*V43</f>
        <v>0</v>
      </c>
      <c r="X43" s="174"/>
      <c r="Y43" s="175" t="s">
        <v>293</v>
      </c>
      <c r="Z43" s="168">
        <f>VLOOKUP(Takeoffs!Y43,Sheet1!$B$6:$C$124,2,FALSE)</f>
        <v>0</v>
      </c>
      <c r="AA43" s="168">
        <f>Z43*AB43</f>
        <v>0</v>
      </c>
      <c r="AB43" s="176">
        <f>AD43*AC43</f>
        <v>1</v>
      </c>
      <c r="AC43" s="174">
        <f>S43</f>
        <v>1</v>
      </c>
      <c r="AD43" s="174">
        <v>1</v>
      </c>
      <c r="AE43" s="174"/>
      <c r="AF43" s="175" t="s">
        <v>293</v>
      </c>
      <c r="AG43" s="168">
        <f>VLOOKUP(Takeoffs!AF43,Sheet1!$B$6:$C$124,2,FALSE)</f>
        <v>0</v>
      </c>
      <c r="AH43" s="168">
        <f>AG43*AI43</f>
        <v>0</v>
      </c>
      <c r="AI43" s="176">
        <f>AK43*AJ43</f>
        <v>0</v>
      </c>
      <c r="AJ43" s="174">
        <f>S43</f>
        <v>1</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537</v>
      </c>
      <c r="P44" s="175"/>
      <c r="Q44" s="175"/>
      <c r="R44" s="175"/>
      <c r="S44" s="174">
        <f>M43</f>
        <v>1</v>
      </c>
      <c r="T44" s="172"/>
      <c r="U44" s="175" t="s">
        <v>293</v>
      </c>
      <c r="V44" s="174">
        <f t="shared" ref="V44:V63" si="14">S44</f>
        <v>1</v>
      </c>
      <c r="W44" s="174">
        <f>VLOOKUP(U44,Sheet1!$B$6:$C$45,2,FALSE)*V44</f>
        <v>0</v>
      </c>
      <c r="X44" s="174"/>
      <c r="Y44" s="175" t="s">
        <v>293</v>
      </c>
      <c r="Z44" s="168">
        <f>VLOOKUP(Takeoffs!Y44,Sheet1!$B$6:$C$124,2,FALSE)</f>
        <v>0</v>
      </c>
      <c r="AA44" s="168">
        <f t="shared" ref="AA44:AA63" si="15">Z44*AB44</f>
        <v>0</v>
      </c>
      <c r="AB44" s="176">
        <f t="shared" ref="AB44:AB63" si="16">AD44*AC44</f>
        <v>1</v>
      </c>
      <c r="AC44" s="174">
        <f>S44</f>
        <v>1</v>
      </c>
      <c r="AD44" s="174">
        <v>1</v>
      </c>
      <c r="AE44" s="174"/>
      <c r="AF44" s="175" t="s">
        <v>293</v>
      </c>
      <c r="AG44" s="168">
        <f>VLOOKUP(Takeoffs!AF44,Sheet1!$B$6:$C$124,2,FALSE)</f>
        <v>0</v>
      </c>
      <c r="AH44" s="168">
        <f t="shared" ref="AH44:AH63" si="17">AG44*AI44</f>
        <v>0</v>
      </c>
      <c r="AI44" s="176">
        <f t="shared" ref="AI44:AI63" si="18">AK44*AJ44</f>
        <v>0</v>
      </c>
      <c r="AJ44" s="174">
        <f t="shared" ref="AJ44:AJ63" si="19">S44</f>
        <v>1</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401</v>
      </c>
      <c r="P45" s="175"/>
      <c r="Q45" s="175"/>
      <c r="R45" s="175"/>
      <c r="S45" s="174">
        <f>M43</f>
        <v>1</v>
      </c>
      <c r="T45" s="172"/>
      <c r="U45" s="175" t="s">
        <v>293</v>
      </c>
      <c r="V45" s="174">
        <f t="shared" si="14"/>
        <v>1</v>
      </c>
      <c r="W45" s="174">
        <f>VLOOKUP(U45,Sheet1!$B$6:$C$45,2,FALSE)*V45</f>
        <v>0</v>
      </c>
      <c r="X45" s="174"/>
      <c r="Y45" s="175" t="s">
        <v>293</v>
      </c>
      <c r="Z45" s="168">
        <f>VLOOKUP(Takeoffs!Y45,Sheet1!$B$6:$C$124,2,FALSE)</f>
        <v>0</v>
      </c>
      <c r="AA45" s="168">
        <f t="shared" si="15"/>
        <v>0</v>
      </c>
      <c r="AB45" s="176">
        <f t="shared" si="16"/>
        <v>1</v>
      </c>
      <c r="AC45" s="174">
        <f>S45</f>
        <v>1</v>
      </c>
      <c r="AD45" s="174">
        <v>1</v>
      </c>
      <c r="AE45" s="174"/>
      <c r="AF45" s="175" t="s">
        <v>293</v>
      </c>
      <c r="AG45" s="168">
        <f>VLOOKUP(Takeoffs!AF45,Sheet1!$B$6:$C$124,2,FALSE)</f>
        <v>0</v>
      </c>
      <c r="AH45" s="168">
        <f t="shared" si="17"/>
        <v>0</v>
      </c>
      <c r="AI45" s="176">
        <f t="shared" si="18"/>
        <v>0</v>
      </c>
      <c r="AJ45" s="174">
        <f t="shared" si="19"/>
        <v>1</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402</v>
      </c>
      <c r="P46" s="175"/>
      <c r="Q46" s="175"/>
      <c r="R46" s="175"/>
      <c r="S46" s="174">
        <f>M43</f>
        <v>1</v>
      </c>
      <c r="T46" s="172"/>
      <c r="U46" s="175" t="s">
        <v>293</v>
      </c>
      <c r="V46" s="174">
        <f t="shared" si="14"/>
        <v>1</v>
      </c>
      <c r="W46" s="174">
        <f>VLOOKUP(U46,Sheet1!$B$6:$C$45,2,FALSE)*V46</f>
        <v>0</v>
      </c>
      <c r="X46" s="174"/>
      <c r="Y46" s="175" t="s">
        <v>293</v>
      </c>
      <c r="Z46" s="168">
        <f>VLOOKUP(Takeoffs!Y46,Sheet1!$B$6:$C$124,2,FALSE)</f>
        <v>0</v>
      </c>
      <c r="AA46" s="168">
        <f t="shared" si="15"/>
        <v>0</v>
      </c>
      <c r="AB46" s="176">
        <f t="shared" si="16"/>
        <v>1</v>
      </c>
      <c r="AC46" s="174">
        <f t="shared" ref="AC46:AC63" si="21">S46</f>
        <v>1</v>
      </c>
      <c r="AD46" s="174">
        <v>1</v>
      </c>
      <c r="AE46" s="174"/>
      <c r="AF46" s="175" t="s">
        <v>293</v>
      </c>
      <c r="AG46" s="168">
        <f>VLOOKUP(Takeoffs!AF46,Sheet1!$B$6:$C$124,2,FALSE)</f>
        <v>0</v>
      </c>
      <c r="AH46" s="168">
        <f t="shared" si="17"/>
        <v>0</v>
      </c>
      <c r="AI46" s="176">
        <f t="shared" si="18"/>
        <v>0</v>
      </c>
      <c r="AJ46" s="174">
        <f t="shared" si="19"/>
        <v>1</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403</v>
      </c>
      <c r="P47" s="175"/>
      <c r="Q47" s="175"/>
      <c r="R47" s="175"/>
      <c r="S47" s="174">
        <f>M43</f>
        <v>1</v>
      </c>
      <c r="T47" s="172"/>
      <c r="U47" s="175" t="s">
        <v>293</v>
      </c>
      <c r="V47" s="174">
        <f t="shared" si="14"/>
        <v>1</v>
      </c>
      <c r="W47" s="174">
        <f>VLOOKUP(U47,Sheet1!$B$6:$C$45,2,FALSE)*V47</f>
        <v>0</v>
      </c>
      <c r="X47" s="174"/>
      <c r="Y47" s="175" t="s">
        <v>293</v>
      </c>
      <c r="Z47" s="168">
        <f>VLOOKUP(Takeoffs!Y47,Sheet1!$B$6:$C$124,2,FALSE)</f>
        <v>0</v>
      </c>
      <c r="AA47" s="168">
        <f t="shared" si="15"/>
        <v>0</v>
      </c>
      <c r="AB47" s="176">
        <f t="shared" si="16"/>
        <v>1</v>
      </c>
      <c r="AC47" s="174">
        <f t="shared" si="21"/>
        <v>1</v>
      </c>
      <c r="AD47" s="174">
        <v>1</v>
      </c>
      <c r="AE47" s="174"/>
      <c r="AF47" s="175" t="s">
        <v>293</v>
      </c>
      <c r="AG47" s="168">
        <f>VLOOKUP(Takeoffs!AF47,Sheet1!$B$6:$C$124,2,FALSE)</f>
        <v>0</v>
      </c>
      <c r="AH47" s="168">
        <f t="shared" si="17"/>
        <v>0</v>
      </c>
      <c r="AI47" s="176">
        <f t="shared" si="18"/>
        <v>0</v>
      </c>
      <c r="AJ47" s="174">
        <f t="shared" si="19"/>
        <v>1</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404</v>
      </c>
      <c r="P48" s="175"/>
      <c r="Q48" s="175"/>
      <c r="R48" s="175"/>
      <c r="S48" s="174">
        <f>M43</f>
        <v>1</v>
      </c>
      <c r="T48" s="172"/>
      <c r="U48" s="175" t="s">
        <v>293</v>
      </c>
      <c r="V48" s="174">
        <f t="shared" si="14"/>
        <v>1</v>
      </c>
      <c r="W48" s="174">
        <f>VLOOKUP(U48,Sheet1!$B$6:$C$45,2,FALSE)*V48</f>
        <v>0</v>
      </c>
      <c r="X48" s="174"/>
      <c r="Y48" s="175" t="s">
        <v>293</v>
      </c>
      <c r="Z48" s="168">
        <f>VLOOKUP(Takeoffs!Y48,Sheet1!$B$6:$C$124,2,FALSE)</f>
        <v>0</v>
      </c>
      <c r="AA48" s="168">
        <f t="shared" si="15"/>
        <v>0</v>
      </c>
      <c r="AB48" s="176">
        <f t="shared" si="16"/>
        <v>1</v>
      </c>
      <c r="AC48" s="174">
        <f t="shared" si="21"/>
        <v>1</v>
      </c>
      <c r="AD48" s="174">
        <v>1</v>
      </c>
      <c r="AE48" s="174"/>
      <c r="AF48" s="175" t="s">
        <v>293</v>
      </c>
      <c r="AG48" s="168">
        <f>VLOOKUP(Takeoffs!AF48,Sheet1!$B$6:$C$124,2,FALSE)</f>
        <v>0</v>
      </c>
      <c r="AH48" s="168">
        <f t="shared" si="17"/>
        <v>0</v>
      </c>
      <c r="AI48" s="176">
        <f t="shared" si="18"/>
        <v>0</v>
      </c>
      <c r="AJ48" s="174">
        <f t="shared" si="19"/>
        <v>1</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405</v>
      </c>
      <c r="P49" s="175"/>
      <c r="Q49" s="175"/>
      <c r="R49" s="175"/>
      <c r="S49" s="174">
        <f>M43</f>
        <v>1</v>
      </c>
      <c r="T49" s="172"/>
      <c r="U49" s="175" t="s">
        <v>293</v>
      </c>
      <c r="V49" s="174">
        <f t="shared" si="14"/>
        <v>1</v>
      </c>
      <c r="W49" s="174">
        <f>VLOOKUP(U49,Sheet1!$B$6:$C$45,2,FALSE)*V49</f>
        <v>0</v>
      </c>
      <c r="X49" s="174"/>
      <c r="Y49" s="175" t="s">
        <v>293</v>
      </c>
      <c r="Z49" s="168">
        <f>VLOOKUP(Takeoffs!Y49,Sheet1!$B$6:$C$124,2,FALSE)</f>
        <v>0</v>
      </c>
      <c r="AA49" s="168">
        <f t="shared" si="15"/>
        <v>0</v>
      </c>
      <c r="AB49" s="176">
        <f t="shared" si="16"/>
        <v>1</v>
      </c>
      <c r="AC49" s="174">
        <f t="shared" si="21"/>
        <v>1</v>
      </c>
      <c r="AD49" s="174">
        <v>1</v>
      </c>
      <c r="AE49" s="174"/>
      <c r="AF49" s="175" t="s">
        <v>293</v>
      </c>
      <c r="AG49" s="168">
        <f>VLOOKUP(Takeoffs!AF49,Sheet1!$B$6:$C$124,2,FALSE)</f>
        <v>0</v>
      </c>
      <c r="AH49" s="168">
        <f t="shared" si="17"/>
        <v>0</v>
      </c>
      <c r="AI49" s="176">
        <f t="shared" si="18"/>
        <v>0</v>
      </c>
      <c r="AJ49" s="174">
        <f t="shared" si="19"/>
        <v>1</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406</v>
      </c>
      <c r="P50" s="175"/>
      <c r="Q50" s="175"/>
      <c r="R50" s="175"/>
      <c r="S50" s="174">
        <f>M43</f>
        <v>1</v>
      </c>
      <c r="T50" s="172"/>
      <c r="U50" s="175" t="s">
        <v>293</v>
      </c>
      <c r="V50" s="174">
        <f t="shared" si="14"/>
        <v>1</v>
      </c>
      <c r="W50" s="174">
        <f>VLOOKUP(U50,Sheet1!$B$6:$C$45,2,FALSE)*V50</f>
        <v>0</v>
      </c>
      <c r="X50" s="174"/>
      <c r="Y50" s="175" t="s">
        <v>293</v>
      </c>
      <c r="Z50" s="168">
        <f>VLOOKUP(Takeoffs!Y50,Sheet1!$B$6:$C$124,2,FALSE)</f>
        <v>0</v>
      </c>
      <c r="AA50" s="168">
        <f t="shared" si="15"/>
        <v>0</v>
      </c>
      <c r="AB50" s="176">
        <f t="shared" si="16"/>
        <v>1</v>
      </c>
      <c r="AC50" s="174">
        <f t="shared" si="21"/>
        <v>1</v>
      </c>
      <c r="AD50" s="174">
        <v>1</v>
      </c>
      <c r="AE50" s="174"/>
      <c r="AF50" s="175" t="s">
        <v>293</v>
      </c>
      <c r="AG50" s="168">
        <f>VLOOKUP(Takeoffs!AF50,Sheet1!$B$6:$C$124,2,FALSE)</f>
        <v>0</v>
      </c>
      <c r="AH50" s="168">
        <f t="shared" si="17"/>
        <v>0</v>
      </c>
      <c r="AI50" s="176">
        <f t="shared" si="18"/>
        <v>0</v>
      </c>
      <c r="AJ50" s="174">
        <f t="shared" si="19"/>
        <v>1</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512</v>
      </c>
      <c r="P51" s="175"/>
      <c r="Q51" s="175"/>
      <c r="R51" s="175"/>
      <c r="S51" s="174">
        <f>M43</f>
        <v>1</v>
      </c>
      <c r="T51" s="172"/>
      <c r="U51" s="175" t="s">
        <v>293</v>
      </c>
      <c r="V51" s="174">
        <f t="shared" si="14"/>
        <v>1</v>
      </c>
      <c r="W51" s="174">
        <f>VLOOKUP(U51,Sheet1!$B$6:$C$45,2,FALSE)*V51</f>
        <v>0</v>
      </c>
      <c r="X51" s="174"/>
      <c r="Y51" s="175" t="s">
        <v>293</v>
      </c>
      <c r="Z51" s="168">
        <f>VLOOKUP(Takeoffs!Y51,Sheet1!$B$6:$C$124,2,FALSE)</f>
        <v>0</v>
      </c>
      <c r="AA51" s="168">
        <f t="shared" si="15"/>
        <v>0</v>
      </c>
      <c r="AB51" s="176">
        <f t="shared" si="16"/>
        <v>1</v>
      </c>
      <c r="AC51" s="174">
        <f t="shared" si="21"/>
        <v>1</v>
      </c>
      <c r="AD51" s="174">
        <v>1</v>
      </c>
      <c r="AE51" s="174"/>
      <c r="AF51" s="175" t="s">
        <v>293</v>
      </c>
      <c r="AG51" s="168">
        <f>VLOOKUP(Takeoffs!AF51,Sheet1!$B$6:$C$124,2,FALSE)</f>
        <v>0</v>
      </c>
      <c r="AH51" s="168">
        <f t="shared" si="17"/>
        <v>0</v>
      </c>
      <c r="AI51" s="176">
        <f t="shared" si="18"/>
        <v>0</v>
      </c>
      <c r="AJ51" s="174">
        <f t="shared" si="19"/>
        <v>1</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442</v>
      </c>
      <c r="P52" s="175"/>
      <c r="Q52" s="175"/>
      <c r="R52" s="175"/>
      <c r="S52" s="174">
        <f>M43</f>
        <v>1</v>
      </c>
      <c r="T52" s="172"/>
      <c r="U52" s="175" t="s">
        <v>293</v>
      </c>
      <c r="V52" s="174">
        <f t="shared" si="14"/>
        <v>1</v>
      </c>
      <c r="W52" s="174">
        <f>VLOOKUP(U52,Sheet1!$B$6:$C$45,2,FALSE)*V52</f>
        <v>0</v>
      </c>
      <c r="X52" s="174"/>
      <c r="Y52" s="175" t="s">
        <v>293</v>
      </c>
      <c r="Z52" s="168">
        <f>VLOOKUP(Takeoffs!Y52,Sheet1!$B$6:$C$124,2,FALSE)</f>
        <v>0</v>
      </c>
      <c r="AA52" s="168">
        <f t="shared" si="15"/>
        <v>0</v>
      </c>
      <c r="AB52" s="176">
        <f t="shared" si="16"/>
        <v>1</v>
      </c>
      <c r="AC52" s="174">
        <f t="shared" si="21"/>
        <v>1</v>
      </c>
      <c r="AD52" s="174">
        <v>1</v>
      </c>
      <c r="AE52" s="174"/>
      <c r="AF52" s="175" t="s">
        <v>293</v>
      </c>
      <c r="AG52" s="168">
        <f>VLOOKUP(Takeoffs!AF52,Sheet1!$B$6:$C$124,2,FALSE)</f>
        <v>0</v>
      </c>
      <c r="AH52" s="168">
        <f t="shared" si="17"/>
        <v>0</v>
      </c>
      <c r="AI52" s="176">
        <f t="shared" si="18"/>
        <v>0</v>
      </c>
      <c r="AJ52" s="174">
        <f t="shared" si="19"/>
        <v>1</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407</v>
      </c>
      <c r="P53" s="175"/>
      <c r="Q53" s="175"/>
      <c r="R53" s="175"/>
      <c r="S53" s="174">
        <f>M43</f>
        <v>1</v>
      </c>
      <c r="T53" s="172"/>
      <c r="U53" s="175" t="s">
        <v>293</v>
      </c>
      <c r="V53" s="174">
        <f t="shared" si="14"/>
        <v>1</v>
      </c>
      <c r="W53" s="174">
        <f>VLOOKUP(U53,Sheet1!$B$6:$C$45,2,FALSE)*V53</f>
        <v>0</v>
      </c>
      <c r="X53" s="174"/>
      <c r="Y53" s="175" t="s">
        <v>293</v>
      </c>
      <c r="Z53" s="168">
        <f>VLOOKUP(Takeoffs!Y53,Sheet1!$B$6:$C$124,2,FALSE)</f>
        <v>0</v>
      </c>
      <c r="AA53" s="168">
        <f t="shared" si="15"/>
        <v>0</v>
      </c>
      <c r="AB53" s="176">
        <f t="shared" si="16"/>
        <v>1</v>
      </c>
      <c r="AC53" s="174">
        <f t="shared" si="21"/>
        <v>1</v>
      </c>
      <c r="AD53" s="174">
        <v>1</v>
      </c>
      <c r="AE53" s="174"/>
      <c r="AF53" s="175" t="s">
        <v>293</v>
      </c>
      <c r="AG53" s="168">
        <f>VLOOKUP(Takeoffs!AF53,Sheet1!$B$6:$C$124,2,FALSE)</f>
        <v>0</v>
      </c>
      <c r="AH53" s="168">
        <f t="shared" si="17"/>
        <v>0</v>
      </c>
      <c r="AI53" s="176">
        <f t="shared" si="18"/>
        <v>0</v>
      </c>
      <c r="AJ53" s="174">
        <f t="shared" si="19"/>
        <v>1</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1</v>
      </c>
      <c r="T54" s="172"/>
      <c r="U54" s="175" t="s">
        <v>293</v>
      </c>
      <c r="V54" s="174">
        <f t="shared" si="14"/>
        <v>1</v>
      </c>
      <c r="W54" s="174">
        <f>VLOOKUP(U54,Sheet1!$B$6:$C$45,2,FALSE)*V54</f>
        <v>0</v>
      </c>
      <c r="X54" s="174"/>
      <c r="Y54" s="175" t="s">
        <v>293</v>
      </c>
      <c r="Z54" s="168">
        <f>VLOOKUP(Takeoffs!Y54,Sheet1!$B$6:$C$124,2,FALSE)</f>
        <v>0</v>
      </c>
      <c r="AA54" s="168">
        <f t="shared" si="15"/>
        <v>0</v>
      </c>
      <c r="AB54" s="176">
        <f t="shared" si="16"/>
        <v>1</v>
      </c>
      <c r="AC54" s="174">
        <f t="shared" si="21"/>
        <v>1</v>
      </c>
      <c r="AD54" s="174">
        <v>1</v>
      </c>
      <c r="AE54" s="174"/>
      <c r="AF54" s="175" t="s">
        <v>293</v>
      </c>
      <c r="AG54" s="168">
        <f>VLOOKUP(Takeoffs!AF54,Sheet1!$B$6:$C$124,2,FALSE)</f>
        <v>0</v>
      </c>
      <c r="AH54" s="168">
        <f t="shared" si="17"/>
        <v>0</v>
      </c>
      <c r="AI54" s="176">
        <f t="shared" si="18"/>
        <v>0</v>
      </c>
      <c r="AJ54" s="174">
        <f t="shared" si="19"/>
        <v>1</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1</v>
      </c>
      <c r="T55" s="172"/>
      <c r="U55" s="175" t="s">
        <v>293</v>
      </c>
      <c r="V55" s="174">
        <f t="shared" si="14"/>
        <v>1</v>
      </c>
      <c r="W55" s="174">
        <f>VLOOKUP(U55,Sheet1!$B$6:$C$45,2,FALSE)*V55</f>
        <v>0</v>
      </c>
      <c r="X55" s="174"/>
      <c r="Y55" s="175" t="s">
        <v>293</v>
      </c>
      <c r="Z55" s="168">
        <f>VLOOKUP(Takeoffs!Y55,Sheet1!$B$6:$C$124,2,FALSE)</f>
        <v>0</v>
      </c>
      <c r="AA55" s="168">
        <f t="shared" si="15"/>
        <v>0</v>
      </c>
      <c r="AB55" s="176">
        <f t="shared" si="16"/>
        <v>1</v>
      </c>
      <c r="AC55" s="174">
        <f t="shared" si="21"/>
        <v>1</v>
      </c>
      <c r="AD55" s="174">
        <v>1</v>
      </c>
      <c r="AE55" s="174"/>
      <c r="AF55" s="175" t="s">
        <v>293</v>
      </c>
      <c r="AG55" s="168">
        <f>VLOOKUP(Takeoffs!AF55,Sheet1!$B$6:$C$124,2,FALSE)</f>
        <v>0</v>
      </c>
      <c r="AH55" s="168">
        <f t="shared" si="17"/>
        <v>0</v>
      </c>
      <c r="AI55" s="176">
        <f t="shared" si="18"/>
        <v>0</v>
      </c>
      <c r="AJ55" s="174">
        <f t="shared" si="19"/>
        <v>1</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1</v>
      </c>
      <c r="T56" s="172"/>
      <c r="U56" s="175" t="s">
        <v>293</v>
      </c>
      <c r="V56" s="174">
        <f t="shared" si="14"/>
        <v>1</v>
      </c>
      <c r="W56" s="174">
        <f>VLOOKUP(U56,Sheet1!$B$6:$C$45,2,FALSE)*V56</f>
        <v>0</v>
      </c>
      <c r="X56" s="174"/>
      <c r="Y56" s="175" t="s">
        <v>293</v>
      </c>
      <c r="Z56" s="168">
        <f>VLOOKUP(Takeoffs!Y56,Sheet1!$B$6:$C$124,2,FALSE)</f>
        <v>0</v>
      </c>
      <c r="AA56" s="168">
        <f t="shared" si="15"/>
        <v>0</v>
      </c>
      <c r="AB56" s="176">
        <f t="shared" si="16"/>
        <v>1</v>
      </c>
      <c r="AC56" s="174">
        <f t="shared" si="21"/>
        <v>1</v>
      </c>
      <c r="AD56" s="174">
        <v>1</v>
      </c>
      <c r="AE56" s="174"/>
      <c r="AF56" s="175" t="s">
        <v>293</v>
      </c>
      <c r="AG56" s="168">
        <f>VLOOKUP(Takeoffs!AF56,Sheet1!$B$6:$C$124,2,FALSE)</f>
        <v>0</v>
      </c>
      <c r="AH56" s="168">
        <f t="shared" si="17"/>
        <v>0</v>
      </c>
      <c r="AI56" s="176">
        <f t="shared" si="18"/>
        <v>0</v>
      </c>
      <c r="AJ56" s="174">
        <f t="shared" si="19"/>
        <v>1</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1</v>
      </c>
      <c r="T57" s="172"/>
      <c r="U57" s="175" t="s">
        <v>293</v>
      </c>
      <c r="V57" s="174">
        <f t="shared" si="14"/>
        <v>1</v>
      </c>
      <c r="W57" s="174">
        <f>VLOOKUP(U57,Sheet1!$B$6:$C$45,2,FALSE)*V57</f>
        <v>0</v>
      </c>
      <c r="X57" s="174"/>
      <c r="Y57" s="175" t="s">
        <v>293</v>
      </c>
      <c r="Z57" s="168">
        <f>VLOOKUP(Takeoffs!Y57,Sheet1!$B$6:$C$124,2,FALSE)</f>
        <v>0</v>
      </c>
      <c r="AA57" s="168">
        <f t="shared" si="15"/>
        <v>0</v>
      </c>
      <c r="AB57" s="176">
        <f t="shared" si="16"/>
        <v>1</v>
      </c>
      <c r="AC57" s="174">
        <f t="shared" si="21"/>
        <v>1</v>
      </c>
      <c r="AD57" s="174">
        <v>1</v>
      </c>
      <c r="AE57" s="174"/>
      <c r="AF57" s="175" t="s">
        <v>293</v>
      </c>
      <c r="AG57" s="168">
        <f>VLOOKUP(Takeoffs!AF57,Sheet1!$B$6:$C$124,2,FALSE)</f>
        <v>0</v>
      </c>
      <c r="AH57" s="168">
        <f t="shared" si="17"/>
        <v>0</v>
      </c>
      <c r="AI57" s="176">
        <f t="shared" si="18"/>
        <v>0</v>
      </c>
      <c r="AJ57" s="174">
        <f t="shared" si="19"/>
        <v>1</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1</v>
      </c>
      <c r="T58" s="172"/>
      <c r="U58" s="175" t="s">
        <v>293</v>
      </c>
      <c r="V58" s="174">
        <f t="shared" si="14"/>
        <v>1</v>
      </c>
      <c r="W58" s="174">
        <f>VLOOKUP(U58,Sheet1!$B$6:$C$45,2,FALSE)*V58</f>
        <v>0</v>
      </c>
      <c r="X58" s="174"/>
      <c r="Y58" s="175" t="s">
        <v>293</v>
      </c>
      <c r="Z58" s="168">
        <f>VLOOKUP(Takeoffs!Y58,Sheet1!$B$6:$C$124,2,FALSE)</f>
        <v>0</v>
      </c>
      <c r="AA58" s="168">
        <f t="shared" si="15"/>
        <v>0</v>
      </c>
      <c r="AB58" s="176">
        <f t="shared" si="16"/>
        <v>2</v>
      </c>
      <c r="AC58" s="174">
        <f t="shared" si="21"/>
        <v>1</v>
      </c>
      <c r="AD58" s="174">
        <v>2</v>
      </c>
      <c r="AE58" s="174"/>
      <c r="AF58" s="175" t="s">
        <v>293</v>
      </c>
      <c r="AG58" s="168">
        <f>VLOOKUP(Takeoffs!AF58,Sheet1!$B$6:$C$124,2,FALSE)</f>
        <v>0</v>
      </c>
      <c r="AH58" s="168">
        <f t="shared" si="17"/>
        <v>0</v>
      </c>
      <c r="AI58" s="176">
        <f t="shared" si="18"/>
        <v>0</v>
      </c>
      <c r="AJ58" s="174">
        <f t="shared" si="19"/>
        <v>1</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1</v>
      </c>
      <c r="T59" s="172"/>
      <c r="U59" s="175" t="s">
        <v>293</v>
      </c>
      <c r="V59" s="174">
        <f t="shared" si="14"/>
        <v>1</v>
      </c>
      <c r="W59" s="174">
        <f>VLOOKUP(U59,Sheet1!$B$6:$C$45,2,FALSE)*V59</f>
        <v>0</v>
      </c>
      <c r="X59" s="174"/>
      <c r="Y59" s="175" t="s">
        <v>293</v>
      </c>
      <c r="Z59" s="168">
        <f>VLOOKUP(Takeoffs!Y59,Sheet1!$B$6:$C$124,2,FALSE)</f>
        <v>0</v>
      </c>
      <c r="AA59" s="168">
        <f t="shared" si="15"/>
        <v>0</v>
      </c>
      <c r="AB59" s="176">
        <f t="shared" si="16"/>
        <v>1</v>
      </c>
      <c r="AC59" s="174">
        <f t="shared" si="21"/>
        <v>1</v>
      </c>
      <c r="AD59" s="174">
        <v>1</v>
      </c>
      <c r="AE59" s="174"/>
      <c r="AF59" s="175" t="s">
        <v>293</v>
      </c>
      <c r="AG59" s="168">
        <f>VLOOKUP(Takeoffs!AF59,Sheet1!$B$6:$C$124,2,FALSE)</f>
        <v>0</v>
      </c>
      <c r="AH59" s="168">
        <f t="shared" si="17"/>
        <v>0</v>
      </c>
      <c r="AI59" s="176">
        <f t="shared" si="18"/>
        <v>0</v>
      </c>
      <c r="AJ59" s="174">
        <f t="shared" si="19"/>
        <v>1</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1</v>
      </c>
      <c r="T60" s="172"/>
      <c r="U60" s="175" t="s">
        <v>293</v>
      </c>
      <c r="V60" s="174">
        <f t="shared" si="14"/>
        <v>1</v>
      </c>
      <c r="W60" s="174">
        <f>VLOOKUP(U60,Sheet1!$B$6:$C$45,2,FALSE)*V60</f>
        <v>0</v>
      </c>
      <c r="X60" s="174"/>
      <c r="Y60" s="175" t="s">
        <v>293</v>
      </c>
      <c r="Z60" s="168">
        <f>VLOOKUP(Takeoffs!Y60,Sheet1!$B$6:$C$124,2,FALSE)</f>
        <v>0</v>
      </c>
      <c r="AA60" s="168">
        <f t="shared" si="15"/>
        <v>0</v>
      </c>
      <c r="AB60" s="176">
        <f t="shared" si="16"/>
        <v>1</v>
      </c>
      <c r="AC60" s="174">
        <f t="shared" si="21"/>
        <v>1</v>
      </c>
      <c r="AD60" s="174">
        <v>1</v>
      </c>
      <c r="AE60" s="174"/>
      <c r="AF60" s="175" t="s">
        <v>293</v>
      </c>
      <c r="AG60" s="168">
        <f>VLOOKUP(Takeoffs!AF60,Sheet1!$B$6:$C$124,2,FALSE)</f>
        <v>0</v>
      </c>
      <c r="AH60" s="168">
        <f t="shared" si="17"/>
        <v>0</v>
      </c>
      <c r="AI60" s="176">
        <f t="shared" si="18"/>
        <v>0</v>
      </c>
      <c r="AJ60" s="174">
        <f t="shared" si="19"/>
        <v>1</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1</v>
      </c>
      <c r="T61" s="172"/>
      <c r="U61" s="175" t="s">
        <v>293</v>
      </c>
      <c r="V61" s="174">
        <f t="shared" si="14"/>
        <v>1</v>
      </c>
      <c r="W61" s="174">
        <f>VLOOKUP(U61,Sheet1!$B$6:$C$45,2,FALSE)*V61</f>
        <v>0</v>
      </c>
      <c r="X61" s="174"/>
      <c r="Y61" s="175" t="s">
        <v>293</v>
      </c>
      <c r="Z61" s="168">
        <f>VLOOKUP(Takeoffs!Y61,Sheet1!$B$6:$C$124,2,FALSE)</f>
        <v>0</v>
      </c>
      <c r="AA61" s="168">
        <f t="shared" si="15"/>
        <v>0</v>
      </c>
      <c r="AB61" s="176">
        <f t="shared" si="16"/>
        <v>1</v>
      </c>
      <c r="AC61" s="174">
        <f t="shared" si="21"/>
        <v>1</v>
      </c>
      <c r="AD61" s="174">
        <v>1</v>
      </c>
      <c r="AE61" s="174"/>
      <c r="AF61" s="175" t="s">
        <v>293</v>
      </c>
      <c r="AG61" s="168">
        <f>VLOOKUP(Takeoffs!AF61,Sheet1!$B$6:$C$124,2,FALSE)</f>
        <v>0</v>
      </c>
      <c r="AH61" s="168">
        <f t="shared" si="17"/>
        <v>0</v>
      </c>
      <c r="AI61" s="176">
        <f t="shared" si="18"/>
        <v>0</v>
      </c>
      <c r="AJ61" s="174">
        <f t="shared" si="19"/>
        <v>1</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1</v>
      </c>
      <c r="T62" s="172"/>
      <c r="U62" s="175" t="s">
        <v>293</v>
      </c>
      <c r="V62" s="174">
        <f t="shared" si="14"/>
        <v>1</v>
      </c>
      <c r="W62" s="174">
        <f>VLOOKUP(U62,Sheet1!$B$6:$C$45,2,FALSE)*V62</f>
        <v>0</v>
      </c>
      <c r="X62" s="174"/>
      <c r="Y62" s="175" t="s">
        <v>293</v>
      </c>
      <c r="Z62" s="168">
        <f>VLOOKUP(Takeoffs!Y62,Sheet1!$B$6:$C$124,2,FALSE)</f>
        <v>0</v>
      </c>
      <c r="AA62" s="168">
        <f t="shared" si="15"/>
        <v>0</v>
      </c>
      <c r="AB62" s="176">
        <f t="shared" si="16"/>
        <v>1</v>
      </c>
      <c r="AC62" s="174">
        <f t="shared" si="21"/>
        <v>1</v>
      </c>
      <c r="AD62" s="174">
        <v>1</v>
      </c>
      <c r="AE62" s="174"/>
      <c r="AF62" s="175" t="s">
        <v>293</v>
      </c>
      <c r="AG62" s="168">
        <f>VLOOKUP(Takeoffs!AF62,Sheet1!$B$6:$C$124,2,FALSE)</f>
        <v>0</v>
      </c>
      <c r="AH62" s="168">
        <f t="shared" si="17"/>
        <v>0</v>
      </c>
      <c r="AI62" s="176">
        <f t="shared" si="18"/>
        <v>0</v>
      </c>
      <c r="AJ62" s="174">
        <f t="shared" si="19"/>
        <v>1</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1</v>
      </c>
      <c r="T63" s="172"/>
      <c r="U63" s="175" t="s">
        <v>293</v>
      </c>
      <c r="V63" s="174">
        <f t="shared" si="14"/>
        <v>1</v>
      </c>
      <c r="W63" s="174">
        <f>VLOOKUP(U63,Sheet1!$B$6:$C$45,2,FALSE)*V63</f>
        <v>0</v>
      </c>
      <c r="X63" s="174"/>
      <c r="Y63" s="175" t="s">
        <v>293</v>
      </c>
      <c r="Z63" s="168">
        <f>VLOOKUP(Takeoffs!Y63,Sheet1!$B$6:$C$124,2,FALSE)</f>
        <v>0</v>
      </c>
      <c r="AA63" s="168">
        <f t="shared" si="15"/>
        <v>0</v>
      </c>
      <c r="AB63" s="176">
        <f t="shared" si="16"/>
        <v>1</v>
      </c>
      <c r="AC63" s="174">
        <f t="shared" si="21"/>
        <v>1</v>
      </c>
      <c r="AD63" s="174">
        <v>1</v>
      </c>
      <c r="AE63" s="174"/>
      <c r="AF63" s="175" t="s">
        <v>293</v>
      </c>
      <c r="AG63" s="168">
        <f>VLOOKUP(Takeoffs!AF63,Sheet1!$B$6:$C$124,2,FALSE)</f>
        <v>0</v>
      </c>
      <c r="AH63" s="168">
        <f t="shared" si="17"/>
        <v>0</v>
      </c>
      <c r="AI63" s="176">
        <f t="shared" si="18"/>
        <v>0</v>
      </c>
      <c r="AJ63" s="174">
        <f t="shared" si="19"/>
        <v>1</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379</v>
      </c>
      <c r="L64" s="128" t="s">
        <v>380</v>
      </c>
      <c r="N64" s="129"/>
      <c r="O64" s="130" t="s">
        <v>359</v>
      </c>
      <c r="P64" s="172">
        <f>P65*M43</f>
        <v>6700</v>
      </c>
      <c r="Q64" s="172"/>
      <c r="R64" s="172"/>
      <c r="S64" s="175"/>
      <c r="T64" s="172"/>
      <c r="U64" s="175" t="s">
        <v>353</v>
      </c>
      <c r="V64" s="172">
        <f>W64*80</f>
        <v>0</v>
      </c>
      <c r="W64" s="177">
        <f>SUM(W43:W63)</f>
        <v>0</v>
      </c>
      <c r="X64" s="178"/>
      <c r="Y64" s="172" t="s">
        <v>354</v>
      </c>
      <c r="Z64" s="168"/>
      <c r="AA64" s="168">
        <f>SUM(AA43:AA63)</f>
        <v>0</v>
      </c>
      <c r="AB64" s="179"/>
      <c r="AC64" s="179"/>
      <c r="AD64" s="179"/>
      <c r="AE64" s="179"/>
      <c r="AF64" s="172" t="s">
        <v>358</v>
      </c>
      <c r="AG64" s="168"/>
      <c r="AH64" s="168">
        <f>SUM(AH43:AH63)</f>
        <v>0</v>
      </c>
      <c r="AI64" s="179"/>
      <c r="AJ64" s="179"/>
      <c r="AK64" s="179"/>
      <c r="AL64" s="149"/>
      <c r="AM64" s="150">
        <f>P64</f>
        <v>6700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494</v>
      </c>
      <c r="C65" s="217" t="str">
        <f>N43</f>
        <v>large-sized weatherproof MSSB</v>
      </c>
      <c r="D65" s="260" t="str">
        <f>IF(B65="Shopping List",IF(ISNUMBER(SEARCH("MSSB",C65)),"MSSB",IF(ISNUMBER(SEARCH("local",C65)),"LOCAL","")))</f>
        <v>MSSB</v>
      </c>
      <c r="E65" s="238"/>
      <c r="F65" s="217"/>
      <c r="G65" s="217"/>
      <c r="H65" s="245"/>
      <c r="I65" s="270">
        <v>1</v>
      </c>
      <c r="J65" s="241" t="str">
        <f>CONCATENATE(O43," ",L43, " (",M43,") ",N43,".", IF(M43&gt;1," Each "," This "),"includes supply and install of ",O44,O45,O46,O47,O48,O49,O50,O51,O52,O53,O54,O55,O56,O57,O58,O59,O60,O61,O62,O63,J44,J45,J46,J47,J48,J49,J50,J51,J52,J53,J54,J55,J56,J57,J58,J59,J60,J61,J62,J63)</f>
        <v xml:space="preserve">Electrical services for one (1)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6700</v>
      </c>
      <c r="L65" s="234" t="str">
        <f>CONCATENATE(Q44,Q45,Q46,Q47,Q48,Q49,Q50,Q51,Q52,Q53,Q54,Q55,Q56,Q57,Q58,Q59,Q60,Q61,Q62,Q63,)</f>
        <v/>
      </c>
      <c r="M65" s="166" t="s">
        <v>369</v>
      </c>
      <c r="N65" s="160" t="str">
        <f>N43</f>
        <v>large-sized weatherproof MSSB</v>
      </c>
      <c r="O65" s="160" t="s">
        <v>367</v>
      </c>
      <c r="P65" s="64">
        <f>6200+500</f>
        <v>6700</v>
      </c>
      <c r="Q65" s="161"/>
      <c r="R65" s="161"/>
      <c r="S65" s="160"/>
      <c r="T65" s="161"/>
      <c r="U65" s="327" t="s">
        <v>368</v>
      </c>
      <c r="V65" s="327"/>
      <c r="W65" s="162">
        <f>W64/M43</f>
        <v>0</v>
      </c>
      <c r="X65" s="163"/>
      <c r="Y65" s="325" t="s">
        <v>367</v>
      </c>
      <c r="Z65" s="325"/>
      <c r="AA65" s="164">
        <f>AA64/M43</f>
        <v>0</v>
      </c>
      <c r="AB65" s="161"/>
      <c r="AC65" s="161"/>
      <c r="AD65" s="161"/>
      <c r="AE65" s="161"/>
      <c r="AF65" s="325" t="s">
        <v>367</v>
      </c>
      <c r="AG65" s="325"/>
      <c r="AH65" s="164">
        <f>AH64/M43</f>
        <v>0</v>
      </c>
      <c r="AI65" s="161"/>
      <c r="AJ65" s="161"/>
      <c r="AK65" s="161"/>
      <c r="AL65" s="247"/>
      <c r="AM65" s="257"/>
      <c r="AN65" s="236">
        <f>K65*1.25</f>
        <v>8375</v>
      </c>
      <c r="AO65" s="286"/>
      <c r="AP65" s="284">
        <f t="shared" si="7"/>
        <v>6700</v>
      </c>
      <c r="AQ65" s="281">
        <f t="shared" si="8"/>
        <v>0</v>
      </c>
      <c r="AR65" s="284">
        <f t="shared" si="9"/>
        <v>0</v>
      </c>
      <c r="AS65" s="281">
        <f t="shared" si="10"/>
        <v>0</v>
      </c>
      <c r="AT65" s="284">
        <f t="shared" si="11"/>
        <v>6700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5">
      <c r="A66" s="262">
        <f>ROW()</f>
        <v>66</v>
      </c>
      <c r="C66" s="211"/>
      <c r="D66" s="211"/>
      <c r="E66" s="211"/>
      <c r="F66" s="211"/>
      <c r="G66" s="211"/>
      <c r="H66" s="211"/>
      <c r="K66" s="116" t="s">
        <v>454</v>
      </c>
      <c r="M66" s="116" t="s">
        <v>107</v>
      </c>
      <c r="N66" s="116" t="s">
        <v>108</v>
      </c>
      <c r="O66" s="170" t="s">
        <v>388</v>
      </c>
      <c r="P66" s="326" t="s">
        <v>377</v>
      </c>
      <c r="Q66" s="326"/>
      <c r="R66" s="101" t="s">
        <v>454</v>
      </c>
      <c r="S66" s="116" t="s">
        <v>0</v>
      </c>
      <c r="T66" s="118"/>
      <c r="U66" s="116" t="s">
        <v>288</v>
      </c>
      <c r="V66" s="116" t="s">
        <v>289</v>
      </c>
      <c r="W66" s="116" t="s">
        <v>292</v>
      </c>
      <c r="X66" s="140"/>
      <c r="Y66" s="116" t="s">
        <v>290</v>
      </c>
      <c r="Z66" s="116" t="s">
        <v>356</v>
      </c>
      <c r="AA66" s="116" t="s">
        <v>357</v>
      </c>
      <c r="AB66" s="116" t="s">
        <v>319</v>
      </c>
      <c r="AC66" s="116" t="s">
        <v>320</v>
      </c>
      <c r="AD66" s="116" t="s">
        <v>318</v>
      </c>
      <c r="AE66" s="140"/>
      <c r="AF66" s="116" t="s">
        <v>294</v>
      </c>
      <c r="AG66" s="116" t="s">
        <v>356</v>
      </c>
      <c r="AH66" s="116" t="s">
        <v>357</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5">
      <c r="A67" s="262">
        <f>ROW()</f>
        <v>67</v>
      </c>
      <c r="C67" s="208"/>
      <c r="D67" s="208"/>
      <c r="E67" s="208"/>
      <c r="F67" s="208"/>
      <c r="G67" s="208"/>
      <c r="H67" s="208"/>
      <c r="L67" s="124" t="str">
        <f>VLOOKUP(M67,Sheet2!$D$2:$E$1024,2,FALSE)</f>
        <v>one</v>
      </c>
      <c r="M67" s="121">
        <f>I89</f>
        <v>1</v>
      </c>
      <c r="N67" s="132" t="s">
        <v>567</v>
      </c>
      <c r="O67" s="121" t="s">
        <v>195</v>
      </c>
      <c r="P67" s="173" t="s">
        <v>381</v>
      </c>
      <c r="Q67" s="173" t="s">
        <v>377</v>
      </c>
      <c r="R67" s="173"/>
      <c r="S67" s="174">
        <f>M67</f>
        <v>1</v>
      </c>
      <c r="T67" s="175"/>
      <c r="U67" s="180" t="s">
        <v>236</v>
      </c>
      <c r="V67" s="174">
        <f>S67</f>
        <v>1</v>
      </c>
      <c r="W67" s="174">
        <f>VLOOKUP(U67,Sheet1!$B$6:$C$45,2,FALSE)*V67</f>
        <v>4</v>
      </c>
      <c r="X67" s="174"/>
      <c r="Y67" s="175" t="s">
        <v>293</v>
      </c>
      <c r="Z67" s="168">
        <f>VLOOKUP(Takeoffs!Y67,Sheet1!$B$6:$C$124,2,FALSE)</f>
        <v>0</v>
      </c>
      <c r="AA67" s="168">
        <f>Z67*AB67</f>
        <v>0</v>
      </c>
      <c r="AB67" s="176">
        <f>AD67*AC67</f>
        <v>1</v>
      </c>
      <c r="AC67" s="174">
        <f>S67</f>
        <v>1</v>
      </c>
      <c r="AD67" s="174">
        <v>1</v>
      </c>
      <c r="AE67" s="174"/>
      <c r="AF67" s="175" t="s">
        <v>293</v>
      </c>
      <c r="AG67" s="168">
        <f>VLOOKUP(Takeoffs!AF67,Sheet1!$B$6:$C$124,2,FALSE)</f>
        <v>0</v>
      </c>
      <c r="AH67" s="168">
        <f>AG67*AI67</f>
        <v>0</v>
      </c>
      <c r="AI67" s="176">
        <f>AK67*AJ67</f>
        <v>0</v>
      </c>
      <c r="AJ67" s="174">
        <f>S67</f>
        <v>1</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537</v>
      </c>
      <c r="P68" s="175"/>
      <c r="Q68" s="175"/>
      <c r="R68" s="175"/>
      <c r="S68" s="174">
        <f>M67</f>
        <v>1</v>
      </c>
      <c r="T68" s="172"/>
      <c r="U68" s="175" t="s">
        <v>293</v>
      </c>
      <c r="V68" s="174">
        <f t="shared" ref="V68:V87" si="22">S68</f>
        <v>1</v>
      </c>
      <c r="W68" s="174">
        <f>VLOOKUP(U68,Sheet1!$B$6:$C$45,2,FALSE)*V68</f>
        <v>0</v>
      </c>
      <c r="X68" s="174"/>
      <c r="Y68" s="180" t="s">
        <v>419</v>
      </c>
      <c r="Z68" s="168">
        <f>VLOOKUP(Takeoffs!Y68,Sheet1!$B$6:$C$124,2,FALSE)</f>
        <v>586.15199999999993</v>
      </c>
      <c r="AA68" s="168">
        <f t="shared" ref="AA68:AA87" si="23">Z68*AB68</f>
        <v>586.15199999999993</v>
      </c>
      <c r="AB68" s="176">
        <f t="shared" ref="AB68:AB87" si="24">AD68*AC68</f>
        <v>1</v>
      </c>
      <c r="AC68" s="174">
        <f t="shared" ref="AC68:AC87" si="25">S68</f>
        <v>1</v>
      </c>
      <c r="AD68" s="174">
        <v>1</v>
      </c>
      <c r="AE68" s="174"/>
      <c r="AF68" s="175" t="s">
        <v>293</v>
      </c>
      <c r="AG68" s="168">
        <f>VLOOKUP(Takeoffs!AF68,Sheet1!$B$6:$C$124,2,FALSE)</f>
        <v>0</v>
      </c>
      <c r="AH68" s="168">
        <f t="shared" ref="AH68:AH87" si="26">AG68*AI68</f>
        <v>0</v>
      </c>
      <c r="AI68" s="176">
        <f t="shared" ref="AI68:AI87" si="27">AK68*AJ68</f>
        <v>0</v>
      </c>
      <c r="AJ68" s="174">
        <f t="shared" ref="AJ68:AJ87" si="28">S68</f>
        <v>1</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401</v>
      </c>
      <c r="P69" s="175"/>
      <c r="Q69" s="175"/>
      <c r="R69" s="175"/>
      <c r="S69" s="174">
        <f>M67</f>
        <v>1</v>
      </c>
      <c r="T69" s="172"/>
      <c r="U69" s="175" t="s">
        <v>293</v>
      </c>
      <c r="V69" s="174">
        <f t="shared" si="22"/>
        <v>1</v>
      </c>
      <c r="W69" s="174">
        <f>VLOOKUP(U69,Sheet1!$B$6:$C$45,2,FALSE)*V69</f>
        <v>0</v>
      </c>
      <c r="X69" s="174"/>
      <c r="Y69" s="175" t="s">
        <v>293</v>
      </c>
      <c r="Z69" s="168">
        <f>VLOOKUP(Takeoffs!Y69,Sheet1!$B$6:$C$124,2,FALSE)</f>
        <v>0</v>
      </c>
      <c r="AA69" s="168">
        <f t="shared" si="23"/>
        <v>0</v>
      </c>
      <c r="AB69" s="176">
        <f t="shared" si="24"/>
        <v>1</v>
      </c>
      <c r="AC69" s="174">
        <f t="shared" si="25"/>
        <v>1</v>
      </c>
      <c r="AD69" s="174">
        <v>1</v>
      </c>
      <c r="AE69" s="174"/>
      <c r="AF69" s="175" t="s">
        <v>293</v>
      </c>
      <c r="AG69" s="168">
        <f>VLOOKUP(Takeoffs!AF69,Sheet1!$B$6:$C$124,2,FALSE)</f>
        <v>0</v>
      </c>
      <c r="AH69" s="168">
        <f t="shared" si="26"/>
        <v>0</v>
      </c>
      <c r="AI69" s="176">
        <f t="shared" si="27"/>
        <v>0</v>
      </c>
      <c r="AJ69" s="174">
        <f t="shared" si="28"/>
        <v>1</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402</v>
      </c>
      <c r="P70" s="175"/>
      <c r="Q70" s="175"/>
      <c r="R70" s="175"/>
      <c r="S70" s="174">
        <f>M67</f>
        <v>1</v>
      </c>
      <c r="T70" s="172"/>
      <c r="U70" s="175" t="s">
        <v>293</v>
      </c>
      <c r="V70" s="174">
        <f t="shared" si="22"/>
        <v>1</v>
      </c>
      <c r="W70" s="174">
        <f>VLOOKUP(U70,Sheet1!$B$6:$C$45,2,FALSE)*V70</f>
        <v>0</v>
      </c>
      <c r="X70" s="174"/>
      <c r="Y70" s="175" t="s">
        <v>293</v>
      </c>
      <c r="Z70" s="168">
        <f>VLOOKUP(Takeoffs!Y70,Sheet1!$B$6:$C$124,2,FALSE)</f>
        <v>0</v>
      </c>
      <c r="AA70" s="168">
        <f t="shared" si="23"/>
        <v>0</v>
      </c>
      <c r="AB70" s="176">
        <f t="shared" si="24"/>
        <v>1</v>
      </c>
      <c r="AC70" s="174">
        <f t="shared" si="25"/>
        <v>1</v>
      </c>
      <c r="AD70" s="174">
        <v>1</v>
      </c>
      <c r="AE70" s="174"/>
      <c r="AF70" s="175" t="s">
        <v>293</v>
      </c>
      <c r="AG70" s="168">
        <f>VLOOKUP(Takeoffs!AF70,Sheet1!$B$6:$C$124,2,FALSE)</f>
        <v>0</v>
      </c>
      <c r="AH70" s="168">
        <f t="shared" si="26"/>
        <v>0</v>
      </c>
      <c r="AI70" s="176">
        <f t="shared" si="27"/>
        <v>0</v>
      </c>
      <c r="AJ70" s="174">
        <f t="shared" si="28"/>
        <v>1</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403</v>
      </c>
      <c r="P71" s="175"/>
      <c r="Q71" s="175"/>
      <c r="R71" s="175"/>
      <c r="S71" s="174">
        <f>M67</f>
        <v>1</v>
      </c>
      <c r="T71" s="172"/>
      <c r="U71" s="175" t="s">
        <v>293</v>
      </c>
      <c r="V71" s="174">
        <f t="shared" si="22"/>
        <v>1</v>
      </c>
      <c r="W71" s="174">
        <f>VLOOKUP(U71,Sheet1!$B$6:$C$45,2,FALSE)*V71</f>
        <v>0</v>
      </c>
      <c r="X71" s="174"/>
      <c r="Y71" s="175" t="s">
        <v>293</v>
      </c>
      <c r="Z71" s="168">
        <f>VLOOKUP(Takeoffs!Y71,Sheet1!$B$6:$C$124,2,FALSE)</f>
        <v>0</v>
      </c>
      <c r="AA71" s="168">
        <f t="shared" si="23"/>
        <v>0</v>
      </c>
      <c r="AB71" s="176">
        <f t="shared" si="24"/>
        <v>1</v>
      </c>
      <c r="AC71" s="174">
        <f t="shared" si="25"/>
        <v>1</v>
      </c>
      <c r="AD71" s="174">
        <v>1</v>
      </c>
      <c r="AE71" s="174"/>
      <c r="AF71" s="175" t="s">
        <v>293</v>
      </c>
      <c r="AG71" s="168">
        <f>VLOOKUP(Takeoffs!AF71,Sheet1!$B$6:$C$124,2,FALSE)</f>
        <v>0</v>
      </c>
      <c r="AH71" s="168">
        <f t="shared" si="26"/>
        <v>0</v>
      </c>
      <c r="AI71" s="176">
        <f t="shared" si="27"/>
        <v>0</v>
      </c>
      <c r="AJ71" s="174">
        <f t="shared" si="28"/>
        <v>1</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404</v>
      </c>
      <c r="P72" s="175"/>
      <c r="Q72" s="175"/>
      <c r="R72" s="175"/>
      <c r="S72" s="174">
        <f>M67</f>
        <v>1</v>
      </c>
      <c r="T72" s="172"/>
      <c r="U72" s="175" t="s">
        <v>293</v>
      </c>
      <c r="V72" s="174">
        <f t="shared" si="22"/>
        <v>1</v>
      </c>
      <c r="W72" s="174">
        <f>VLOOKUP(U72,Sheet1!$B$6:$C$45,2,FALSE)*V72</f>
        <v>0</v>
      </c>
      <c r="X72" s="174"/>
      <c r="Y72" s="175" t="s">
        <v>274</v>
      </c>
      <c r="Z72" s="168">
        <f>VLOOKUP(Takeoffs!Y72,Sheet1!$B$6:$C$124,2,FALSE)</f>
        <v>360</v>
      </c>
      <c r="AA72" s="168">
        <f t="shared" si="23"/>
        <v>360</v>
      </c>
      <c r="AB72" s="176">
        <f t="shared" si="24"/>
        <v>1</v>
      </c>
      <c r="AC72" s="174">
        <f t="shared" si="25"/>
        <v>1</v>
      </c>
      <c r="AD72" s="174">
        <v>1</v>
      </c>
      <c r="AE72" s="174"/>
      <c r="AF72" s="175" t="s">
        <v>293</v>
      </c>
      <c r="AG72" s="168">
        <f>VLOOKUP(Takeoffs!AF72,Sheet1!$B$6:$C$124,2,FALSE)</f>
        <v>0</v>
      </c>
      <c r="AH72" s="168">
        <f t="shared" si="26"/>
        <v>0</v>
      </c>
      <c r="AI72" s="176">
        <f t="shared" si="27"/>
        <v>0</v>
      </c>
      <c r="AJ72" s="174">
        <f t="shared" si="28"/>
        <v>1</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405</v>
      </c>
      <c r="P73" s="175"/>
      <c r="Q73" s="175"/>
      <c r="R73" s="175"/>
      <c r="S73" s="174">
        <f>M67</f>
        <v>1</v>
      </c>
      <c r="T73" s="172"/>
      <c r="U73" s="175" t="s">
        <v>293</v>
      </c>
      <c r="V73" s="174">
        <f t="shared" si="22"/>
        <v>1</v>
      </c>
      <c r="W73" s="174">
        <f>VLOOKUP(U73,Sheet1!$B$6:$C$45,2,FALSE)*V73</f>
        <v>0</v>
      </c>
      <c r="X73" s="174"/>
      <c r="Y73" s="175" t="s">
        <v>293</v>
      </c>
      <c r="Z73" s="168">
        <f>VLOOKUP(Takeoffs!Y73,Sheet1!$B$6:$C$124,2,FALSE)</f>
        <v>0</v>
      </c>
      <c r="AA73" s="168">
        <f t="shared" si="23"/>
        <v>0</v>
      </c>
      <c r="AB73" s="176">
        <f t="shared" si="24"/>
        <v>1</v>
      </c>
      <c r="AC73" s="174">
        <f t="shared" si="25"/>
        <v>1</v>
      </c>
      <c r="AD73" s="174">
        <v>1</v>
      </c>
      <c r="AE73" s="174"/>
      <c r="AF73" s="175" t="s">
        <v>293</v>
      </c>
      <c r="AG73" s="168">
        <f>VLOOKUP(Takeoffs!AF73,Sheet1!$B$6:$C$124,2,FALSE)</f>
        <v>0</v>
      </c>
      <c r="AH73" s="168">
        <f t="shared" si="26"/>
        <v>0</v>
      </c>
      <c r="AI73" s="176">
        <f t="shared" si="27"/>
        <v>0</v>
      </c>
      <c r="AJ73" s="174">
        <f t="shared" si="28"/>
        <v>1</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406</v>
      </c>
      <c r="P74" s="175"/>
      <c r="Q74" s="175"/>
      <c r="R74" s="175"/>
      <c r="S74" s="174">
        <f>M67</f>
        <v>1</v>
      </c>
      <c r="T74" s="172"/>
      <c r="U74" s="175" t="s">
        <v>293</v>
      </c>
      <c r="V74" s="174">
        <f t="shared" si="22"/>
        <v>1</v>
      </c>
      <c r="W74" s="174">
        <f>VLOOKUP(U74,Sheet1!$B$6:$C$45,2,FALSE)*V74</f>
        <v>0</v>
      </c>
      <c r="X74" s="174"/>
      <c r="Y74" s="175" t="s">
        <v>293</v>
      </c>
      <c r="Z74" s="168">
        <f>VLOOKUP(Takeoffs!Y74,Sheet1!$B$6:$C$124,2,FALSE)</f>
        <v>0</v>
      </c>
      <c r="AA74" s="168">
        <f t="shared" si="23"/>
        <v>0</v>
      </c>
      <c r="AB74" s="176">
        <f t="shared" si="24"/>
        <v>1</v>
      </c>
      <c r="AC74" s="174">
        <f t="shared" si="25"/>
        <v>1</v>
      </c>
      <c r="AD74" s="174">
        <v>1</v>
      </c>
      <c r="AE74" s="174"/>
      <c r="AF74" s="175" t="s">
        <v>293</v>
      </c>
      <c r="AG74" s="168">
        <f>VLOOKUP(Takeoffs!AF74,Sheet1!$B$6:$C$124,2,FALSE)</f>
        <v>0</v>
      </c>
      <c r="AH74" s="168">
        <f t="shared" si="26"/>
        <v>0</v>
      </c>
      <c r="AI74" s="176">
        <f t="shared" si="27"/>
        <v>0</v>
      </c>
      <c r="AJ74" s="174">
        <f t="shared" si="28"/>
        <v>1</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512</v>
      </c>
      <c r="P75" s="175"/>
      <c r="Q75" s="175"/>
      <c r="R75" s="175"/>
      <c r="S75" s="174">
        <f>M67</f>
        <v>1</v>
      </c>
      <c r="T75" s="172"/>
      <c r="U75" s="175" t="s">
        <v>293</v>
      </c>
      <c r="V75" s="174">
        <f t="shared" si="22"/>
        <v>1</v>
      </c>
      <c r="W75" s="174">
        <f>VLOOKUP(U75,Sheet1!$B$6:$C$45,2,FALSE)*V75</f>
        <v>0</v>
      </c>
      <c r="X75" s="174"/>
      <c r="Y75" s="175" t="s">
        <v>293</v>
      </c>
      <c r="Z75" s="168">
        <f>VLOOKUP(Takeoffs!Y75,Sheet1!$B$6:$C$124,2,FALSE)</f>
        <v>0</v>
      </c>
      <c r="AA75" s="168">
        <f t="shared" si="23"/>
        <v>0</v>
      </c>
      <c r="AB75" s="176">
        <f t="shared" si="24"/>
        <v>1</v>
      </c>
      <c r="AC75" s="174">
        <f t="shared" si="25"/>
        <v>1</v>
      </c>
      <c r="AD75" s="174">
        <v>1</v>
      </c>
      <c r="AE75" s="174"/>
      <c r="AF75" s="175" t="s">
        <v>293</v>
      </c>
      <c r="AG75" s="168">
        <f>VLOOKUP(Takeoffs!AF75,Sheet1!$B$6:$C$124,2,FALSE)</f>
        <v>0</v>
      </c>
      <c r="AH75" s="168">
        <f t="shared" si="26"/>
        <v>0</v>
      </c>
      <c r="AI75" s="176">
        <f t="shared" si="27"/>
        <v>0</v>
      </c>
      <c r="AJ75" s="174">
        <f t="shared" si="28"/>
        <v>1</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442</v>
      </c>
      <c r="P76" s="175"/>
      <c r="Q76" s="175"/>
      <c r="R76" s="175"/>
      <c r="S76" s="174">
        <f>M67</f>
        <v>1</v>
      </c>
      <c r="T76" s="172"/>
      <c r="U76" s="175" t="s">
        <v>293</v>
      </c>
      <c r="V76" s="174">
        <f t="shared" si="22"/>
        <v>1</v>
      </c>
      <c r="W76" s="174">
        <f>VLOOKUP(U76,Sheet1!$B$6:$C$45,2,FALSE)*V76</f>
        <v>0</v>
      </c>
      <c r="X76" s="174"/>
      <c r="Y76" s="175" t="s">
        <v>293</v>
      </c>
      <c r="Z76" s="168">
        <f>VLOOKUP(Takeoffs!Y76,Sheet1!$B$6:$C$124,2,FALSE)</f>
        <v>0</v>
      </c>
      <c r="AA76" s="168">
        <f t="shared" si="23"/>
        <v>0</v>
      </c>
      <c r="AB76" s="176">
        <f t="shared" si="24"/>
        <v>1</v>
      </c>
      <c r="AC76" s="174">
        <f t="shared" si="25"/>
        <v>1</v>
      </c>
      <c r="AD76" s="174">
        <v>1</v>
      </c>
      <c r="AE76" s="174"/>
      <c r="AF76" s="175" t="s">
        <v>293</v>
      </c>
      <c r="AG76" s="168">
        <f>VLOOKUP(Takeoffs!AF76,Sheet1!$B$6:$C$124,2,FALSE)</f>
        <v>0</v>
      </c>
      <c r="AH76" s="168">
        <f t="shared" si="26"/>
        <v>0</v>
      </c>
      <c r="AI76" s="176">
        <f t="shared" si="27"/>
        <v>0</v>
      </c>
      <c r="AJ76" s="174">
        <f t="shared" si="28"/>
        <v>1</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407</v>
      </c>
      <c r="P77" s="175"/>
      <c r="Q77" s="175"/>
      <c r="R77" s="175"/>
      <c r="S77" s="174">
        <f>M67</f>
        <v>1</v>
      </c>
      <c r="T77" s="172"/>
      <c r="U77" s="175" t="s">
        <v>293</v>
      </c>
      <c r="V77" s="174">
        <f t="shared" si="22"/>
        <v>1</v>
      </c>
      <c r="W77" s="174">
        <f>VLOOKUP(U77,Sheet1!$B$6:$C$45,2,FALSE)*V77</f>
        <v>0</v>
      </c>
      <c r="X77" s="174"/>
      <c r="Y77" s="175" t="s">
        <v>293</v>
      </c>
      <c r="Z77" s="168">
        <f>VLOOKUP(Takeoffs!Y77,Sheet1!$B$6:$C$124,2,FALSE)</f>
        <v>0</v>
      </c>
      <c r="AA77" s="168">
        <f t="shared" si="23"/>
        <v>0</v>
      </c>
      <c r="AB77" s="176">
        <f t="shared" si="24"/>
        <v>1</v>
      </c>
      <c r="AC77" s="174">
        <f t="shared" si="25"/>
        <v>1</v>
      </c>
      <c r="AD77" s="174">
        <v>1</v>
      </c>
      <c r="AE77" s="174"/>
      <c r="AF77" s="175" t="s">
        <v>293</v>
      </c>
      <c r="AG77" s="168">
        <f>VLOOKUP(Takeoffs!AF77,Sheet1!$B$6:$C$124,2,FALSE)</f>
        <v>0</v>
      </c>
      <c r="AH77" s="168">
        <f t="shared" si="26"/>
        <v>0</v>
      </c>
      <c r="AI77" s="176">
        <f t="shared" si="27"/>
        <v>0</v>
      </c>
      <c r="AJ77" s="174">
        <f t="shared" si="28"/>
        <v>1</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1</v>
      </c>
      <c r="T78" s="172"/>
      <c r="U78" s="175" t="s">
        <v>293</v>
      </c>
      <c r="V78" s="174">
        <f t="shared" si="22"/>
        <v>1</v>
      </c>
      <c r="W78" s="174">
        <f>VLOOKUP(U78,Sheet1!$B$6:$C$45,2,FALSE)*V78</f>
        <v>0</v>
      </c>
      <c r="X78" s="174"/>
      <c r="Y78" s="175" t="s">
        <v>293</v>
      </c>
      <c r="Z78" s="168">
        <f>VLOOKUP(Takeoffs!Y78,Sheet1!$B$6:$C$124,2,FALSE)</f>
        <v>0</v>
      </c>
      <c r="AA78" s="168">
        <f t="shared" si="23"/>
        <v>0</v>
      </c>
      <c r="AB78" s="176">
        <f t="shared" si="24"/>
        <v>1</v>
      </c>
      <c r="AC78" s="174">
        <f t="shared" si="25"/>
        <v>1</v>
      </c>
      <c r="AD78" s="174">
        <v>1</v>
      </c>
      <c r="AE78" s="174"/>
      <c r="AF78" s="175" t="s">
        <v>293</v>
      </c>
      <c r="AG78" s="168">
        <f>VLOOKUP(Takeoffs!AF78,Sheet1!$B$6:$C$124,2,FALSE)</f>
        <v>0</v>
      </c>
      <c r="AH78" s="168">
        <f t="shared" si="26"/>
        <v>0</v>
      </c>
      <c r="AI78" s="176">
        <f t="shared" si="27"/>
        <v>0</v>
      </c>
      <c r="AJ78" s="174">
        <f t="shared" si="28"/>
        <v>1</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1</v>
      </c>
      <c r="T79" s="172"/>
      <c r="U79" s="175" t="s">
        <v>293</v>
      </c>
      <c r="V79" s="174">
        <f t="shared" si="22"/>
        <v>1</v>
      </c>
      <c r="W79" s="174">
        <f>VLOOKUP(U79,Sheet1!$B$6:$C$45,2,FALSE)*V79</f>
        <v>0</v>
      </c>
      <c r="X79" s="174"/>
      <c r="Y79" s="175" t="s">
        <v>293</v>
      </c>
      <c r="Z79" s="168">
        <f>VLOOKUP(Takeoffs!Y79,Sheet1!$B$6:$C$124,2,FALSE)</f>
        <v>0</v>
      </c>
      <c r="AA79" s="168">
        <f t="shared" si="23"/>
        <v>0</v>
      </c>
      <c r="AB79" s="176">
        <f t="shared" si="24"/>
        <v>1</v>
      </c>
      <c r="AC79" s="174">
        <f t="shared" si="25"/>
        <v>1</v>
      </c>
      <c r="AD79" s="174">
        <v>1</v>
      </c>
      <c r="AE79" s="174"/>
      <c r="AF79" s="175" t="s">
        <v>293</v>
      </c>
      <c r="AG79" s="168">
        <f>VLOOKUP(Takeoffs!AF79,Sheet1!$B$6:$C$124,2,FALSE)</f>
        <v>0</v>
      </c>
      <c r="AH79" s="168">
        <f t="shared" si="26"/>
        <v>0</v>
      </c>
      <c r="AI79" s="176">
        <f t="shared" si="27"/>
        <v>0</v>
      </c>
      <c r="AJ79" s="174">
        <f t="shared" si="28"/>
        <v>1</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1</v>
      </c>
      <c r="T80" s="172"/>
      <c r="U80" s="175" t="s">
        <v>293</v>
      </c>
      <c r="V80" s="174">
        <f t="shared" si="22"/>
        <v>1</v>
      </c>
      <c r="W80" s="174">
        <f>VLOOKUP(U80,Sheet1!$B$6:$C$45,2,FALSE)*V80</f>
        <v>0</v>
      </c>
      <c r="X80" s="174"/>
      <c r="Y80" s="175" t="s">
        <v>293</v>
      </c>
      <c r="Z80" s="168">
        <f>VLOOKUP(Takeoffs!Y80,Sheet1!$B$6:$C$124,2,FALSE)</f>
        <v>0</v>
      </c>
      <c r="AA80" s="168">
        <f t="shared" si="23"/>
        <v>0</v>
      </c>
      <c r="AB80" s="176">
        <f t="shared" si="24"/>
        <v>1</v>
      </c>
      <c r="AC80" s="174">
        <f t="shared" si="25"/>
        <v>1</v>
      </c>
      <c r="AD80" s="174">
        <v>1</v>
      </c>
      <c r="AE80" s="174"/>
      <c r="AF80" s="175" t="s">
        <v>293</v>
      </c>
      <c r="AG80" s="168">
        <f>VLOOKUP(Takeoffs!AF80,Sheet1!$B$6:$C$124,2,FALSE)</f>
        <v>0</v>
      </c>
      <c r="AH80" s="168">
        <f t="shared" si="26"/>
        <v>0</v>
      </c>
      <c r="AI80" s="176">
        <f t="shared" si="27"/>
        <v>0</v>
      </c>
      <c r="AJ80" s="174">
        <f t="shared" si="28"/>
        <v>1</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1</v>
      </c>
      <c r="T81" s="172"/>
      <c r="U81" s="175" t="s">
        <v>293</v>
      </c>
      <c r="V81" s="174">
        <f t="shared" si="22"/>
        <v>1</v>
      </c>
      <c r="W81" s="174">
        <f>VLOOKUP(U81,Sheet1!$B$6:$C$45,2,FALSE)*V81</f>
        <v>0</v>
      </c>
      <c r="X81" s="174"/>
      <c r="Y81" s="175" t="s">
        <v>293</v>
      </c>
      <c r="Z81" s="168">
        <f>VLOOKUP(Takeoffs!Y81,Sheet1!$B$6:$C$124,2,FALSE)</f>
        <v>0</v>
      </c>
      <c r="AA81" s="168">
        <f t="shared" si="23"/>
        <v>0</v>
      </c>
      <c r="AB81" s="176">
        <f t="shared" si="24"/>
        <v>1</v>
      </c>
      <c r="AC81" s="174">
        <f t="shared" si="25"/>
        <v>1</v>
      </c>
      <c r="AD81" s="174">
        <v>1</v>
      </c>
      <c r="AE81" s="174"/>
      <c r="AF81" s="175" t="s">
        <v>293</v>
      </c>
      <c r="AG81" s="168">
        <f>VLOOKUP(Takeoffs!AF81,Sheet1!$B$6:$C$124,2,FALSE)</f>
        <v>0</v>
      </c>
      <c r="AH81" s="168">
        <f t="shared" si="26"/>
        <v>0</v>
      </c>
      <c r="AI81" s="176">
        <f t="shared" si="27"/>
        <v>0</v>
      </c>
      <c r="AJ81" s="174">
        <f t="shared" si="28"/>
        <v>1</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1</v>
      </c>
      <c r="T82" s="172"/>
      <c r="U82" s="175" t="s">
        <v>293</v>
      </c>
      <c r="V82" s="174">
        <f t="shared" si="22"/>
        <v>1</v>
      </c>
      <c r="W82" s="174">
        <f>VLOOKUP(U82,Sheet1!$B$6:$C$45,2,FALSE)*V82</f>
        <v>0</v>
      </c>
      <c r="X82" s="174"/>
      <c r="Y82" s="175" t="s">
        <v>293</v>
      </c>
      <c r="Z82" s="168">
        <f>VLOOKUP(Takeoffs!Y82,Sheet1!$B$6:$C$124,2,FALSE)</f>
        <v>0</v>
      </c>
      <c r="AA82" s="168">
        <f t="shared" si="23"/>
        <v>0</v>
      </c>
      <c r="AB82" s="176">
        <f t="shared" si="24"/>
        <v>2</v>
      </c>
      <c r="AC82" s="174">
        <f t="shared" si="25"/>
        <v>1</v>
      </c>
      <c r="AD82" s="174">
        <v>2</v>
      </c>
      <c r="AE82" s="174"/>
      <c r="AF82" s="175" t="s">
        <v>293</v>
      </c>
      <c r="AG82" s="168">
        <f>VLOOKUP(Takeoffs!AF82,Sheet1!$B$6:$C$124,2,FALSE)</f>
        <v>0</v>
      </c>
      <c r="AH82" s="168">
        <f t="shared" si="26"/>
        <v>0</v>
      </c>
      <c r="AI82" s="176">
        <f t="shared" si="27"/>
        <v>0</v>
      </c>
      <c r="AJ82" s="174">
        <f t="shared" si="28"/>
        <v>1</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1</v>
      </c>
      <c r="T83" s="172"/>
      <c r="U83" s="175" t="s">
        <v>293</v>
      </c>
      <c r="V83" s="174">
        <f t="shared" si="22"/>
        <v>1</v>
      </c>
      <c r="W83" s="174">
        <f>VLOOKUP(U83,Sheet1!$B$6:$C$45,2,FALSE)*V83</f>
        <v>0</v>
      </c>
      <c r="X83" s="174"/>
      <c r="Y83" s="175" t="s">
        <v>293</v>
      </c>
      <c r="Z83" s="168">
        <f>VLOOKUP(Takeoffs!Y83,Sheet1!$B$6:$C$124,2,FALSE)</f>
        <v>0</v>
      </c>
      <c r="AA83" s="168">
        <f t="shared" si="23"/>
        <v>0</v>
      </c>
      <c r="AB83" s="176">
        <f t="shared" si="24"/>
        <v>1</v>
      </c>
      <c r="AC83" s="174">
        <f t="shared" si="25"/>
        <v>1</v>
      </c>
      <c r="AD83" s="174">
        <v>1</v>
      </c>
      <c r="AE83" s="174"/>
      <c r="AF83" s="175" t="s">
        <v>293</v>
      </c>
      <c r="AG83" s="168">
        <f>VLOOKUP(Takeoffs!AF83,Sheet1!$B$6:$C$124,2,FALSE)</f>
        <v>0</v>
      </c>
      <c r="AH83" s="168">
        <f t="shared" si="26"/>
        <v>0</v>
      </c>
      <c r="AI83" s="176">
        <f t="shared" si="27"/>
        <v>0</v>
      </c>
      <c r="AJ83" s="174">
        <f t="shared" si="28"/>
        <v>1</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1</v>
      </c>
      <c r="T84" s="172"/>
      <c r="U84" s="175" t="s">
        <v>293</v>
      </c>
      <c r="V84" s="174">
        <f t="shared" si="22"/>
        <v>1</v>
      </c>
      <c r="W84" s="174">
        <f>VLOOKUP(U84,Sheet1!$B$6:$C$45,2,FALSE)*V84</f>
        <v>0</v>
      </c>
      <c r="X84" s="174"/>
      <c r="Y84" s="175" t="s">
        <v>293</v>
      </c>
      <c r="Z84" s="168">
        <f>VLOOKUP(Takeoffs!Y84,Sheet1!$B$6:$C$124,2,FALSE)</f>
        <v>0</v>
      </c>
      <c r="AA84" s="168">
        <f t="shared" si="23"/>
        <v>0</v>
      </c>
      <c r="AB84" s="176">
        <f t="shared" si="24"/>
        <v>1</v>
      </c>
      <c r="AC84" s="174">
        <f t="shared" si="25"/>
        <v>1</v>
      </c>
      <c r="AD84" s="174">
        <v>1</v>
      </c>
      <c r="AE84" s="174"/>
      <c r="AF84" s="175" t="s">
        <v>293</v>
      </c>
      <c r="AG84" s="168">
        <f>VLOOKUP(Takeoffs!AF84,Sheet1!$B$6:$C$124,2,FALSE)</f>
        <v>0</v>
      </c>
      <c r="AH84" s="168">
        <f t="shared" si="26"/>
        <v>0</v>
      </c>
      <c r="AI84" s="176">
        <f t="shared" si="27"/>
        <v>0</v>
      </c>
      <c r="AJ84" s="174">
        <f t="shared" si="28"/>
        <v>1</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1</v>
      </c>
      <c r="T85" s="172"/>
      <c r="U85" s="175" t="s">
        <v>293</v>
      </c>
      <c r="V85" s="174">
        <f t="shared" si="22"/>
        <v>1</v>
      </c>
      <c r="W85" s="174">
        <f>VLOOKUP(U85,Sheet1!$B$6:$C$45,2,FALSE)*V85</f>
        <v>0</v>
      </c>
      <c r="X85" s="174"/>
      <c r="Y85" s="175" t="s">
        <v>293</v>
      </c>
      <c r="Z85" s="168">
        <f>VLOOKUP(Takeoffs!Y85,Sheet1!$B$6:$C$124,2,FALSE)</f>
        <v>0</v>
      </c>
      <c r="AA85" s="168">
        <f t="shared" si="23"/>
        <v>0</v>
      </c>
      <c r="AB85" s="176">
        <f t="shared" si="24"/>
        <v>1</v>
      </c>
      <c r="AC85" s="174">
        <f t="shared" si="25"/>
        <v>1</v>
      </c>
      <c r="AD85" s="174">
        <v>1</v>
      </c>
      <c r="AE85" s="174"/>
      <c r="AF85" s="175" t="s">
        <v>293</v>
      </c>
      <c r="AG85" s="168">
        <f>VLOOKUP(Takeoffs!AF85,Sheet1!$B$6:$C$124,2,FALSE)</f>
        <v>0</v>
      </c>
      <c r="AH85" s="168">
        <f t="shared" si="26"/>
        <v>0</v>
      </c>
      <c r="AI85" s="176">
        <f t="shared" si="27"/>
        <v>0</v>
      </c>
      <c r="AJ85" s="174">
        <f t="shared" si="28"/>
        <v>1</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1</v>
      </c>
      <c r="T86" s="172"/>
      <c r="U86" s="175" t="s">
        <v>293</v>
      </c>
      <c r="V86" s="174">
        <f t="shared" si="22"/>
        <v>1</v>
      </c>
      <c r="W86" s="174">
        <f>VLOOKUP(U86,Sheet1!$B$6:$C$45,2,FALSE)*V86</f>
        <v>0</v>
      </c>
      <c r="X86" s="174"/>
      <c r="Y86" s="175" t="s">
        <v>293</v>
      </c>
      <c r="Z86" s="168">
        <f>VLOOKUP(Takeoffs!Y86,Sheet1!$B$6:$C$124,2,FALSE)</f>
        <v>0</v>
      </c>
      <c r="AA86" s="168">
        <f t="shared" si="23"/>
        <v>0</v>
      </c>
      <c r="AB86" s="176">
        <f t="shared" si="24"/>
        <v>1</v>
      </c>
      <c r="AC86" s="174">
        <f t="shared" si="25"/>
        <v>1</v>
      </c>
      <c r="AD86" s="174">
        <v>1</v>
      </c>
      <c r="AE86" s="174"/>
      <c r="AF86" s="175" t="s">
        <v>293</v>
      </c>
      <c r="AG86" s="168">
        <f>VLOOKUP(Takeoffs!AF86,Sheet1!$B$6:$C$124,2,FALSE)</f>
        <v>0</v>
      </c>
      <c r="AH86" s="168">
        <f t="shared" si="26"/>
        <v>0</v>
      </c>
      <c r="AI86" s="176">
        <f t="shared" si="27"/>
        <v>0</v>
      </c>
      <c r="AJ86" s="174">
        <f t="shared" si="28"/>
        <v>1</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1</v>
      </c>
      <c r="T87" s="172"/>
      <c r="U87" s="175" t="s">
        <v>293</v>
      </c>
      <c r="V87" s="174">
        <f t="shared" si="22"/>
        <v>1</v>
      </c>
      <c r="W87" s="174">
        <f>VLOOKUP(U87,Sheet1!$B$6:$C$45,2,FALSE)*V87</f>
        <v>0</v>
      </c>
      <c r="X87" s="174"/>
      <c r="Y87" s="175" t="s">
        <v>293</v>
      </c>
      <c r="Z87" s="168">
        <f>VLOOKUP(Takeoffs!Y87,Sheet1!$B$6:$C$124,2,FALSE)</f>
        <v>0</v>
      </c>
      <c r="AA87" s="168">
        <f t="shared" si="23"/>
        <v>0</v>
      </c>
      <c r="AB87" s="176">
        <f t="shared" si="24"/>
        <v>1</v>
      </c>
      <c r="AC87" s="174">
        <f t="shared" si="25"/>
        <v>1</v>
      </c>
      <c r="AD87" s="174">
        <v>1</v>
      </c>
      <c r="AE87" s="174"/>
      <c r="AF87" s="175" t="s">
        <v>293</v>
      </c>
      <c r="AG87" s="168">
        <f>VLOOKUP(Takeoffs!AF87,Sheet1!$B$6:$C$124,2,FALSE)</f>
        <v>0</v>
      </c>
      <c r="AH87" s="168">
        <f t="shared" si="26"/>
        <v>0</v>
      </c>
      <c r="AI87" s="176">
        <f t="shared" si="27"/>
        <v>0</v>
      </c>
      <c r="AJ87" s="174">
        <f t="shared" si="28"/>
        <v>1</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379</v>
      </c>
      <c r="L88" s="128" t="s">
        <v>380</v>
      </c>
      <c r="N88" s="129"/>
      <c r="O88" s="130" t="s">
        <v>359</v>
      </c>
      <c r="P88" s="192">
        <f>M67*P89</f>
        <v>4300</v>
      </c>
      <c r="Q88" s="192"/>
      <c r="R88" s="172"/>
      <c r="S88" s="175"/>
      <c r="T88" s="172"/>
      <c r="U88" s="175" t="s">
        <v>353</v>
      </c>
      <c r="V88" s="172">
        <f>W88*80</f>
        <v>320</v>
      </c>
      <c r="W88" s="177">
        <f>SUM(W67:W87)</f>
        <v>4</v>
      </c>
      <c r="X88" s="178"/>
      <c r="Y88" s="172" t="s">
        <v>354</v>
      </c>
      <c r="Z88" s="168"/>
      <c r="AA88" s="168">
        <f>SUM(AA67:AA87)</f>
        <v>946.15199999999993</v>
      </c>
      <c r="AB88" s="179"/>
      <c r="AC88" s="179"/>
      <c r="AD88" s="179"/>
      <c r="AE88" s="179"/>
      <c r="AF88" s="172" t="s">
        <v>358</v>
      </c>
      <c r="AG88" s="168"/>
      <c r="AH88" s="168">
        <f>SUM(AH67:AH87)</f>
        <v>0</v>
      </c>
      <c r="AI88" s="179"/>
      <c r="AJ88" s="179"/>
      <c r="AK88" s="179"/>
      <c r="AL88" s="149"/>
      <c r="AM88" s="150">
        <f>P88</f>
        <v>4300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494</v>
      </c>
      <c r="C89" s="217" t="str">
        <f>N67</f>
        <v>medium-sized Form 3  MSSB</v>
      </c>
      <c r="D89" s="260" t="str">
        <f>IF(B89="Shopping List",IF(ISNUMBER(SEARCH("MSSB",C89)),"MSSB",IF(ISNUMBER(SEARCH("local",C89)),"LOCAL","")))</f>
        <v>MSSB</v>
      </c>
      <c r="E89" s="238"/>
      <c r="F89" s="217"/>
      <c r="G89" s="217"/>
      <c r="H89" s="245">
        <v>2</v>
      </c>
      <c r="I89" s="270">
        <v>1</v>
      </c>
      <c r="J89" s="241" t="str">
        <f>CONCATENATE(O67," ",L67, " (",M67,") ",N67,".", IF(M67&gt;1," Each "," This "),"includes supply and install of ",O68,O69,O70,O71,O72,O73,O74,O75,O76,O77,O78,O79,O80,O81,O82,O83,O84,O85,O86,O87,J68,J69,J70,J71,J72,J73,J74,J75,J76,J77,J78,J79,J80,J81,J82,J83,J84,J85,J86,J87)</f>
        <v xml:space="preserve">Electrical services for one (1)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4300</v>
      </c>
      <c r="L89" s="234" t="str">
        <f>CONCATENATE(Q68,Q69,Q70,Q71,Q72,Q73,Q74,Q75,Q76,Q77,Q78,Q79,Q80,Q81,Q82,Q83,Q84,Q85,Q86,Q87,)</f>
        <v/>
      </c>
      <c r="M89" s="166" t="s">
        <v>369</v>
      </c>
      <c r="N89" s="160" t="str">
        <f>N67</f>
        <v>medium-sized Form 3  MSSB</v>
      </c>
      <c r="O89" s="185" t="s">
        <v>367</v>
      </c>
      <c r="P89" s="203">
        <f>3800+500</f>
        <v>4300</v>
      </c>
      <c r="Q89" s="195"/>
      <c r="R89" s="188"/>
      <c r="S89" s="160"/>
      <c r="T89" s="161"/>
      <c r="U89" s="327" t="s">
        <v>368</v>
      </c>
      <c r="V89" s="327"/>
      <c r="W89" s="162">
        <f>W88/M67</f>
        <v>4</v>
      </c>
      <c r="X89" s="163"/>
      <c r="Y89" s="325" t="s">
        <v>367</v>
      </c>
      <c r="Z89" s="325"/>
      <c r="AA89" s="164">
        <f>AA88/M67</f>
        <v>946.15199999999993</v>
      </c>
      <c r="AB89" s="161"/>
      <c r="AC89" s="161"/>
      <c r="AD89" s="161"/>
      <c r="AE89" s="161"/>
      <c r="AF89" s="325" t="s">
        <v>367</v>
      </c>
      <c r="AG89" s="325"/>
      <c r="AH89" s="164">
        <f>AH88/M67</f>
        <v>0</v>
      </c>
      <c r="AI89" s="161"/>
      <c r="AJ89" s="161"/>
      <c r="AK89" s="161"/>
      <c r="AL89" s="247"/>
      <c r="AM89" s="257"/>
      <c r="AN89" s="236">
        <f>K89*1.25</f>
        <v>5375</v>
      </c>
      <c r="AO89" s="286"/>
      <c r="AP89" s="284">
        <f t="shared" si="30"/>
        <v>4300</v>
      </c>
      <c r="AQ89" s="281">
        <f t="shared" si="31"/>
        <v>320</v>
      </c>
      <c r="AR89" s="284">
        <f t="shared" si="32"/>
        <v>946.15199999999993</v>
      </c>
      <c r="AS89" s="281">
        <f t="shared" si="33"/>
        <v>0</v>
      </c>
      <c r="AT89" s="284">
        <f t="shared" si="34"/>
        <v>3033.848</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5">
      <c r="A90" s="262">
        <f>ROW()</f>
        <v>90</v>
      </c>
      <c r="C90" s="211"/>
      <c r="D90" s="211"/>
      <c r="E90" s="211"/>
      <c r="F90" s="211"/>
      <c r="G90" s="211"/>
      <c r="H90" s="211"/>
      <c r="K90" s="116" t="s">
        <v>454</v>
      </c>
      <c r="M90" s="116" t="s">
        <v>107</v>
      </c>
      <c r="N90" s="116" t="s">
        <v>108</v>
      </c>
      <c r="O90" s="170" t="s">
        <v>388</v>
      </c>
      <c r="P90" s="326" t="s">
        <v>377</v>
      </c>
      <c r="Q90" s="326"/>
      <c r="R90" s="101" t="s">
        <v>454</v>
      </c>
      <c r="S90" s="116" t="s">
        <v>0</v>
      </c>
      <c r="T90" s="118"/>
      <c r="U90" s="116" t="s">
        <v>288</v>
      </c>
      <c r="V90" s="116" t="s">
        <v>289</v>
      </c>
      <c r="W90" s="116" t="s">
        <v>292</v>
      </c>
      <c r="X90" s="140"/>
      <c r="Y90" s="116" t="s">
        <v>290</v>
      </c>
      <c r="Z90" s="116" t="s">
        <v>356</v>
      </c>
      <c r="AA90" s="116" t="s">
        <v>357</v>
      </c>
      <c r="AB90" s="116" t="s">
        <v>319</v>
      </c>
      <c r="AC90" s="116" t="s">
        <v>320</v>
      </c>
      <c r="AD90" s="116" t="s">
        <v>318</v>
      </c>
      <c r="AE90" s="140"/>
      <c r="AF90" s="116" t="s">
        <v>294</v>
      </c>
      <c r="AG90" s="116" t="s">
        <v>356</v>
      </c>
      <c r="AH90" s="116" t="s">
        <v>357</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5">
      <c r="A91" s="262">
        <f>ROW()</f>
        <v>91</v>
      </c>
      <c r="C91" s="208"/>
      <c r="D91" s="208"/>
      <c r="E91" s="208"/>
      <c r="F91" s="208"/>
      <c r="G91" s="208"/>
      <c r="H91" s="208"/>
      <c r="L91" s="124" t="str">
        <f>VLOOKUP(M91,Sheet2!$D$2:$E$1024,2,FALSE)</f>
        <v>one</v>
      </c>
      <c r="M91" s="121">
        <f>I113</f>
        <v>1</v>
      </c>
      <c r="N91" s="132" t="s">
        <v>691</v>
      </c>
      <c r="O91" s="121" t="s">
        <v>195</v>
      </c>
      <c r="P91" s="173" t="s">
        <v>381</v>
      </c>
      <c r="Q91" s="173" t="s">
        <v>377</v>
      </c>
      <c r="R91" s="173"/>
      <c r="S91" s="174">
        <f>M91</f>
        <v>1</v>
      </c>
      <c r="T91" s="175"/>
      <c r="U91" s="180" t="s">
        <v>236</v>
      </c>
      <c r="V91" s="174">
        <f>S91</f>
        <v>1</v>
      </c>
      <c r="W91" s="174">
        <f>VLOOKUP(U91,Sheet1!$B$6:$C$45,2,FALSE)*V91</f>
        <v>4</v>
      </c>
      <c r="X91" s="174"/>
      <c r="Y91" s="175" t="s">
        <v>293</v>
      </c>
      <c r="Z91" s="168">
        <f>VLOOKUP(Takeoffs!Y91,Sheet1!$B$6:$C$124,2,FALSE)</f>
        <v>0</v>
      </c>
      <c r="AA91" s="168">
        <f>Z91*AB91</f>
        <v>0</v>
      </c>
      <c r="AB91" s="176">
        <f>AD91*AC91</f>
        <v>1</v>
      </c>
      <c r="AC91" s="174">
        <f>S91</f>
        <v>1</v>
      </c>
      <c r="AD91" s="174">
        <v>1</v>
      </c>
      <c r="AE91" s="174"/>
      <c r="AF91" s="175" t="s">
        <v>293</v>
      </c>
      <c r="AG91" s="168">
        <f>VLOOKUP(Takeoffs!AF91,Sheet1!$B$6:$C$124,2,FALSE)</f>
        <v>0</v>
      </c>
      <c r="AH91" s="168">
        <f>AG91*AI91</f>
        <v>0</v>
      </c>
      <c r="AI91" s="176">
        <f>AK91*AJ91</f>
        <v>0</v>
      </c>
      <c r="AJ91" s="174">
        <f>S91</f>
        <v>1</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609</v>
      </c>
      <c r="P92" s="175"/>
      <c r="Q92" s="175"/>
      <c r="R92" s="175"/>
      <c r="S92" s="174">
        <f>M91</f>
        <v>1</v>
      </c>
      <c r="T92" s="172"/>
      <c r="U92" s="175" t="s">
        <v>293</v>
      </c>
      <c r="V92" s="174">
        <f t="shared" ref="V92:V111" si="35">S92</f>
        <v>1</v>
      </c>
      <c r="W92" s="174">
        <f>VLOOKUP(U92,Sheet1!$B$6:$C$45,2,FALSE)*V92</f>
        <v>0</v>
      </c>
      <c r="X92" s="174"/>
      <c r="Y92" s="180" t="s">
        <v>419</v>
      </c>
      <c r="Z92" s="168">
        <f>VLOOKUP(Takeoffs!Y92,Sheet1!$B$6:$C$124,2,FALSE)</f>
        <v>586.15199999999993</v>
      </c>
      <c r="AA92" s="168">
        <f t="shared" ref="AA92:AA111" si="36">Z92*AB92</f>
        <v>586.15199999999993</v>
      </c>
      <c r="AB92" s="176">
        <f t="shared" ref="AB92:AB111" si="37">AD92*AC92</f>
        <v>1</v>
      </c>
      <c r="AC92" s="174">
        <f t="shared" ref="AC92:AC111" si="38">S92</f>
        <v>1</v>
      </c>
      <c r="AD92" s="174">
        <v>1</v>
      </c>
      <c r="AE92" s="174"/>
      <c r="AF92" s="175" t="s">
        <v>293</v>
      </c>
      <c r="AG92" s="168">
        <f>VLOOKUP(Takeoffs!AF92,Sheet1!$B$6:$C$124,2,FALSE)</f>
        <v>0</v>
      </c>
      <c r="AH92" s="168">
        <f t="shared" ref="AH92:AH111" si="39">AG92*AI92</f>
        <v>0</v>
      </c>
      <c r="AI92" s="176">
        <f t="shared" ref="AI92:AI111" si="40">AK92*AJ92</f>
        <v>0</v>
      </c>
      <c r="AJ92" s="174">
        <f t="shared" ref="AJ92:AJ111" si="41">S92</f>
        <v>1</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401</v>
      </c>
      <c r="P93" s="175"/>
      <c r="Q93" s="175"/>
      <c r="R93" s="175"/>
      <c r="S93" s="174">
        <f>M91</f>
        <v>1</v>
      </c>
      <c r="T93" s="172"/>
      <c r="U93" s="175" t="s">
        <v>293</v>
      </c>
      <c r="V93" s="174">
        <f t="shared" si="35"/>
        <v>1</v>
      </c>
      <c r="W93" s="174">
        <f>VLOOKUP(U93,Sheet1!$B$6:$C$45,2,FALSE)*V93</f>
        <v>0</v>
      </c>
      <c r="X93" s="174"/>
      <c r="Y93" s="175" t="s">
        <v>293</v>
      </c>
      <c r="Z93" s="168">
        <f>VLOOKUP(Takeoffs!Y93,Sheet1!$B$6:$C$124,2,FALSE)</f>
        <v>0</v>
      </c>
      <c r="AA93" s="168">
        <f t="shared" si="36"/>
        <v>0</v>
      </c>
      <c r="AB93" s="176">
        <f t="shared" si="37"/>
        <v>1</v>
      </c>
      <c r="AC93" s="174">
        <f t="shared" si="38"/>
        <v>1</v>
      </c>
      <c r="AD93" s="174">
        <v>1</v>
      </c>
      <c r="AE93" s="174"/>
      <c r="AF93" s="175" t="s">
        <v>293</v>
      </c>
      <c r="AG93" s="168">
        <f>VLOOKUP(Takeoffs!AF93,Sheet1!$B$6:$C$124,2,FALSE)</f>
        <v>0</v>
      </c>
      <c r="AH93" s="168">
        <f t="shared" si="39"/>
        <v>0</v>
      </c>
      <c r="AI93" s="176">
        <f t="shared" si="40"/>
        <v>0</v>
      </c>
      <c r="AJ93" s="174">
        <f t="shared" si="41"/>
        <v>1</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402</v>
      </c>
      <c r="P94" s="175"/>
      <c r="Q94" s="175"/>
      <c r="R94" s="175"/>
      <c r="S94" s="174">
        <f>M91</f>
        <v>1</v>
      </c>
      <c r="T94" s="172"/>
      <c r="U94" s="175" t="s">
        <v>293</v>
      </c>
      <c r="V94" s="174">
        <f t="shared" si="35"/>
        <v>1</v>
      </c>
      <c r="W94" s="174">
        <f>VLOOKUP(U94,Sheet1!$B$6:$C$45,2,FALSE)*V94</f>
        <v>0</v>
      </c>
      <c r="X94" s="174"/>
      <c r="Y94" s="175" t="s">
        <v>293</v>
      </c>
      <c r="Z94" s="168">
        <f>VLOOKUP(Takeoffs!Y94,Sheet1!$B$6:$C$124,2,FALSE)</f>
        <v>0</v>
      </c>
      <c r="AA94" s="168">
        <f t="shared" si="36"/>
        <v>0</v>
      </c>
      <c r="AB94" s="176">
        <f t="shared" si="37"/>
        <v>1</v>
      </c>
      <c r="AC94" s="174">
        <f t="shared" si="38"/>
        <v>1</v>
      </c>
      <c r="AD94" s="174">
        <v>1</v>
      </c>
      <c r="AE94" s="174"/>
      <c r="AF94" s="175" t="s">
        <v>293</v>
      </c>
      <c r="AG94" s="168">
        <f>VLOOKUP(Takeoffs!AF94,Sheet1!$B$6:$C$124,2,FALSE)</f>
        <v>0</v>
      </c>
      <c r="AH94" s="168">
        <f t="shared" si="39"/>
        <v>0</v>
      </c>
      <c r="AI94" s="176">
        <f t="shared" si="40"/>
        <v>0</v>
      </c>
      <c r="AJ94" s="174">
        <f t="shared" si="41"/>
        <v>1</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403</v>
      </c>
      <c r="P95" s="175"/>
      <c r="Q95" s="175"/>
      <c r="R95" s="175"/>
      <c r="S95" s="174">
        <f>M91</f>
        <v>1</v>
      </c>
      <c r="T95" s="172"/>
      <c r="U95" s="175" t="s">
        <v>293</v>
      </c>
      <c r="V95" s="174">
        <f t="shared" si="35"/>
        <v>1</v>
      </c>
      <c r="W95" s="174">
        <f>VLOOKUP(U95,Sheet1!$B$6:$C$45,2,FALSE)*V95</f>
        <v>0</v>
      </c>
      <c r="X95" s="174"/>
      <c r="Y95" s="175" t="s">
        <v>293</v>
      </c>
      <c r="Z95" s="168">
        <f>VLOOKUP(Takeoffs!Y95,Sheet1!$B$6:$C$124,2,FALSE)</f>
        <v>0</v>
      </c>
      <c r="AA95" s="168">
        <f t="shared" si="36"/>
        <v>0</v>
      </c>
      <c r="AB95" s="176">
        <f t="shared" si="37"/>
        <v>1</v>
      </c>
      <c r="AC95" s="174">
        <f t="shared" si="38"/>
        <v>1</v>
      </c>
      <c r="AD95" s="174">
        <v>1</v>
      </c>
      <c r="AE95" s="174"/>
      <c r="AF95" s="175" t="s">
        <v>293</v>
      </c>
      <c r="AG95" s="168">
        <f>VLOOKUP(Takeoffs!AF95,Sheet1!$B$6:$C$124,2,FALSE)</f>
        <v>0</v>
      </c>
      <c r="AH95" s="168">
        <f t="shared" si="39"/>
        <v>0</v>
      </c>
      <c r="AI95" s="176">
        <f t="shared" si="40"/>
        <v>0</v>
      </c>
      <c r="AJ95" s="174">
        <f t="shared" si="41"/>
        <v>1</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404</v>
      </c>
      <c r="P96" s="175"/>
      <c r="Q96" s="175"/>
      <c r="R96" s="175"/>
      <c r="S96" s="174">
        <f>M91</f>
        <v>1</v>
      </c>
      <c r="T96" s="172"/>
      <c r="U96" s="175" t="s">
        <v>293</v>
      </c>
      <c r="V96" s="174">
        <f t="shared" si="35"/>
        <v>1</v>
      </c>
      <c r="W96" s="174">
        <f>VLOOKUP(U96,Sheet1!$B$6:$C$45,2,FALSE)*V96</f>
        <v>0</v>
      </c>
      <c r="X96" s="174"/>
      <c r="Y96" s="175" t="s">
        <v>274</v>
      </c>
      <c r="Z96" s="168">
        <f>VLOOKUP(Takeoffs!Y96,Sheet1!$B$6:$C$124,2,FALSE)</f>
        <v>360</v>
      </c>
      <c r="AA96" s="168">
        <f t="shared" si="36"/>
        <v>360</v>
      </c>
      <c r="AB96" s="176">
        <f t="shared" si="37"/>
        <v>1</v>
      </c>
      <c r="AC96" s="174">
        <f t="shared" si="38"/>
        <v>1</v>
      </c>
      <c r="AD96" s="174">
        <v>1</v>
      </c>
      <c r="AE96" s="174"/>
      <c r="AF96" s="175" t="s">
        <v>293</v>
      </c>
      <c r="AG96" s="168">
        <f>VLOOKUP(Takeoffs!AF96,Sheet1!$B$6:$C$124,2,FALSE)</f>
        <v>0</v>
      </c>
      <c r="AH96" s="168">
        <f t="shared" si="39"/>
        <v>0</v>
      </c>
      <c r="AI96" s="176">
        <f t="shared" si="40"/>
        <v>0</v>
      </c>
      <c r="AJ96" s="174">
        <f t="shared" si="41"/>
        <v>1</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405</v>
      </c>
      <c r="P97" s="175"/>
      <c r="Q97" s="175"/>
      <c r="R97" s="175"/>
      <c r="S97" s="174">
        <f>M91</f>
        <v>1</v>
      </c>
      <c r="T97" s="172"/>
      <c r="U97" s="175" t="s">
        <v>293</v>
      </c>
      <c r="V97" s="174">
        <f t="shared" si="35"/>
        <v>1</v>
      </c>
      <c r="W97" s="174">
        <f>VLOOKUP(U97,Sheet1!$B$6:$C$45,2,FALSE)*V97</f>
        <v>0</v>
      </c>
      <c r="X97" s="174"/>
      <c r="Y97" s="175" t="s">
        <v>293</v>
      </c>
      <c r="Z97" s="168">
        <f>VLOOKUP(Takeoffs!Y97,Sheet1!$B$6:$C$124,2,FALSE)</f>
        <v>0</v>
      </c>
      <c r="AA97" s="168">
        <f t="shared" si="36"/>
        <v>0</v>
      </c>
      <c r="AB97" s="176">
        <f t="shared" si="37"/>
        <v>1</v>
      </c>
      <c r="AC97" s="174">
        <f t="shared" si="38"/>
        <v>1</v>
      </c>
      <c r="AD97" s="174">
        <v>1</v>
      </c>
      <c r="AE97" s="174"/>
      <c r="AF97" s="175" t="s">
        <v>293</v>
      </c>
      <c r="AG97" s="168">
        <f>VLOOKUP(Takeoffs!AF97,Sheet1!$B$6:$C$124,2,FALSE)</f>
        <v>0</v>
      </c>
      <c r="AH97" s="168">
        <f t="shared" si="39"/>
        <v>0</v>
      </c>
      <c r="AI97" s="176">
        <f t="shared" si="40"/>
        <v>0</v>
      </c>
      <c r="AJ97" s="174">
        <f t="shared" si="41"/>
        <v>1</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406</v>
      </c>
      <c r="P98" s="175"/>
      <c r="Q98" s="175"/>
      <c r="R98" s="175"/>
      <c r="S98" s="174">
        <f>M91</f>
        <v>1</v>
      </c>
      <c r="T98" s="172"/>
      <c r="U98" s="175" t="s">
        <v>293</v>
      </c>
      <c r="V98" s="174">
        <f t="shared" si="35"/>
        <v>1</v>
      </c>
      <c r="W98" s="174">
        <f>VLOOKUP(U98,Sheet1!$B$6:$C$45,2,FALSE)*V98</f>
        <v>0</v>
      </c>
      <c r="X98" s="174"/>
      <c r="Y98" s="175" t="s">
        <v>293</v>
      </c>
      <c r="Z98" s="168">
        <f>VLOOKUP(Takeoffs!Y98,Sheet1!$B$6:$C$124,2,FALSE)</f>
        <v>0</v>
      </c>
      <c r="AA98" s="168">
        <f t="shared" si="36"/>
        <v>0</v>
      </c>
      <c r="AB98" s="176">
        <f t="shared" si="37"/>
        <v>1</v>
      </c>
      <c r="AC98" s="174">
        <f t="shared" si="38"/>
        <v>1</v>
      </c>
      <c r="AD98" s="174">
        <v>1</v>
      </c>
      <c r="AE98" s="174"/>
      <c r="AF98" s="175" t="s">
        <v>293</v>
      </c>
      <c r="AG98" s="168">
        <f>VLOOKUP(Takeoffs!AF98,Sheet1!$B$6:$C$124,2,FALSE)</f>
        <v>0</v>
      </c>
      <c r="AH98" s="168">
        <f t="shared" si="39"/>
        <v>0</v>
      </c>
      <c r="AI98" s="176">
        <f t="shared" si="40"/>
        <v>0</v>
      </c>
      <c r="AJ98" s="174">
        <f t="shared" si="41"/>
        <v>1</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512</v>
      </c>
      <c r="P99" s="175"/>
      <c r="Q99" s="175"/>
      <c r="R99" s="175"/>
      <c r="S99" s="174">
        <f>M91</f>
        <v>1</v>
      </c>
      <c r="T99" s="172"/>
      <c r="U99" s="175" t="s">
        <v>293</v>
      </c>
      <c r="V99" s="174">
        <f t="shared" si="35"/>
        <v>1</v>
      </c>
      <c r="W99" s="174">
        <f>VLOOKUP(U99,Sheet1!$B$6:$C$45,2,FALSE)*V99</f>
        <v>0</v>
      </c>
      <c r="X99" s="174"/>
      <c r="Y99" s="175" t="s">
        <v>293</v>
      </c>
      <c r="Z99" s="168">
        <f>VLOOKUP(Takeoffs!Y99,Sheet1!$B$6:$C$124,2,FALSE)</f>
        <v>0</v>
      </c>
      <c r="AA99" s="168">
        <f t="shared" si="36"/>
        <v>0</v>
      </c>
      <c r="AB99" s="176">
        <f t="shared" si="37"/>
        <v>1</v>
      </c>
      <c r="AC99" s="174">
        <f t="shared" si="38"/>
        <v>1</v>
      </c>
      <c r="AD99" s="174">
        <v>1</v>
      </c>
      <c r="AE99" s="174"/>
      <c r="AF99" s="175" t="s">
        <v>293</v>
      </c>
      <c r="AG99" s="168">
        <f>VLOOKUP(Takeoffs!AF99,Sheet1!$B$6:$C$124,2,FALSE)</f>
        <v>0</v>
      </c>
      <c r="AH99" s="168">
        <f t="shared" si="39"/>
        <v>0</v>
      </c>
      <c r="AI99" s="176">
        <f t="shared" si="40"/>
        <v>0</v>
      </c>
      <c r="AJ99" s="174">
        <f t="shared" si="41"/>
        <v>1</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442</v>
      </c>
      <c r="P100" s="175"/>
      <c r="Q100" s="175"/>
      <c r="R100" s="175"/>
      <c r="S100" s="174">
        <f>M91</f>
        <v>1</v>
      </c>
      <c r="T100" s="172"/>
      <c r="U100" s="175" t="s">
        <v>293</v>
      </c>
      <c r="V100" s="174">
        <f t="shared" si="35"/>
        <v>1</v>
      </c>
      <c r="W100" s="174">
        <f>VLOOKUP(U100,Sheet1!$B$6:$C$45,2,FALSE)*V100</f>
        <v>0</v>
      </c>
      <c r="X100" s="174"/>
      <c r="Y100" s="175" t="s">
        <v>293</v>
      </c>
      <c r="Z100" s="168">
        <f>VLOOKUP(Takeoffs!Y100,Sheet1!$B$6:$C$124,2,FALSE)</f>
        <v>0</v>
      </c>
      <c r="AA100" s="168">
        <f t="shared" si="36"/>
        <v>0</v>
      </c>
      <c r="AB100" s="176">
        <f t="shared" si="37"/>
        <v>1</v>
      </c>
      <c r="AC100" s="174">
        <f t="shared" si="38"/>
        <v>1</v>
      </c>
      <c r="AD100" s="174">
        <v>1</v>
      </c>
      <c r="AE100" s="174"/>
      <c r="AF100" s="175" t="s">
        <v>293</v>
      </c>
      <c r="AG100" s="168">
        <f>VLOOKUP(Takeoffs!AF100,Sheet1!$B$6:$C$124,2,FALSE)</f>
        <v>0</v>
      </c>
      <c r="AH100" s="168">
        <f t="shared" si="39"/>
        <v>0</v>
      </c>
      <c r="AI100" s="176">
        <f t="shared" si="40"/>
        <v>0</v>
      </c>
      <c r="AJ100" s="174">
        <f t="shared" si="41"/>
        <v>1</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407</v>
      </c>
      <c r="P101" s="175"/>
      <c r="Q101" s="175"/>
      <c r="R101" s="175"/>
      <c r="S101" s="174">
        <f>M91</f>
        <v>1</v>
      </c>
      <c r="T101" s="172"/>
      <c r="U101" s="175" t="s">
        <v>293</v>
      </c>
      <c r="V101" s="174">
        <f t="shared" si="35"/>
        <v>1</v>
      </c>
      <c r="W101" s="174">
        <f>VLOOKUP(U101,Sheet1!$B$6:$C$45,2,FALSE)*V101</f>
        <v>0</v>
      </c>
      <c r="X101" s="174"/>
      <c r="Y101" s="175" t="s">
        <v>293</v>
      </c>
      <c r="Z101" s="168">
        <f>VLOOKUP(Takeoffs!Y101,Sheet1!$B$6:$C$124,2,FALSE)</f>
        <v>0</v>
      </c>
      <c r="AA101" s="168">
        <f t="shared" si="36"/>
        <v>0</v>
      </c>
      <c r="AB101" s="176">
        <f t="shared" si="37"/>
        <v>1</v>
      </c>
      <c r="AC101" s="174">
        <f t="shared" si="38"/>
        <v>1</v>
      </c>
      <c r="AD101" s="174">
        <v>1</v>
      </c>
      <c r="AE101" s="174"/>
      <c r="AF101" s="175" t="s">
        <v>293</v>
      </c>
      <c r="AG101" s="168">
        <f>VLOOKUP(Takeoffs!AF101,Sheet1!$B$6:$C$124,2,FALSE)</f>
        <v>0</v>
      </c>
      <c r="AH101" s="168">
        <f t="shared" si="39"/>
        <v>0</v>
      </c>
      <c r="AI101" s="176">
        <f t="shared" si="40"/>
        <v>0</v>
      </c>
      <c r="AJ101" s="174">
        <f t="shared" si="41"/>
        <v>1</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1</v>
      </c>
      <c r="T102" s="172"/>
      <c r="U102" s="175" t="s">
        <v>293</v>
      </c>
      <c r="V102" s="174">
        <f t="shared" si="35"/>
        <v>1</v>
      </c>
      <c r="W102" s="174">
        <f>VLOOKUP(U102,Sheet1!$B$6:$C$45,2,FALSE)*V102</f>
        <v>0</v>
      </c>
      <c r="X102" s="174"/>
      <c r="Y102" s="175" t="s">
        <v>293</v>
      </c>
      <c r="Z102" s="168">
        <f>VLOOKUP(Takeoffs!Y102,Sheet1!$B$6:$C$124,2,FALSE)</f>
        <v>0</v>
      </c>
      <c r="AA102" s="168">
        <f t="shared" si="36"/>
        <v>0</v>
      </c>
      <c r="AB102" s="176">
        <f t="shared" si="37"/>
        <v>1</v>
      </c>
      <c r="AC102" s="174">
        <f t="shared" si="38"/>
        <v>1</v>
      </c>
      <c r="AD102" s="174">
        <v>1</v>
      </c>
      <c r="AE102" s="174"/>
      <c r="AF102" s="175" t="s">
        <v>293</v>
      </c>
      <c r="AG102" s="168">
        <f>VLOOKUP(Takeoffs!AF102,Sheet1!$B$6:$C$124,2,FALSE)</f>
        <v>0</v>
      </c>
      <c r="AH102" s="168">
        <f t="shared" si="39"/>
        <v>0</v>
      </c>
      <c r="AI102" s="176">
        <f t="shared" si="40"/>
        <v>0</v>
      </c>
      <c r="AJ102" s="174">
        <f t="shared" si="41"/>
        <v>1</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1</v>
      </c>
      <c r="T103" s="172"/>
      <c r="U103" s="175" t="s">
        <v>293</v>
      </c>
      <c r="V103" s="174">
        <f t="shared" si="35"/>
        <v>1</v>
      </c>
      <c r="W103" s="174">
        <f>VLOOKUP(U103,Sheet1!$B$6:$C$45,2,FALSE)*V103</f>
        <v>0</v>
      </c>
      <c r="X103" s="174"/>
      <c r="Y103" s="175" t="s">
        <v>293</v>
      </c>
      <c r="Z103" s="168">
        <f>VLOOKUP(Takeoffs!Y103,Sheet1!$B$6:$C$124,2,FALSE)</f>
        <v>0</v>
      </c>
      <c r="AA103" s="168">
        <f t="shared" si="36"/>
        <v>0</v>
      </c>
      <c r="AB103" s="176">
        <f t="shared" si="37"/>
        <v>1</v>
      </c>
      <c r="AC103" s="174">
        <f t="shared" si="38"/>
        <v>1</v>
      </c>
      <c r="AD103" s="174">
        <v>1</v>
      </c>
      <c r="AE103" s="174"/>
      <c r="AF103" s="175" t="s">
        <v>293</v>
      </c>
      <c r="AG103" s="168">
        <f>VLOOKUP(Takeoffs!AF103,Sheet1!$B$6:$C$124,2,FALSE)</f>
        <v>0</v>
      </c>
      <c r="AH103" s="168">
        <f t="shared" si="39"/>
        <v>0</v>
      </c>
      <c r="AI103" s="176">
        <f t="shared" si="40"/>
        <v>0</v>
      </c>
      <c r="AJ103" s="174">
        <f t="shared" si="41"/>
        <v>1</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1</v>
      </c>
      <c r="T104" s="172"/>
      <c r="U104" s="175" t="s">
        <v>293</v>
      </c>
      <c r="V104" s="174">
        <f t="shared" si="35"/>
        <v>1</v>
      </c>
      <c r="W104" s="174">
        <f>VLOOKUP(U104,Sheet1!$B$6:$C$45,2,FALSE)*V104</f>
        <v>0</v>
      </c>
      <c r="X104" s="174"/>
      <c r="Y104" s="175" t="s">
        <v>293</v>
      </c>
      <c r="Z104" s="168">
        <f>VLOOKUP(Takeoffs!Y104,Sheet1!$B$6:$C$124,2,FALSE)</f>
        <v>0</v>
      </c>
      <c r="AA104" s="168">
        <f t="shared" si="36"/>
        <v>0</v>
      </c>
      <c r="AB104" s="176">
        <f t="shared" si="37"/>
        <v>1</v>
      </c>
      <c r="AC104" s="174">
        <f t="shared" si="38"/>
        <v>1</v>
      </c>
      <c r="AD104" s="174">
        <v>1</v>
      </c>
      <c r="AE104" s="174"/>
      <c r="AF104" s="175" t="s">
        <v>293</v>
      </c>
      <c r="AG104" s="168">
        <f>VLOOKUP(Takeoffs!AF104,Sheet1!$B$6:$C$124,2,FALSE)</f>
        <v>0</v>
      </c>
      <c r="AH104" s="168">
        <f t="shared" si="39"/>
        <v>0</v>
      </c>
      <c r="AI104" s="176">
        <f t="shared" si="40"/>
        <v>0</v>
      </c>
      <c r="AJ104" s="174">
        <f t="shared" si="41"/>
        <v>1</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1</v>
      </c>
      <c r="T105" s="172"/>
      <c r="U105" s="175" t="s">
        <v>293</v>
      </c>
      <c r="V105" s="174">
        <f t="shared" si="35"/>
        <v>1</v>
      </c>
      <c r="W105" s="174">
        <f>VLOOKUP(U105,Sheet1!$B$6:$C$45,2,FALSE)*V105</f>
        <v>0</v>
      </c>
      <c r="X105" s="174"/>
      <c r="Y105" s="175" t="s">
        <v>293</v>
      </c>
      <c r="Z105" s="168">
        <f>VLOOKUP(Takeoffs!Y105,Sheet1!$B$6:$C$124,2,FALSE)</f>
        <v>0</v>
      </c>
      <c r="AA105" s="168">
        <f t="shared" si="36"/>
        <v>0</v>
      </c>
      <c r="AB105" s="176">
        <f t="shared" si="37"/>
        <v>1</v>
      </c>
      <c r="AC105" s="174">
        <f t="shared" si="38"/>
        <v>1</v>
      </c>
      <c r="AD105" s="174">
        <v>1</v>
      </c>
      <c r="AE105" s="174"/>
      <c r="AF105" s="175" t="s">
        <v>293</v>
      </c>
      <c r="AG105" s="168">
        <f>VLOOKUP(Takeoffs!AF105,Sheet1!$B$6:$C$124,2,FALSE)</f>
        <v>0</v>
      </c>
      <c r="AH105" s="168">
        <f t="shared" si="39"/>
        <v>0</v>
      </c>
      <c r="AI105" s="176">
        <f t="shared" si="40"/>
        <v>0</v>
      </c>
      <c r="AJ105" s="174">
        <f t="shared" si="41"/>
        <v>1</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1</v>
      </c>
      <c r="T106" s="172"/>
      <c r="U106" s="175" t="s">
        <v>293</v>
      </c>
      <c r="V106" s="174">
        <f t="shared" si="35"/>
        <v>1</v>
      </c>
      <c r="W106" s="174">
        <f>VLOOKUP(U106,Sheet1!$B$6:$C$45,2,FALSE)*V106</f>
        <v>0</v>
      </c>
      <c r="X106" s="174"/>
      <c r="Y106" s="175" t="s">
        <v>293</v>
      </c>
      <c r="Z106" s="168">
        <f>VLOOKUP(Takeoffs!Y106,Sheet1!$B$6:$C$124,2,FALSE)</f>
        <v>0</v>
      </c>
      <c r="AA106" s="168">
        <f t="shared" si="36"/>
        <v>0</v>
      </c>
      <c r="AB106" s="176">
        <f t="shared" si="37"/>
        <v>2</v>
      </c>
      <c r="AC106" s="174">
        <f t="shared" si="38"/>
        <v>1</v>
      </c>
      <c r="AD106" s="174">
        <v>2</v>
      </c>
      <c r="AE106" s="174"/>
      <c r="AF106" s="175" t="s">
        <v>293</v>
      </c>
      <c r="AG106" s="168">
        <f>VLOOKUP(Takeoffs!AF106,Sheet1!$B$6:$C$124,2,FALSE)</f>
        <v>0</v>
      </c>
      <c r="AH106" s="168">
        <f t="shared" si="39"/>
        <v>0</v>
      </c>
      <c r="AI106" s="176">
        <f t="shared" si="40"/>
        <v>0</v>
      </c>
      <c r="AJ106" s="174">
        <f t="shared" si="41"/>
        <v>1</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1</v>
      </c>
      <c r="T107" s="172"/>
      <c r="U107" s="175" t="s">
        <v>293</v>
      </c>
      <c r="V107" s="174">
        <f t="shared" si="35"/>
        <v>1</v>
      </c>
      <c r="W107" s="174">
        <f>VLOOKUP(U107,Sheet1!$B$6:$C$45,2,FALSE)*V107</f>
        <v>0</v>
      </c>
      <c r="X107" s="174"/>
      <c r="Y107" s="175" t="s">
        <v>293</v>
      </c>
      <c r="Z107" s="168">
        <f>VLOOKUP(Takeoffs!Y107,Sheet1!$B$6:$C$124,2,FALSE)</f>
        <v>0</v>
      </c>
      <c r="AA107" s="168">
        <f t="shared" si="36"/>
        <v>0</v>
      </c>
      <c r="AB107" s="176">
        <f t="shared" si="37"/>
        <v>1</v>
      </c>
      <c r="AC107" s="174">
        <f t="shared" si="38"/>
        <v>1</v>
      </c>
      <c r="AD107" s="174">
        <v>1</v>
      </c>
      <c r="AE107" s="174"/>
      <c r="AF107" s="175" t="s">
        <v>293</v>
      </c>
      <c r="AG107" s="168">
        <f>VLOOKUP(Takeoffs!AF107,Sheet1!$B$6:$C$124,2,FALSE)</f>
        <v>0</v>
      </c>
      <c r="AH107" s="168">
        <f t="shared" si="39"/>
        <v>0</v>
      </c>
      <c r="AI107" s="176">
        <f t="shared" si="40"/>
        <v>0</v>
      </c>
      <c r="AJ107" s="174">
        <f t="shared" si="41"/>
        <v>1</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1</v>
      </c>
      <c r="T108" s="172"/>
      <c r="U108" s="175" t="s">
        <v>293</v>
      </c>
      <c r="V108" s="174">
        <f t="shared" si="35"/>
        <v>1</v>
      </c>
      <c r="W108" s="174">
        <f>VLOOKUP(U108,Sheet1!$B$6:$C$45,2,FALSE)*V108</f>
        <v>0</v>
      </c>
      <c r="X108" s="174"/>
      <c r="Y108" s="175" t="s">
        <v>293</v>
      </c>
      <c r="Z108" s="168">
        <f>VLOOKUP(Takeoffs!Y108,Sheet1!$B$6:$C$124,2,FALSE)</f>
        <v>0</v>
      </c>
      <c r="AA108" s="168">
        <f t="shared" si="36"/>
        <v>0</v>
      </c>
      <c r="AB108" s="176">
        <f t="shared" si="37"/>
        <v>1</v>
      </c>
      <c r="AC108" s="174">
        <f t="shared" si="38"/>
        <v>1</v>
      </c>
      <c r="AD108" s="174">
        <v>1</v>
      </c>
      <c r="AE108" s="174"/>
      <c r="AF108" s="175" t="s">
        <v>293</v>
      </c>
      <c r="AG108" s="168">
        <f>VLOOKUP(Takeoffs!AF108,Sheet1!$B$6:$C$124,2,FALSE)</f>
        <v>0</v>
      </c>
      <c r="AH108" s="168">
        <f t="shared" si="39"/>
        <v>0</v>
      </c>
      <c r="AI108" s="176">
        <f t="shared" si="40"/>
        <v>0</v>
      </c>
      <c r="AJ108" s="174">
        <f t="shared" si="41"/>
        <v>1</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1</v>
      </c>
      <c r="T109" s="172"/>
      <c r="U109" s="175" t="s">
        <v>293</v>
      </c>
      <c r="V109" s="174">
        <f t="shared" si="35"/>
        <v>1</v>
      </c>
      <c r="W109" s="174">
        <f>VLOOKUP(U109,Sheet1!$B$6:$C$45,2,FALSE)*V109</f>
        <v>0</v>
      </c>
      <c r="X109" s="174"/>
      <c r="Y109" s="175" t="s">
        <v>293</v>
      </c>
      <c r="Z109" s="168">
        <f>VLOOKUP(Takeoffs!Y109,Sheet1!$B$6:$C$124,2,FALSE)</f>
        <v>0</v>
      </c>
      <c r="AA109" s="168">
        <f t="shared" si="36"/>
        <v>0</v>
      </c>
      <c r="AB109" s="176">
        <f t="shared" si="37"/>
        <v>1</v>
      </c>
      <c r="AC109" s="174">
        <f t="shared" si="38"/>
        <v>1</v>
      </c>
      <c r="AD109" s="174">
        <v>1</v>
      </c>
      <c r="AE109" s="174"/>
      <c r="AF109" s="175" t="s">
        <v>293</v>
      </c>
      <c r="AG109" s="168">
        <f>VLOOKUP(Takeoffs!AF109,Sheet1!$B$6:$C$124,2,FALSE)</f>
        <v>0</v>
      </c>
      <c r="AH109" s="168">
        <f t="shared" si="39"/>
        <v>0</v>
      </c>
      <c r="AI109" s="176">
        <f t="shared" si="40"/>
        <v>0</v>
      </c>
      <c r="AJ109" s="174">
        <f t="shared" si="41"/>
        <v>1</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1</v>
      </c>
      <c r="T110" s="172"/>
      <c r="U110" s="175" t="s">
        <v>293</v>
      </c>
      <c r="V110" s="174">
        <f t="shared" si="35"/>
        <v>1</v>
      </c>
      <c r="W110" s="174">
        <f>VLOOKUP(U110,Sheet1!$B$6:$C$45,2,FALSE)*V110</f>
        <v>0</v>
      </c>
      <c r="X110" s="174"/>
      <c r="Y110" s="175" t="s">
        <v>293</v>
      </c>
      <c r="Z110" s="168">
        <f>VLOOKUP(Takeoffs!Y110,Sheet1!$B$6:$C$124,2,FALSE)</f>
        <v>0</v>
      </c>
      <c r="AA110" s="168">
        <f t="shared" si="36"/>
        <v>0</v>
      </c>
      <c r="AB110" s="176">
        <f t="shared" si="37"/>
        <v>1</v>
      </c>
      <c r="AC110" s="174">
        <f t="shared" si="38"/>
        <v>1</v>
      </c>
      <c r="AD110" s="174">
        <v>1</v>
      </c>
      <c r="AE110" s="174"/>
      <c r="AF110" s="175" t="s">
        <v>293</v>
      </c>
      <c r="AG110" s="168">
        <f>VLOOKUP(Takeoffs!AF110,Sheet1!$B$6:$C$124,2,FALSE)</f>
        <v>0</v>
      </c>
      <c r="AH110" s="168">
        <f t="shared" si="39"/>
        <v>0</v>
      </c>
      <c r="AI110" s="176">
        <f t="shared" si="40"/>
        <v>0</v>
      </c>
      <c r="AJ110" s="174">
        <f t="shared" si="41"/>
        <v>1</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1</v>
      </c>
      <c r="T111" s="172"/>
      <c r="U111" s="175" t="s">
        <v>293</v>
      </c>
      <c r="V111" s="174">
        <f t="shared" si="35"/>
        <v>1</v>
      </c>
      <c r="W111" s="174">
        <f>VLOOKUP(U111,Sheet1!$B$6:$C$45,2,FALSE)*V111</f>
        <v>0</v>
      </c>
      <c r="X111" s="174"/>
      <c r="Y111" s="175" t="s">
        <v>293</v>
      </c>
      <c r="Z111" s="168">
        <f>VLOOKUP(Takeoffs!Y111,Sheet1!$B$6:$C$124,2,FALSE)</f>
        <v>0</v>
      </c>
      <c r="AA111" s="168">
        <f t="shared" si="36"/>
        <v>0</v>
      </c>
      <c r="AB111" s="176">
        <f t="shared" si="37"/>
        <v>1</v>
      </c>
      <c r="AC111" s="174">
        <f t="shared" si="38"/>
        <v>1</v>
      </c>
      <c r="AD111" s="174">
        <v>1</v>
      </c>
      <c r="AE111" s="174"/>
      <c r="AF111" s="175" t="s">
        <v>293</v>
      </c>
      <c r="AG111" s="168">
        <f>VLOOKUP(Takeoffs!AF111,Sheet1!$B$6:$C$124,2,FALSE)</f>
        <v>0</v>
      </c>
      <c r="AH111" s="168">
        <f t="shared" si="39"/>
        <v>0</v>
      </c>
      <c r="AI111" s="176">
        <f t="shared" si="40"/>
        <v>0</v>
      </c>
      <c r="AJ111" s="174">
        <f t="shared" si="41"/>
        <v>1</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379</v>
      </c>
      <c r="L112" s="128" t="s">
        <v>380</v>
      </c>
      <c r="N112" s="129"/>
      <c r="O112" s="130" t="s">
        <v>359</v>
      </c>
      <c r="P112" s="192">
        <f>M91*P113</f>
        <v>8600</v>
      </c>
      <c r="Q112" s="192"/>
      <c r="R112" s="172"/>
      <c r="S112" s="175"/>
      <c r="T112" s="172"/>
      <c r="U112" s="175" t="s">
        <v>353</v>
      </c>
      <c r="V112" s="172">
        <f>W112*80</f>
        <v>320</v>
      </c>
      <c r="W112" s="177">
        <f>SUM(W91:W111)</f>
        <v>4</v>
      </c>
      <c r="X112" s="178"/>
      <c r="Y112" s="172" t="s">
        <v>354</v>
      </c>
      <c r="Z112" s="168"/>
      <c r="AA112" s="168">
        <f>SUM(AA91:AA111)</f>
        <v>946.15199999999993</v>
      </c>
      <c r="AB112" s="179"/>
      <c r="AC112" s="179"/>
      <c r="AD112" s="179"/>
      <c r="AE112" s="179"/>
      <c r="AF112" s="172" t="s">
        <v>358</v>
      </c>
      <c r="AG112" s="168"/>
      <c r="AH112" s="168">
        <f>SUM(AH91:AH111)</f>
        <v>0</v>
      </c>
      <c r="AI112" s="179"/>
      <c r="AJ112" s="179"/>
      <c r="AK112" s="179"/>
      <c r="AL112" s="149"/>
      <c r="AM112" s="150">
        <f>P112</f>
        <v>8600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494</v>
      </c>
      <c r="C113" s="217" t="str">
        <f>N91</f>
        <v>medium-sized 316 S/S Form 2  MSSB</v>
      </c>
      <c r="D113" s="260" t="str">
        <f>IF(B113="Shopping List",IF(ISNUMBER(SEARCH("MSSB",C113)),"MSSB",IF(ISNUMBER(SEARCH("local",C113)),"LOCAL","")))</f>
        <v>MSSB</v>
      </c>
      <c r="E113" s="238">
        <v>1</v>
      </c>
      <c r="F113" s="217"/>
      <c r="G113" s="217">
        <v>1</v>
      </c>
      <c r="H113" s="245"/>
      <c r="I113" s="270">
        <v>1</v>
      </c>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one (1)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8600</v>
      </c>
      <c r="L113" s="235" t="str">
        <f>CONCATENATE(Q92,Q93,Q94,Q95,Q96,Q97,Q98,Q99,Q100,Q101,Q102,Q103,Q104,Q105,Q106,Q107,Q108,Q109,Q110,Q111,)</f>
        <v/>
      </c>
      <c r="M113" s="166" t="s">
        <v>369</v>
      </c>
      <c r="N113" s="160" t="str">
        <f>N91</f>
        <v>medium-sized 316 S/S Form 2  MSSB</v>
      </c>
      <c r="O113" s="185" t="s">
        <v>367</v>
      </c>
      <c r="P113" s="203">
        <f>2*(3800+500)</f>
        <v>8600</v>
      </c>
      <c r="Q113" s="195"/>
      <c r="R113" s="188"/>
      <c r="S113" s="160"/>
      <c r="T113" s="161"/>
      <c r="U113" s="327" t="s">
        <v>368</v>
      </c>
      <c r="V113" s="327"/>
      <c r="W113" s="162">
        <f>W112/M91</f>
        <v>4</v>
      </c>
      <c r="X113" s="163"/>
      <c r="Y113" s="325" t="s">
        <v>367</v>
      </c>
      <c r="Z113" s="325"/>
      <c r="AA113" s="164">
        <f>AA112/M91</f>
        <v>946.15199999999993</v>
      </c>
      <c r="AB113" s="161"/>
      <c r="AC113" s="161"/>
      <c r="AD113" s="161"/>
      <c r="AE113" s="161"/>
      <c r="AF113" s="325" t="s">
        <v>367</v>
      </c>
      <c r="AG113" s="325"/>
      <c r="AH113" s="164">
        <f>AH112/M91</f>
        <v>0</v>
      </c>
      <c r="AI113" s="161"/>
      <c r="AJ113" s="161"/>
      <c r="AK113" s="161"/>
      <c r="AL113" s="247"/>
      <c r="AM113" s="257"/>
      <c r="AN113" s="230">
        <f>K113*1.25</f>
        <v>10750</v>
      </c>
      <c r="AO113" s="286"/>
      <c r="AP113" s="284">
        <f t="shared" si="30"/>
        <v>8600</v>
      </c>
      <c r="AQ113" s="281">
        <f t="shared" si="31"/>
        <v>320</v>
      </c>
      <c r="AR113" s="284">
        <f t="shared" si="32"/>
        <v>946.15199999999993</v>
      </c>
      <c r="AS113" s="281">
        <f t="shared" si="33"/>
        <v>0</v>
      </c>
      <c r="AT113" s="284">
        <f t="shared" si="34"/>
        <v>7333.848</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5">
      <c r="A114" s="262">
        <f>ROW()</f>
        <v>114</v>
      </c>
      <c r="C114" s="211"/>
      <c r="D114" s="211"/>
      <c r="E114" s="211"/>
      <c r="F114" s="211"/>
      <c r="G114" s="211"/>
      <c r="H114" s="211"/>
      <c r="K114" s="116" t="s">
        <v>454</v>
      </c>
      <c r="M114" s="116" t="s">
        <v>107</v>
      </c>
      <c r="N114" s="116" t="s">
        <v>108</v>
      </c>
      <c r="O114" s="170" t="s">
        <v>388</v>
      </c>
      <c r="P114" s="326" t="s">
        <v>377</v>
      </c>
      <c r="Q114" s="326"/>
      <c r="R114" s="101" t="s">
        <v>454</v>
      </c>
      <c r="S114" s="116" t="s">
        <v>0</v>
      </c>
      <c r="T114" s="118"/>
      <c r="U114" s="116" t="s">
        <v>288</v>
      </c>
      <c r="V114" s="116" t="s">
        <v>289</v>
      </c>
      <c r="W114" s="116" t="s">
        <v>292</v>
      </c>
      <c r="X114" s="140"/>
      <c r="Y114" s="116" t="s">
        <v>290</v>
      </c>
      <c r="Z114" s="116" t="s">
        <v>356</v>
      </c>
      <c r="AA114" s="116" t="s">
        <v>357</v>
      </c>
      <c r="AB114" s="116" t="s">
        <v>319</v>
      </c>
      <c r="AC114" s="116" t="s">
        <v>320</v>
      </c>
      <c r="AD114" s="116" t="s">
        <v>318</v>
      </c>
      <c r="AE114" s="140"/>
      <c r="AF114" s="116" t="s">
        <v>294</v>
      </c>
      <c r="AG114" s="116" t="s">
        <v>356</v>
      </c>
      <c r="AH114" s="116" t="s">
        <v>357</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5">
      <c r="A115" s="262">
        <f>ROW()</f>
        <v>115</v>
      </c>
      <c r="C115" s="208"/>
      <c r="D115" s="208"/>
      <c r="E115" s="208"/>
      <c r="F115" s="208"/>
      <c r="G115" s="208"/>
      <c r="H115" s="208"/>
      <c r="L115" s="124" t="str">
        <f>VLOOKUP(M115,Sheet2!$D$2:$E$1024,2,FALSE)</f>
        <v>one</v>
      </c>
      <c r="M115" s="121">
        <f>I137</f>
        <v>1</v>
      </c>
      <c r="N115" s="132" t="s">
        <v>532</v>
      </c>
      <c r="O115" s="121" t="s">
        <v>195</v>
      </c>
      <c r="P115" s="173" t="s">
        <v>381</v>
      </c>
      <c r="Q115" s="173" t="s">
        <v>377</v>
      </c>
      <c r="R115" s="173"/>
      <c r="S115" s="174">
        <f>M115</f>
        <v>1</v>
      </c>
      <c r="T115" s="175"/>
      <c r="U115" s="180" t="s">
        <v>236</v>
      </c>
      <c r="V115" s="174">
        <f>S115</f>
        <v>1</v>
      </c>
      <c r="W115" s="174">
        <f>VLOOKUP(U115,Sheet1!$B$6:$C$45,2,FALSE)*V115</f>
        <v>4</v>
      </c>
      <c r="X115" s="174"/>
      <c r="Y115" s="175" t="s">
        <v>293</v>
      </c>
      <c r="Z115" s="168">
        <f>VLOOKUP(Takeoffs!Y115,Sheet1!$B$6:$C$124,2,FALSE)</f>
        <v>0</v>
      </c>
      <c r="AA115" s="168">
        <f>Z115*AB115</f>
        <v>0</v>
      </c>
      <c r="AB115" s="176">
        <f>AD115*AC115</f>
        <v>1</v>
      </c>
      <c r="AC115" s="174">
        <f>S115</f>
        <v>1</v>
      </c>
      <c r="AD115" s="174">
        <v>1</v>
      </c>
      <c r="AE115" s="174"/>
      <c r="AF115" s="175" t="s">
        <v>293</v>
      </c>
      <c r="AG115" s="168">
        <f>VLOOKUP(Takeoffs!AF115,Sheet1!$B$6:$C$124,2,FALSE)</f>
        <v>0</v>
      </c>
      <c r="AH115" s="168">
        <f>AG115*AI115</f>
        <v>0</v>
      </c>
      <c r="AI115" s="176">
        <f>AK115*AJ115</f>
        <v>0</v>
      </c>
      <c r="AJ115" s="174">
        <f>S115</f>
        <v>1</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609</v>
      </c>
      <c r="P116" s="175"/>
      <c r="Q116" s="175"/>
      <c r="R116" s="175"/>
      <c r="S116" s="174">
        <f>M115</f>
        <v>1</v>
      </c>
      <c r="T116" s="172"/>
      <c r="U116" s="175" t="s">
        <v>293</v>
      </c>
      <c r="V116" s="174">
        <f t="shared" ref="V116:V135" si="43">S116</f>
        <v>1</v>
      </c>
      <c r="W116" s="174">
        <f>VLOOKUP(U116,Sheet1!$B$6:$C$45,2,FALSE)*V116</f>
        <v>0</v>
      </c>
      <c r="X116" s="174"/>
      <c r="Y116" s="180" t="s">
        <v>419</v>
      </c>
      <c r="Z116" s="168">
        <f>VLOOKUP(Takeoffs!Y116,Sheet1!$B$6:$C$124,2,FALSE)</f>
        <v>586.15199999999993</v>
      </c>
      <c r="AA116" s="168">
        <f t="shared" ref="AA116:AA135" si="44">Z116*AB116</f>
        <v>586.15199999999993</v>
      </c>
      <c r="AB116" s="176">
        <f t="shared" ref="AB116:AB135" si="45">AD116*AC116</f>
        <v>1</v>
      </c>
      <c r="AC116" s="174">
        <f>S116</f>
        <v>1</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1</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401</v>
      </c>
      <c r="P117" s="175"/>
      <c r="Q117" s="175"/>
      <c r="R117" s="175"/>
      <c r="S117" s="174">
        <f>M115</f>
        <v>1</v>
      </c>
      <c r="T117" s="172"/>
      <c r="U117" s="175" t="s">
        <v>293</v>
      </c>
      <c r="V117" s="174">
        <f t="shared" si="43"/>
        <v>1</v>
      </c>
      <c r="W117" s="174">
        <f>VLOOKUP(U117,Sheet1!$B$6:$C$45,2,FALSE)*V117</f>
        <v>0</v>
      </c>
      <c r="X117" s="174"/>
      <c r="Y117" s="175" t="s">
        <v>293</v>
      </c>
      <c r="Z117" s="168">
        <f>VLOOKUP(Takeoffs!Y117,Sheet1!$B$6:$C$124,2,FALSE)</f>
        <v>0</v>
      </c>
      <c r="AA117" s="168">
        <f t="shared" si="44"/>
        <v>0</v>
      </c>
      <c r="AB117" s="176">
        <f t="shared" si="45"/>
        <v>1</v>
      </c>
      <c r="AC117" s="174">
        <f>S117</f>
        <v>1</v>
      </c>
      <c r="AD117" s="174">
        <v>1</v>
      </c>
      <c r="AE117" s="174"/>
      <c r="AF117" s="175" t="s">
        <v>293</v>
      </c>
      <c r="AG117" s="168">
        <f>VLOOKUP(Takeoffs!AF117,Sheet1!$B$6:$C$124,2,FALSE)</f>
        <v>0</v>
      </c>
      <c r="AH117" s="168">
        <f t="shared" si="46"/>
        <v>0</v>
      </c>
      <c r="AI117" s="176">
        <f t="shared" si="47"/>
        <v>0</v>
      </c>
      <c r="AJ117" s="174">
        <f t="shared" si="48"/>
        <v>1</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402</v>
      </c>
      <c r="P118" s="175"/>
      <c r="Q118" s="175"/>
      <c r="R118" s="175"/>
      <c r="S118" s="174">
        <f>M115</f>
        <v>1</v>
      </c>
      <c r="T118" s="172"/>
      <c r="U118" s="175" t="s">
        <v>293</v>
      </c>
      <c r="V118" s="174">
        <f t="shared" si="43"/>
        <v>1</v>
      </c>
      <c r="W118" s="174">
        <f>VLOOKUP(U118,Sheet1!$B$6:$C$45,2,FALSE)*V118</f>
        <v>0</v>
      </c>
      <c r="X118" s="174"/>
      <c r="Y118" s="175" t="s">
        <v>293</v>
      </c>
      <c r="Z118" s="168">
        <f>VLOOKUP(Takeoffs!Y118,Sheet1!$B$6:$C$124,2,FALSE)</f>
        <v>0</v>
      </c>
      <c r="AA118" s="168">
        <f t="shared" si="44"/>
        <v>0</v>
      </c>
      <c r="AB118" s="176">
        <f t="shared" si="45"/>
        <v>1</v>
      </c>
      <c r="AC118" s="174">
        <f t="shared" ref="AC118:AC135" si="50">S118</f>
        <v>1</v>
      </c>
      <c r="AD118" s="174">
        <v>1</v>
      </c>
      <c r="AE118" s="174"/>
      <c r="AF118" s="175" t="s">
        <v>293</v>
      </c>
      <c r="AG118" s="168">
        <f>VLOOKUP(Takeoffs!AF118,Sheet1!$B$6:$C$124,2,FALSE)</f>
        <v>0</v>
      </c>
      <c r="AH118" s="168">
        <f t="shared" si="46"/>
        <v>0</v>
      </c>
      <c r="AI118" s="176">
        <f t="shared" si="47"/>
        <v>0</v>
      </c>
      <c r="AJ118" s="174">
        <f t="shared" si="48"/>
        <v>1</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403</v>
      </c>
      <c r="P119" s="175"/>
      <c r="Q119" s="175"/>
      <c r="R119" s="175"/>
      <c r="S119" s="174">
        <f>M115</f>
        <v>1</v>
      </c>
      <c r="T119" s="172"/>
      <c r="U119" s="175" t="s">
        <v>293</v>
      </c>
      <c r="V119" s="174">
        <f t="shared" si="43"/>
        <v>1</v>
      </c>
      <c r="W119" s="174">
        <f>VLOOKUP(U119,Sheet1!$B$6:$C$45,2,FALSE)*V119</f>
        <v>0</v>
      </c>
      <c r="X119" s="174"/>
      <c r="Y119" s="175" t="s">
        <v>293</v>
      </c>
      <c r="Z119" s="168">
        <f>VLOOKUP(Takeoffs!Y119,Sheet1!$B$6:$C$124,2,FALSE)</f>
        <v>0</v>
      </c>
      <c r="AA119" s="168">
        <f t="shared" si="44"/>
        <v>0</v>
      </c>
      <c r="AB119" s="176">
        <f t="shared" si="45"/>
        <v>1</v>
      </c>
      <c r="AC119" s="174">
        <f t="shared" si="50"/>
        <v>1</v>
      </c>
      <c r="AD119" s="174">
        <v>1</v>
      </c>
      <c r="AE119" s="174"/>
      <c r="AF119" s="175" t="s">
        <v>293</v>
      </c>
      <c r="AG119" s="168">
        <f>VLOOKUP(Takeoffs!AF119,Sheet1!$B$6:$C$124,2,FALSE)</f>
        <v>0</v>
      </c>
      <c r="AH119" s="168">
        <f t="shared" si="46"/>
        <v>0</v>
      </c>
      <c r="AI119" s="176">
        <f t="shared" si="47"/>
        <v>0</v>
      </c>
      <c r="AJ119" s="174">
        <f t="shared" si="48"/>
        <v>1</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404</v>
      </c>
      <c r="P120" s="175"/>
      <c r="Q120" s="175"/>
      <c r="R120" s="175"/>
      <c r="S120" s="174">
        <f>M115</f>
        <v>1</v>
      </c>
      <c r="T120" s="172"/>
      <c r="U120" s="175" t="s">
        <v>293</v>
      </c>
      <c r="V120" s="174">
        <f t="shared" si="43"/>
        <v>1</v>
      </c>
      <c r="W120" s="174">
        <f>VLOOKUP(U120,Sheet1!$B$6:$C$45,2,FALSE)*V120</f>
        <v>0</v>
      </c>
      <c r="X120" s="174"/>
      <c r="Y120" s="175" t="s">
        <v>274</v>
      </c>
      <c r="Z120" s="168">
        <f>VLOOKUP(Takeoffs!Y120,Sheet1!$B$6:$C$124,2,FALSE)</f>
        <v>360</v>
      </c>
      <c r="AA120" s="168">
        <f t="shared" si="44"/>
        <v>360</v>
      </c>
      <c r="AB120" s="176">
        <f t="shared" si="45"/>
        <v>1</v>
      </c>
      <c r="AC120" s="174">
        <f t="shared" si="50"/>
        <v>1</v>
      </c>
      <c r="AD120" s="174">
        <v>1</v>
      </c>
      <c r="AE120" s="174"/>
      <c r="AF120" s="175" t="s">
        <v>293</v>
      </c>
      <c r="AG120" s="168">
        <f>VLOOKUP(Takeoffs!AF120,Sheet1!$B$6:$C$124,2,FALSE)</f>
        <v>0</v>
      </c>
      <c r="AH120" s="168">
        <f t="shared" si="46"/>
        <v>0</v>
      </c>
      <c r="AI120" s="176">
        <f t="shared" si="47"/>
        <v>0</v>
      </c>
      <c r="AJ120" s="174">
        <f t="shared" si="48"/>
        <v>1</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405</v>
      </c>
      <c r="P121" s="175"/>
      <c r="Q121" s="175"/>
      <c r="R121" s="175"/>
      <c r="S121" s="174">
        <f>M115</f>
        <v>1</v>
      </c>
      <c r="T121" s="172"/>
      <c r="U121" s="175" t="s">
        <v>293</v>
      </c>
      <c r="V121" s="174">
        <f t="shared" si="43"/>
        <v>1</v>
      </c>
      <c r="W121" s="174">
        <f>VLOOKUP(U121,Sheet1!$B$6:$C$45,2,FALSE)*V121</f>
        <v>0</v>
      </c>
      <c r="X121" s="174"/>
      <c r="Y121" s="175" t="s">
        <v>293</v>
      </c>
      <c r="Z121" s="168">
        <f>VLOOKUP(Takeoffs!Y121,Sheet1!$B$6:$C$124,2,FALSE)</f>
        <v>0</v>
      </c>
      <c r="AA121" s="168">
        <f t="shared" si="44"/>
        <v>0</v>
      </c>
      <c r="AB121" s="176">
        <f t="shared" si="45"/>
        <v>1</v>
      </c>
      <c r="AC121" s="174">
        <f t="shared" si="50"/>
        <v>1</v>
      </c>
      <c r="AD121" s="174">
        <v>1</v>
      </c>
      <c r="AE121" s="174"/>
      <c r="AF121" s="175" t="s">
        <v>293</v>
      </c>
      <c r="AG121" s="168">
        <f>VLOOKUP(Takeoffs!AF121,Sheet1!$B$6:$C$124,2,FALSE)</f>
        <v>0</v>
      </c>
      <c r="AH121" s="168">
        <f t="shared" si="46"/>
        <v>0</v>
      </c>
      <c r="AI121" s="176">
        <f t="shared" si="47"/>
        <v>0</v>
      </c>
      <c r="AJ121" s="174">
        <f t="shared" si="48"/>
        <v>1</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406</v>
      </c>
      <c r="P122" s="175"/>
      <c r="Q122" s="175"/>
      <c r="R122" s="175"/>
      <c r="S122" s="174">
        <f>M115</f>
        <v>1</v>
      </c>
      <c r="T122" s="172"/>
      <c r="U122" s="175" t="s">
        <v>293</v>
      </c>
      <c r="V122" s="174">
        <f t="shared" si="43"/>
        <v>1</v>
      </c>
      <c r="W122" s="174">
        <f>VLOOKUP(U122,Sheet1!$B$6:$C$45,2,FALSE)*V122</f>
        <v>0</v>
      </c>
      <c r="X122" s="174"/>
      <c r="Y122" s="175" t="s">
        <v>293</v>
      </c>
      <c r="Z122" s="168">
        <f>VLOOKUP(Takeoffs!Y122,Sheet1!$B$6:$C$124,2,FALSE)</f>
        <v>0</v>
      </c>
      <c r="AA122" s="168">
        <f t="shared" si="44"/>
        <v>0</v>
      </c>
      <c r="AB122" s="176">
        <f t="shared" si="45"/>
        <v>1</v>
      </c>
      <c r="AC122" s="174">
        <f t="shared" si="50"/>
        <v>1</v>
      </c>
      <c r="AD122" s="174">
        <v>1</v>
      </c>
      <c r="AE122" s="174"/>
      <c r="AF122" s="175" t="s">
        <v>293</v>
      </c>
      <c r="AG122" s="168">
        <f>VLOOKUP(Takeoffs!AF122,Sheet1!$B$6:$C$124,2,FALSE)</f>
        <v>0</v>
      </c>
      <c r="AH122" s="168">
        <f t="shared" si="46"/>
        <v>0</v>
      </c>
      <c r="AI122" s="176">
        <f t="shared" si="47"/>
        <v>0</v>
      </c>
      <c r="AJ122" s="174">
        <f t="shared" si="48"/>
        <v>1</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512</v>
      </c>
      <c r="P123" s="175"/>
      <c r="Q123" s="175"/>
      <c r="R123" s="175"/>
      <c r="S123" s="174">
        <f>M115</f>
        <v>1</v>
      </c>
      <c r="T123" s="172"/>
      <c r="U123" s="175" t="s">
        <v>293</v>
      </c>
      <c r="V123" s="174">
        <f t="shared" si="43"/>
        <v>1</v>
      </c>
      <c r="W123" s="174">
        <f>VLOOKUP(U123,Sheet1!$B$6:$C$45,2,FALSE)*V123</f>
        <v>0</v>
      </c>
      <c r="X123" s="174"/>
      <c r="Y123" s="175" t="s">
        <v>293</v>
      </c>
      <c r="Z123" s="168">
        <f>VLOOKUP(Takeoffs!Y123,Sheet1!$B$6:$C$124,2,FALSE)</f>
        <v>0</v>
      </c>
      <c r="AA123" s="168">
        <f t="shared" si="44"/>
        <v>0</v>
      </c>
      <c r="AB123" s="176">
        <f t="shared" si="45"/>
        <v>1</v>
      </c>
      <c r="AC123" s="174">
        <f t="shared" si="50"/>
        <v>1</v>
      </c>
      <c r="AD123" s="174">
        <v>1</v>
      </c>
      <c r="AE123" s="174"/>
      <c r="AF123" s="175" t="s">
        <v>293</v>
      </c>
      <c r="AG123" s="168">
        <f>VLOOKUP(Takeoffs!AF123,Sheet1!$B$6:$C$124,2,FALSE)</f>
        <v>0</v>
      </c>
      <c r="AH123" s="168">
        <f t="shared" si="46"/>
        <v>0</v>
      </c>
      <c r="AI123" s="176">
        <f t="shared" si="47"/>
        <v>0</v>
      </c>
      <c r="AJ123" s="174">
        <f t="shared" si="48"/>
        <v>1</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442</v>
      </c>
      <c r="P124" s="175"/>
      <c r="Q124" s="175"/>
      <c r="R124" s="175"/>
      <c r="S124" s="174">
        <f>M115</f>
        <v>1</v>
      </c>
      <c r="T124" s="172"/>
      <c r="U124" s="175" t="s">
        <v>293</v>
      </c>
      <c r="V124" s="174">
        <f t="shared" si="43"/>
        <v>1</v>
      </c>
      <c r="W124" s="174">
        <f>VLOOKUP(U124,Sheet1!$B$6:$C$45,2,FALSE)*V124</f>
        <v>0</v>
      </c>
      <c r="X124" s="174"/>
      <c r="Y124" s="175" t="s">
        <v>293</v>
      </c>
      <c r="Z124" s="168">
        <f>VLOOKUP(Takeoffs!Y124,Sheet1!$B$6:$C$124,2,FALSE)</f>
        <v>0</v>
      </c>
      <c r="AA124" s="168">
        <f t="shared" si="44"/>
        <v>0</v>
      </c>
      <c r="AB124" s="176">
        <f t="shared" si="45"/>
        <v>1</v>
      </c>
      <c r="AC124" s="174">
        <f t="shared" si="50"/>
        <v>1</v>
      </c>
      <c r="AD124" s="174">
        <v>1</v>
      </c>
      <c r="AE124" s="174"/>
      <c r="AF124" s="175" t="s">
        <v>293</v>
      </c>
      <c r="AG124" s="168">
        <f>VLOOKUP(Takeoffs!AF124,Sheet1!$B$6:$C$124,2,FALSE)</f>
        <v>0</v>
      </c>
      <c r="AH124" s="168">
        <f t="shared" si="46"/>
        <v>0</v>
      </c>
      <c r="AI124" s="176">
        <f t="shared" si="47"/>
        <v>0</v>
      </c>
      <c r="AJ124" s="174">
        <f t="shared" si="48"/>
        <v>1</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407</v>
      </c>
      <c r="P125" s="175"/>
      <c r="Q125" s="175"/>
      <c r="R125" s="175"/>
      <c r="S125" s="174">
        <f>M115</f>
        <v>1</v>
      </c>
      <c r="T125" s="172"/>
      <c r="U125" s="175" t="s">
        <v>293</v>
      </c>
      <c r="V125" s="174">
        <f t="shared" si="43"/>
        <v>1</v>
      </c>
      <c r="W125" s="174">
        <f>VLOOKUP(U125,Sheet1!$B$6:$C$45,2,FALSE)*V125</f>
        <v>0</v>
      </c>
      <c r="X125" s="174"/>
      <c r="Y125" s="175" t="s">
        <v>293</v>
      </c>
      <c r="Z125" s="168">
        <f>VLOOKUP(Takeoffs!Y125,Sheet1!$B$6:$C$124,2,FALSE)</f>
        <v>0</v>
      </c>
      <c r="AA125" s="168">
        <f t="shared" si="44"/>
        <v>0</v>
      </c>
      <c r="AB125" s="176">
        <f t="shared" si="45"/>
        <v>1</v>
      </c>
      <c r="AC125" s="174">
        <f t="shared" si="50"/>
        <v>1</v>
      </c>
      <c r="AD125" s="174">
        <v>1</v>
      </c>
      <c r="AE125" s="174"/>
      <c r="AF125" s="175" t="s">
        <v>293</v>
      </c>
      <c r="AG125" s="168">
        <f>VLOOKUP(Takeoffs!AF125,Sheet1!$B$6:$C$124,2,FALSE)</f>
        <v>0</v>
      </c>
      <c r="AH125" s="168">
        <f t="shared" si="46"/>
        <v>0</v>
      </c>
      <c r="AI125" s="176">
        <f t="shared" si="47"/>
        <v>0</v>
      </c>
      <c r="AJ125" s="174">
        <f t="shared" si="48"/>
        <v>1</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1</v>
      </c>
      <c r="T126" s="172"/>
      <c r="U126" s="175" t="s">
        <v>293</v>
      </c>
      <c r="V126" s="174">
        <f t="shared" si="43"/>
        <v>1</v>
      </c>
      <c r="W126" s="174">
        <f>VLOOKUP(U126,Sheet1!$B$6:$C$45,2,FALSE)*V126</f>
        <v>0</v>
      </c>
      <c r="X126" s="174"/>
      <c r="Y126" s="175" t="s">
        <v>293</v>
      </c>
      <c r="Z126" s="168">
        <f>VLOOKUP(Takeoffs!Y126,Sheet1!$B$6:$C$124,2,FALSE)</f>
        <v>0</v>
      </c>
      <c r="AA126" s="168">
        <f t="shared" si="44"/>
        <v>0</v>
      </c>
      <c r="AB126" s="176">
        <f t="shared" si="45"/>
        <v>1</v>
      </c>
      <c r="AC126" s="174">
        <f t="shared" si="50"/>
        <v>1</v>
      </c>
      <c r="AD126" s="174">
        <v>1</v>
      </c>
      <c r="AE126" s="174"/>
      <c r="AF126" s="175" t="s">
        <v>293</v>
      </c>
      <c r="AG126" s="168">
        <f>VLOOKUP(Takeoffs!AF126,Sheet1!$B$6:$C$124,2,FALSE)</f>
        <v>0</v>
      </c>
      <c r="AH126" s="168">
        <f t="shared" si="46"/>
        <v>0</v>
      </c>
      <c r="AI126" s="176">
        <f t="shared" si="47"/>
        <v>0</v>
      </c>
      <c r="AJ126" s="174">
        <f t="shared" si="48"/>
        <v>1</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1</v>
      </c>
      <c r="T127" s="172"/>
      <c r="U127" s="175" t="s">
        <v>293</v>
      </c>
      <c r="V127" s="174">
        <f t="shared" si="43"/>
        <v>1</v>
      </c>
      <c r="W127" s="174">
        <f>VLOOKUP(U127,Sheet1!$B$6:$C$45,2,FALSE)*V127</f>
        <v>0</v>
      </c>
      <c r="X127" s="174"/>
      <c r="Y127" s="175" t="s">
        <v>293</v>
      </c>
      <c r="Z127" s="168">
        <f>VLOOKUP(Takeoffs!Y127,Sheet1!$B$6:$C$124,2,FALSE)</f>
        <v>0</v>
      </c>
      <c r="AA127" s="168">
        <f t="shared" si="44"/>
        <v>0</v>
      </c>
      <c r="AB127" s="176">
        <f t="shared" si="45"/>
        <v>1</v>
      </c>
      <c r="AC127" s="174">
        <f t="shared" si="50"/>
        <v>1</v>
      </c>
      <c r="AD127" s="174">
        <v>1</v>
      </c>
      <c r="AE127" s="174"/>
      <c r="AF127" s="175" t="s">
        <v>293</v>
      </c>
      <c r="AG127" s="168">
        <f>VLOOKUP(Takeoffs!AF127,Sheet1!$B$6:$C$124,2,FALSE)</f>
        <v>0</v>
      </c>
      <c r="AH127" s="168">
        <f t="shared" si="46"/>
        <v>0</v>
      </c>
      <c r="AI127" s="176">
        <f t="shared" si="47"/>
        <v>0</v>
      </c>
      <c r="AJ127" s="174">
        <f t="shared" si="48"/>
        <v>1</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1</v>
      </c>
      <c r="T128" s="172"/>
      <c r="U128" s="175" t="s">
        <v>293</v>
      </c>
      <c r="V128" s="174">
        <f t="shared" si="43"/>
        <v>1</v>
      </c>
      <c r="W128" s="174">
        <f>VLOOKUP(U128,Sheet1!$B$6:$C$45,2,FALSE)*V128</f>
        <v>0</v>
      </c>
      <c r="X128" s="174"/>
      <c r="Y128" s="175" t="s">
        <v>293</v>
      </c>
      <c r="Z128" s="168">
        <f>VLOOKUP(Takeoffs!Y128,Sheet1!$B$6:$C$124,2,FALSE)</f>
        <v>0</v>
      </c>
      <c r="AA128" s="168">
        <f t="shared" si="44"/>
        <v>0</v>
      </c>
      <c r="AB128" s="176">
        <f t="shared" si="45"/>
        <v>1</v>
      </c>
      <c r="AC128" s="174">
        <f t="shared" si="50"/>
        <v>1</v>
      </c>
      <c r="AD128" s="174">
        <v>1</v>
      </c>
      <c r="AE128" s="174"/>
      <c r="AF128" s="175" t="s">
        <v>293</v>
      </c>
      <c r="AG128" s="168">
        <f>VLOOKUP(Takeoffs!AF128,Sheet1!$B$6:$C$124,2,FALSE)</f>
        <v>0</v>
      </c>
      <c r="AH128" s="168">
        <f t="shared" si="46"/>
        <v>0</v>
      </c>
      <c r="AI128" s="176">
        <f t="shared" si="47"/>
        <v>0</v>
      </c>
      <c r="AJ128" s="174">
        <f t="shared" si="48"/>
        <v>1</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1</v>
      </c>
      <c r="T129" s="172"/>
      <c r="U129" s="175" t="s">
        <v>293</v>
      </c>
      <c r="V129" s="174">
        <f t="shared" si="43"/>
        <v>1</v>
      </c>
      <c r="W129" s="174">
        <f>VLOOKUP(U129,Sheet1!$B$6:$C$45,2,FALSE)*V129</f>
        <v>0</v>
      </c>
      <c r="X129" s="174"/>
      <c r="Y129" s="175" t="s">
        <v>293</v>
      </c>
      <c r="Z129" s="168">
        <f>VLOOKUP(Takeoffs!Y129,Sheet1!$B$6:$C$124,2,FALSE)</f>
        <v>0</v>
      </c>
      <c r="AA129" s="168">
        <f t="shared" si="44"/>
        <v>0</v>
      </c>
      <c r="AB129" s="176">
        <f t="shared" si="45"/>
        <v>1</v>
      </c>
      <c r="AC129" s="174">
        <f t="shared" si="50"/>
        <v>1</v>
      </c>
      <c r="AD129" s="174">
        <v>1</v>
      </c>
      <c r="AE129" s="174"/>
      <c r="AF129" s="175" t="s">
        <v>293</v>
      </c>
      <c r="AG129" s="168">
        <f>VLOOKUP(Takeoffs!AF129,Sheet1!$B$6:$C$124,2,FALSE)</f>
        <v>0</v>
      </c>
      <c r="AH129" s="168">
        <f t="shared" si="46"/>
        <v>0</v>
      </c>
      <c r="AI129" s="176">
        <f t="shared" si="47"/>
        <v>0</v>
      </c>
      <c r="AJ129" s="174">
        <f t="shared" si="48"/>
        <v>1</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1</v>
      </c>
      <c r="T130" s="172"/>
      <c r="U130" s="175" t="s">
        <v>293</v>
      </c>
      <c r="V130" s="174">
        <f t="shared" si="43"/>
        <v>1</v>
      </c>
      <c r="W130" s="174">
        <f>VLOOKUP(U130,Sheet1!$B$6:$C$45,2,FALSE)*V130</f>
        <v>0</v>
      </c>
      <c r="X130" s="174"/>
      <c r="Y130" s="175" t="s">
        <v>293</v>
      </c>
      <c r="Z130" s="168">
        <f>VLOOKUP(Takeoffs!Y130,Sheet1!$B$6:$C$124,2,FALSE)</f>
        <v>0</v>
      </c>
      <c r="AA130" s="168">
        <f t="shared" si="44"/>
        <v>0</v>
      </c>
      <c r="AB130" s="176">
        <f t="shared" si="45"/>
        <v>2</v>
      </c>
      <c r="AC130" s="174">
        <f t="shared" si="50"/>
        <v>1</v>
      </c>
      <c r="AD130" s="174">
        <v>2</v>
      </c>
      <c r="AE130" s="174"/>
      <c r="AF130" s="175" t="s">
        <v>293</v>
      </c>
      <c r="AG130" s="168">
        <f>VLOOKUP(Takeoffs!AF130,Sheet1!$B$6:$C$124,2,FALSE)</f>
        <v>0</v>
      </c>
      <c r="AH130" s="168">
        <f t="shared" si="46"/>
        <v>0</v>
      </c>
      <c r="AI130" s="176">
        <f t="shared" si="47"/>
        <v>0</v>
      </c>
      <c r="AJ130" s="174">
        <f t="shared" si="48"/>
        <v>1</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1</v>
      </c>
      <c r="T131" s="172"/>
      <c r="U131" s="175" t="s">
        <v>293</v>
      </c>
      <c r="V131" s="174">
        <f t="shared" si="43"/>
        <v>1</v>
      </c>
      <c r="W131" s="174">
        <f>VLOOKUP(U131,Sheet1!$B$6:$C$45,2,FALSE)*V131</f>
        <v>0</v>
      </c>
      <c r="X131" s="174"/>
      <c r="Y131" s="175" t="s">
        <v>293</v>
      </c>
      <c r="Z131" s="168">
        <f>VLOOKUP(Takeoffs!Y131,Sheet1!$B$6:$C$124,2,FALSE)</f>
        <v>0</v>
      </c>
      <c r="AA131" s="168">
        <f t="shared" si="44"/>
        <v>0</v>
      </c>
      <c r="AB131" s="176">
        <f t="shared" si="45"/>
        <v>1</v>
      </c>
      <c r="AC131" s="174">
        <f t="shared" si="50"/>
        <v>1</v>
      </c>
      <c r="AD131" s="174">
        <v>1</v>
      </c>
      <c r="AE131" s="174"/>
      <c r="AF131" s="175" t="s">
        <v>293</v>
      </c>
      <c r="AG131" s="168">
        <f>VLOOKUP(Takeoffs!AF131,Sheet1!$B$6:$C$124,2,FALSE)</f>
        <v>0</v>
      </c>
      <c r="AH131" s="168">
        <f t="shared" si="46"/>
        <v>0</v>
      </c>
      <c r="AI131" s="176">
        <f t="shared" si="47"/>
        <v>0</v>
      </c>
      <c r="AJ131" s="174">
        <f t="shared" si="48"/>
        <v>1</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1</v>
      </c>
      <c r="T132" s="172"/>
      <c r="U132" s="175" t="s">
        <v>293</v>
      </c>
      <c r="V132" s="174">
        <f t="shared" si="43"/>
        <v>1</v>
      </c>
      <c r="W132" s="174">
        <f>VLOOKUP(U132,Sheet1!$B$6:$C$45,2,FALSE)*V132</f>
        <v>0</v>
      </c>
      <c r="X132" s="174"/>
      <c r="Y132" s="175" t="s">
        <v>293</v>
      </c>
      <c r="Z132" s="168">
        <f>VLOOKUP(Takeoffs!Y132,Sheet1!$B$6:$C$124,2,FALSE)</f>
        <v>0</v>
      </c>
      <c r="AA132" s="168">
        <f t="shared" si="44"/>
        <v>0</v>
      </c>
      <c r="AB132" s="176">
        <f t="shared" si="45"/>
        <v>1</v>
      </c>
      <c r="AC132" s="174">
        <f t="shared" si="50"/>
        <v>1</v>
      </c>
      <c r="AD132" s="174">
        <v>1</v>
      </c>
      <c r="AE132" s="174"/>
      <c r="AF132" s="175" t="s">
        <v>293</v>
      </c>
      <c r="AG132" s="168">
        <f>VLOOKUP(Takeoffs!AF132,Sheet1!$B$6:$C$124,2,FALSE)</f>
        <v>0</v>
      </c>
      <c r="AH132" s="168">
        <f t="shared" si="46"/>
        <v>0</v>
      </c>
      <c r="AI132" s="176">
        <f t="shared" si="47"/>
        <v>0</v>
      </c>
      <c r="AJ132" s="174">
        <f t="shared" si="48"/>
        <v>1</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1</v>
      </c>
      <c r="T133" s="172"/>
      <c r="U133" s="175" t="s">
        <v>293</v>
      </c>
      <c r="V133" s="174">
        <f t="shared" si="43"/>
        <v>1</v>
      </c>
      <c r="W133" s="174">
        <f>VLOOKUP(U133,Sheet1!$B$6:$C$45,2,FALSE)*V133</f>
        <v>0</v>
      </c>
      <c r="X133" s="174"/>
      <c r="Y133" s="175" t="s">
        <v>293</v>
      </c>
      <c r="Z133" s="168">
        <f>VLOOKUP(Takeoffs!Y133,Sheet1!$B$6:$C$124,2,FALSE)</f>
        <v>0</v>
      </c>
      <c r="AA133" s="168">
        <f t="shared" si="44"/>
        <v>0</v>
      </c>
      <c r="AB133" s="176">
        <f t="shared" si="45"/>
        <v>1</v>
      </c>
      <c r="AC133" s="174">
        <f t="shared" si="50"/>
        <v>1</v>
      </c>
      <c r="AD133" s="174">
        <v>1</v>
      </c>
      <c r="AE133" s="174"/>
      <c r="AF133" s="175" t="s">
        <v>293</v>
      </c>
      <c r="AG133" s="168">
        <f>VLOOKUP(Takeoffs!AF133,Sheet1!$B$6:$C$124,2,FALSE)</f>
        <v>0</v>
      </c>
      <c r="AH133" s="168">
        <f t="shared" si="46"/>
        <v>0</v>
      </c>
      <c r="AI133" s="176">
        <f t="shared" si="47"/>
        <v>0</v>
      </c>
      <c r="AJ133" s="174">
        <f t="shared" si="48"/>
        <v>1</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1</v>
      </c>
      <c r="T134" s="172"/>
      <c r="U134" s="175" t="s">
        <v>293</v>
      </c>
      <c r="V134" s="174">
        <f t="shared" si="43"/>
        <v>1</v>
      </c>
      <c r="W134" s="174">
        <f>VLOOKUP(U134,Sheet1!$B$6:$C$45,2,FALSE)*V134</f>
        <v>0</v>
      </c>
      <c r="X134" s="174"/>
      <c r="Y134" s="175" t="s">
        <v>293</v>
      </c>
      <c r="Z134" s="168">
        <f>VLOOKUP(Takeoffs!Y134,Sheet1!$B$6:$C$124,2,FALSE)</f>
        <v>0</v>
      </c>
      <c r="AA134" s="168">
        <f t="shared" si="44"/>
        <v>0</v>
      </c>
      <c r="AB134" s="176">
        <f t="shared" si="45"/>
        <v>1</v>
      </c>
      <c r="AC134" s="174">
        <f t="shared" si="50"/>
        <v>1</v>
      </c>
      <c r="AD134" s="174">
        <v>1</v>
      </c>
      <c r="AE134" s="174"/>
      <c r="AF134" s="175" t="s">
        <v>293</v>
      </c>
      <c r="AG134" s="168">
        <f>VLOOKUP(Takeoffs!AF134,Sheet1!$B$6:$C$124,2,FALSE)</f>
        <v>0</v>
      </c>
      <c r="AH134" s="168">
        <f t="shared" si="46"/>
        <v>0</v>
      </c>
      <c r="AI134" s="176">
        <f t="shared" si="47"/>
        <v>0</v>
      </c>
      <c r="AJ134" s="174">
        <f t="shared" si="48"/>
        <v>1</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1</v>
      </c>
      <c r="T135" s="172"/>
      <c r="U135" s="175" t="s">
        <v>293</v>
      </c>
      <c r="V135" s="174">
        <f t="shared" si="43"/>
        <v>1</v>
      </c>
      <c r="W135" s="174">
        <f>VLOOKUP(U135,Sheet1!$B$6:$C$45,2,FALSE)*V135</f>
        <v>0</v>
      </c>
      <c r="X135" s="174"/>
      <c r="Y135" s="175" t="s">
        <v>293</v>
      </c>
      <c r="Z135" s="168">
        <f>VLOOKUP(Takeoffs!Y135,Sheet1!$B$6:$C$124,2,FALSE)</f>
        <v>0</v>
      </c>
      <c r="AA135" s="168">
        <f t="shared" si="44"/>
        <v>0</v>
      </c>
      <c r="AB135" s="176">
        <f t="shared" si="45"/>
        <v>1</v>
      </c>
      <c r="AC135" s="174">
        <f t="shared" si="50"/>
        <v>1</v>
      </c>
      <c r="AD135" s="174">
        <v>1</v>
      </c>
      <c r="AE135" s="174"/>
      <c r="AF135" s="175" t="s">
        <v>293</v>
      </c>
      <c r="AG135" s="168">
        <f>VLOOKUP(Takeoffs!AF135,Sheet1!$B$6:$C$124,2,FALSE)</f>
        <v>0</v>
      </c>
      <c r="AH135" s="168">
        <f t="shared" si="46"/>
        <v>0</v>
      </c>
      <c r="AI135" s="176">
        <f t="shared" si="47"/>
        <v>0</v>
      </c>
      <c r="AJ135" s="174">
        <f t="shared" si="48"/>
        <v>1</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379</v>
      </c>
      <c r="L136" s="128" t="s">
        <v>380</v>
      </c>
      <c r="N136" s="129"/>
      <c r="O136" s="130" t="s">
        <v>359</v>
      </c>
      <c r="P136" s="192">
        <f>M115*P137</f>
        <v>4300</v>
      </c>
      <c r="Q136" s="192"/>
      <c r="R136" s="172"/>
      <c r="S136" s="175"/>
      <c r="T136" s="172"/>
      <c r="U136" s="175" t="s">
        <v>353</v>
      </c>
      <c r="V136" s="172">
        <f>W136*80</f>
        <v>320</v>
      </c>
      <c r="W136" s="177">
        <f>SUM(W115:W135)</f>
        <v>4</v>
      </c>
      <c r="X136" s="178"/>
      <c r="Y136" s="172" t="s">
        <v>354</v>
      </c>
      <c r="Z136" s="168"/>
      <c r="AA136" s="168">
        <f>SUM(AA115:AA135)</f>
        <v>946.15199999999993</v>
      </c>
      <c r="AB136" s="179"/>
      <c r="AC136" s="179"/>
      <c r="AD136" s="179"/>
      <c r="AE136" s="179"/>
      <c r="AF136" s="172" t="s">
        <v>358</v>
      </c>
      <c r="AG136" s="168"/>
      <c r="AH136" s="168">
        <f>SUM(AH115:AH135)</f>
        <v>0</v>
      </c>
      <c r="AI136" s="179"/>
      <c r="AJ136" s="179"/>
      <c r="AK136" s="179"/>
      <c r="AL136" s="149"/>
      <c r="AM136" s="150">
        <f>P136</f>
        <v>4300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494</v>
      </c>
      <c r="C137" s="217" t="str">
        <f>N115</f>
        <v>medium-sized Form 2  MSSB</v>
      </c>
      <c r="D137" s="260" t="str">
        <f>IF(B137="Shopping List",IF(ISNUMBER(SEARCH("MSSB",C137)),"MSSB",IF(ISNUMBER(SEARCH("local",C137)),"LOCAL","")))</f>
        <v>MSSB</v>
      </c>
      <c r="E137" s="238">
        <v>1</v>
      </c>
      <c r="F137" s="217"/>
      <c r="G137" s="217">
        <v>1</v>
      </c>
      <c r="H137" s="245"/>
      <c r="I137" s="270">
        <v>1</v>
      </c>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one (1)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4300</v>
      </c>
      <c r="L137" s="235" t="str">
        <f>CONCATENATE(Q116,Q117,Q118,Q119,Q120,Q121,Q122,Q123,Q124,Q125,Q126,Q127,Q128,Q129,Q130,Q131,Q132,Q133,Q134,Q135,)</f>
        <v/>
      </c>
      <c r="M137" s="166" t="s">
        <v>369</v>
      </c>
      <c r="N137" s="160" t="str">
        <f>N115</f>
        <v>medium-sized Form 2  MSSB</v>
      </c>
      <c r="O137" s="185" t="s">
        <v>367</v>
      </c>
      <c r="P137" s="203">
        <f>3800+500</f>
        <v>4300</v>
      </c>
      <c r="Q137" s="195"/>
      <c r="R137" s="188"/>
      <c r="S137" s="160"/>
      <c r="T137" s="161"/>
      <c r="U137" s="327" t="s">
        <v>368</v>
      </c>
      <c r="V137" s="327"/>
      <c r="W137" s="162">
        <f>W136/M115</f>
        <v>4</v>
      </c>
      <c r="X137" s="163"/>
      <c r="Y137" s="325" t="s">
        <v>367</v>
      </c>
      <c r="Z137" s="325"/>
      <c r="AA137" s="164">
        <f>AA136/M115</f>
        <v>946.15199999999993</v>
      </c>
      <c r="AB137" s="161"/>
      <c r="AC137" s="161"/>
      <c r="AD137" s="161"/>
      <c r="AE137" s="161"/>
      <c r="AF137" s="325" t="s">
        <v>367</v>
      </c>
      <c r="AG137" s="325"/>
      <c r="AH137" s="164">
        <f>AH136/M115</f>
        <v>0</v>
      </c>
      <c r="AI137" s="161"/>
      <c r="AJ137" s="161"/>
      <c r="AK137" s="161"/>
      <c r="AL137" s="247"/>
      <c r="AM137" s="257"/>
      <c r="AN137" s="230">
        <f>K137*1.25</f>
        <v>5375</v>
      </c>
      <c r="AO137" s="286"/>
      <c r="AP137" s="284">
        <f t="shared" si="30"/>
        <v>4300</v>
      </c>
      <c r="AQ137" s="281">
        <f t="shared" si="31"/>
        <v>320</v>
      </c>
      <c r="AR137" s="284">
        <f t="shared" si="32"/>
        <v>946.15199999999993</v>
      </c>
      <c r="AS137" s="281">
        <f t="shared" si="33"/>
        <v>0</v>
      </c>
      <c r="AT137" s="284">
        <f t="shared" si="34"/>
        <v>3033.848</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454</v>
      </c>
      <c r="M138" s="2" t="s">
        <v>107</v>
      </c>
      <c r="N138" s="2" t="s">
        <v>108</v>
      </c>
      <c r="O138" s="97" t="s">
        <v>388</v>
      </c>
      <c r="P138" s="328" t="s">
        <v>377</v>
      </c>
      <c r="Q138" s="328"/>
      <c r="R138" s="101" t="s">
        <v>454</v>
      </c>
      <c r="S138" s="2" t="s">
        <v>0</v>
      </c>
      <c r="T138" s="9"/>
      <c r="U138" s="2" t="s">
        <v>288</v>
      </c>
      <c r="V138" s="2" t="s">
        <v>289</v>
      </c>
      <c r="W138" s="2" t="s">
        <v>292</v>
      </c>
      <c r="X138" s="58"/>
      <c r="Y138" s="2" t="s">
        <v>290</v>
      </c>
      <c r="Z138" s="2" t="s">
        <v>356</v>
      </c>
      <c r="AA138" s="2" t="s">
        <v>357</v>
      </c>
      <c r="AB138" s="2" t="s">
        <v>319</v>
      </c>
      <c r="AC138" s="2" t="s">
        <v>320</v>
      </c>
      <c r="AD138" s="2" t="s">
        <v>318</v>
      </c>
      <c r="AE138" s="58"/>
      <c r="AF138" s="2" t="s">
        <v>294</v>
      </c>
      <c r="AG138" s="2" t="s">
        <v>356</v>
      </c>
      <c r="AH138" s="2" t="s">
        <v>357</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one</v>
      </c>
      <c r="M139" s="121">
        <f>I161</f>
        <v>1</v>
      </c>
      <c r="N139" s="27" t="s">
        <v>530</v>
      </c>
      <c r="O139" s="12" t="s">
        <v>195</v>
      </c>
      <c r="P139" s="96" t="s">
        <v>381</v>
      </c>
      <c r="Q139" s="96" t="s">
        <v>377</v>
      </c>
      <c r="R139" s="96"/>
      <c r="S139" s="28">
        <f>M139</f>
        <v>1</v>
      </c>
      <c r="T139" s="10"/>
      <c r="U139" s="73" t="s">
        <v>236</v>
      </c>
      <c r="V139" s="28">
        <f>S139</f>
        <v>1</v>
      </c>
      <c r="W139" s="28">
        <f>VLOOKUP(U139,Sheet1!$B$6:$C$45,2,FALSE)*V139</f>
        <v>4</v>
      </c>
      <c r="X139" s="59"/>
      <c r="Y139" s="12" t="s">
        <v>293</v>
      </c>
      <c r="Z139" s="68">
        <f>VLOOKUP(Takeoffs!Y139,Sheet1!$B$6:$C$124,2,FALSE)</f>
        <v>0</v>
      </c>
      <c r="AA139" s="68">
        <f>Z139*AB139</f>
        <v>0</v>
      </c>
      <c r="AB139" s="63">
        <f>AD139*AC139</f>
        <v>1</v>
      </c>
      <c r="AC139" s="28">
        <f>S139</f>
        <v>1</v>
      </c>
      <c r="AD139" s="61">
        <v>1</v>
      </c>
      <c r="AE139" s="59"/>
      <c r="AF139" s="12" t="s">
        <v>293</v>
      </c>
      <c r="AG139" s="68">
        <f>VLOOKUP(Takeoffs!AF139,Sheet1!$B$6:$C$124,2,FALSE)</f>
        <v>0</v>
      </c>
      <c r="AH139" s="68">
        <f>AG139*AI139</f>
        <v>0</v>
      </c>
      <c r="AI139" s="63">
        <f>AK139*AJ139</f>
        <v>0</v>
      </c>
      <c r="AJ139" s="28">
        <f>S139</f>
        <v>1</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400</v>
      </c>
      <c r="P140" s="12"/>
      <c r="Q140" s="12"/>
      <c r="R140" s="12"/>
      <c r="S140" s="28">
        <f>M139</f>
        <v>1</v>
      </c>
      <c r="T140" s="11"/>
      <c r="U140" s="12" t="s">
        <v>293</v>
      </c>
      <c r="V140" s="28">
        <f t="shared" ref="V140:V159" si="51">S140</f>
        <v>1</v>
      </c>
      <c r="W140" s="28">
        <f>VLOOKUP(U140,Sheet1!$B$6:$C$45,2,FALSE)*V140</f>
        <v>0</v>
      </c>
      <c r="X140" s="59"/>
      <c r="Y140" s="73" t="s">
        <v>419</v>
      </c>
      <c r="Z140" s="68">
        <f>VLOOKUP(Takeoffs!Y140,Sheet1!$B$6:$C$124,2,FALSE)</f>
        <v>586.15199999999993</v>
      </c>
      <c r="AA140" s="68">
        <f t="shared" ref="AA140:AA159" si="52">Z140*AB140</f>
        <v>586.15199999999993</v>
      </c>
      <c r="AB140" s="63">
        <f t="shared" ref="AB140:AB159" si="53">AD140*AC140</f>
        <v>1</v>
      </c>
      <c r="AC140" s="28">
        <f>S140</f>
        <v>1</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1</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401</v>
      </c>
      <c r="P141" s="12"/>
      <c r="Q141" s="12"/>
      <c r="R141" s="12"/>
      <c r="S141" s="28">
        <f>M139</f>
        <v>1</v>
      </c>
      <c r="T141" s="11"/>
      <c r="U141" s="12" t="s">
        <v>293</v>
      </c>
      <c r="V141" s="28">
        <f t="shared" si="51"/>
        <v>1</v>
      </c>
      <c r="W141" s="28">
        <f>VLOOKUP(U141,Sheet1!$B$6:$C$45,2,FALSE)*V141</f>
        <v>0</v>
      </c>
      <c r="X141" s="59"/>
      <c r="Y141" s="12" t="s">
        <v>293</v>
      </c>
      <c r="Z141" s="68">
        <f>VLOOKUP(Takeoffs!Y141,Sheet1!$B$6:$C$124,2,FALSE)</f>
        <v>0</v>
      </c>
      <c r="AA141" s="68">
        <f t="shared" si="52"/>
        <v>0</v>
      </c>
      <c r="AB141" s="63">
        <f t="shared" si="53"/>
        <v>1</v>
      </c>
      <c r="AC141" s="28">
        <f>S141</f>
        <v>1</v>
      </c>
      <c r="AD141" s="61">
        <v>1</v>
      </c>
      <c r="AE141" s="59"/>
      <c r="AF141" s="12" t="s">
        <v>293</v>
      </c>
      <c r="AG141" s="68">
        <f>VLOOKUP(Takeoffs!AF141,Sheet1!$B$6:$C$124,2,FALSE)</f>
        <v>0</v>
      </c>
      <c r="AH141" s="68">
        <f t="shared" si="54"/>
        <v>0</v>
      </c>
      <c r="AI141" s="63">
        <f t="shared" si="55"/>
        <v>0</v>
      </c>
      <c r="AJ141" s="28">
        <f t="shared" si="56"/>
        <v>1</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402</v>
      </c>
      <c r="P142" s="12"/>
      <c r="Q142" s="12"/>
      <c r="R142" s="12"/>
      <c r="S142" s="28">
        <f>M139</f>
        <v>1</v>
      </c>
      <c r="T142" s="11"/>
      <c r="U142" s="12" t="s">
        <v>293</v>
      </c>
      <c r="V142" s="28">
        <f t="shared" si="51"/>
        <v>1</v>
      </c>
      <c r="W142" s="28">
        <f>VLOOKUP(U142,Sheet1!$B$6:$C$45,2,FALSE)*V142</f>
        <v>0</v>
      </c>
      <c r="X142" s="59"/>
      <c r="Y142" s="12" t="s">
        <v>293</v>
      </c>
      <c r="Z142" s="68">
        <f>VLOOKUP(Takeoffs!Y142,Sheet1!$B$6:$C$124,2,FALSE)</f>
        <v>0</v>
      </c>
      <c r="AA142" s="68">
        <f t="shared" si="52"/>
        <v>0</v>
      </c>
      <c r="AB142" s="63">
        <f t="shared" si="53"/>
        <v>1</v>
      </c>
      <c r="AC142" s="28">
        <f t="shared" ref="AC142:AC159" si="58">S142</f>
        <v>1</v>
      </c>
      <c r="AD142" s="61">
        <v>1</v>
      </c>
      <c r="AE142" s="59"/>
      <c r="AF142" s="12" t="s">
        <v>293</v>
      </c>
      <c r="AG142" s="68">
        <f>VLOOKUP(Takeoffs!AF142,Sheet1!$B$6:$C$124,2,FALSE)</f>
        <v>0</v>
      </c>
      <c r="AH142" s="68">
        <f t="shared" si="54"/>
        <v>0</v>
      </c>
      <c r="AI142" s="63">
        <f t="shared" si="55"/>
        <v>0</v>
      </c>
      <c r="AJ142" s="28">
        <f t="shared" si="56"/>
        <v>1</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403</v>
      </c>
      <c r="P143" s="12"/>
      <c r="Q143" s="12"/>
      <c r="R143" s="12"/>
      <c r="S143" s="28">
        <f>M139</f>
        <v>1</v>
      </c>
      <c r="T143" s="11"/>
      <c r="U143" s="12" t="s">
        <v>293</v>
      </c>
      <c r="V143" s="28">
        <f t="shared" si="51"/>
        <v>1</v>
      </c>
      <c r="W143" s="28">
        <f>VLOOKUP(U143,Sheet1!$B$6:$C$45,2,FALSE)*V143</f>
        <v>0</v>
      </c>
      <c r="X143" s="59"/>
      <c r="Y143" s="12" t="s">
        <v>293</v>
      </c>
      <c r="Z143" s="68">
        <f>VLOOKUP(Takeoffs!Y143,Sheet1!$B$6:$C$124,2,FALSE)</f>
        <v>0</v>
      </c>
      <c r="AA143" s="68">
        <f t="shared" si="52"/>
        <v>0</v>
      </c>
      <c r="AB143" s="63">
        <f t="shared" si="53"/>
        <v>1</v>
      </c>
      <c r="AC143" s="28">
        <f t="shared" si="58"/>
        <v>1</v>
      </c>
      <c r="AD143" s="61">
        <v>1</v>
      </c>
      <c r="AE143" s="59"/>
      <c r="AF143" s="12" t="s">
        <v>293</v>
      </c>
      <c r="AG143" s="68">
        <f>VLOOKUP(Takeoffs!AF143,Sheet1!$B$6:$C$124,2,FALSE)</f>
        <v>0</v>
      </c>
      <c r="AH143" s="68">
        <f t="shared" si="54"/>
        <v>0</v>
      </c>
      <c r="AI143" s="63">
        <f t="shared" si="55"/>
        <v>0</v>
      </c>
      <c r="AJ143" s="28">
        <f t="shared" si="56"/>
        <v>1</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404</v>
      </c>
      <c r="P144" s="12"/>
      <c r="Q144" s="12"/>
      <c r="R144" s="12"/>
      <c r="S144" s="28">
        <f>M139</f>
        <v>1</v>
      </c>
      <c r="T144" s="11"/>
      <c r="U144" s="12" t="s">
        <v>293</v>
      </c>
      <c r="V144" s="28">
        <f t="shared" si="51"/>
        <v>1</v>
      </c>
      <c r="W144" s="28">
        <f>VLOOKUP(U144,Sheet1!$B$6:$C$45,2,FALSE)*V144</f>
        <v>0</v>
      </c>
      <c r="X144" s="59"/>
      <c r="Y144" s="12" t="s">
        <v>274</v>
      </c>
      <c r="Z144" s="68">
        <f>VLOOKUP(Takeoffs!Y144,Sheet1!$B$6:$C$124,2,FALSE)</f>
        <v>360</v>
      </c>
      <c r="AA144" s="68">
        <f t="shared" si="52"/>
        <v>360</v>
      </c>
      <c r="AB144" s="63">
        <f t="shared" si="53"/>
        <v>1</v>
      </c>
      <c r="AC144" s="28">
        <f t="shared" si="58"/>
        <v>1</v>
      </c>
      <c r="AD144" s="61">
        <v>1</v>
      </c>
      <c r="AE144" s="59"/>
      <c r="AF144" s="12" t="s">
        <v>293</v>
      </c>
      <c r="AG144" s="68">
        <f>VLOOKUP(Takeoffs!AF144,Sheet1!$B$6:$C$124,2,FALSE)</f>
        <v>0</v>
      </c>
      <c r="AH144" s="68">
        <f t="shared" si="54"/>
        <v>0</v>
      </c>
      <c r="AI144" s="63">
        <f t="shared" si="55"/>
        <v>0</v>
      </c>
      <c r="AJ144" s="28">
        <f t="shared" si="56"/>
        <v>1</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405</v>
      </c>
      <c r="P145" s="12"/>
      <c r="Q145" s="12"/>
      <c r="R145" s="12"/>
      <c r="S145" s="28">
        <f>M139</f>
        <v>1</v>
      </c>
      <c r="T145" s="11"/>
      <c r="U145" s="12" t="s">
        <v>293</v>
      </c>
      <c r="V145" s="28">
        <f t="shared" si="51"/>
        <v>1</v>
      </c>
      <c r="W145" s="28">
        <f>VLOOKUP(U145,Sheet1!$B$6:$C$45,2,FALSE)*V145</f>
        <v>0</v>
      </c>
      <c r="X145" s="59"/>
      <c r="Y145" s="12" t="s">
        <v>293</v>
      </c>
      <c r="Z145" s="68">
        <f>VLOOKUP(Takeoffs!Y145,Sheet1!$B$6:$C$124,2,FALSE)</f>
        <v>0</v>
      </c>
      <c r="AA145" s="68">
        <f t="shared" si="52"/>
        <v>0</v>
      </c>
      <c r="AB145" s="63">
        <f t="shared" si="53"/>
        <v>1</v>
      </c>
      <c r="AC145" s="28">
        <f t="shared" si="58"/>
        <v>1</v>
      </c>
      <c r="AD145" s="61">
        <v>1</v>
      </c>
      <c r="AE145" s="59"/>
      <c r="AF145" s="12" t="s">
        <v>293</v>
      </c>
      <c r="AG145" s="68">
        <f>VLOOKUP(Takeoffs!AF145,Sheet1!$B$6:$C$124,2,FALSE)</f>
        <v>0</v>
      </c>
      <c r="AH145" s="68">
        <f t="shared" si="54"/>
        <v>0</v>
      </c>
      <c r="AI145" s="63">
        <f t="shared" si="55"/>
        <v>0</v>
      </c>
      <c r="AJ145" s="28">
        <f t="shared" si="56"/>
        <v>1</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406</v>
      </c>
      <c r="P146" s="12"/>
      <c r="Q146" s="12"/>
      <c r="R146" s="12"/>
      <c r="S146" s="28">
        <f>M139</f>
        <v>1</v>
      </c>
      <c r="T146" s="11"/>
      <c r="U146" s="12" t="s">
        <v>293</v>
      </c>
      <c r="V146" s="28">
        <f t="shared" si="51"/>
        <v>1</v>
      </c>
      <c r="W146" s="28">
        <f>VLOOKUP(U146,Sheet1!$B$6:$C$45,2,FALSE)*V146</f>
        <v>0</v>
      </c>
      <c r="X146" s="59"/>
      <c r="Y146" s="12" t="s">
        <v>293</v>
      </c>
      <c r="Z146" s="68">
        <f>VLOOKUP(Takeoffs!Y146,Sheet1!$B$6:$C$124,2,FALSE)</f>
        <v>0</v>
      </c>
      <c r="AA146" s="68">
        <f t="shared" si="52"/>
        <v>0</v>
      </c>
      <c r="AB146" s="63">
        <f t="shared" si="53"/>
        <v>1</v>
      </c>
      <c r="AC146" s="28">
        <f t="shared" si="58"/>
        <v>1</v>
      </c>
      <c r="AD146" s="61">
        <v>1</v>
      </c>
      <c r="AE146" s="59"/>
      <c r="AF146" s="12" t="s">
        <v>293</v>
      </c>
      <c r="AG146" s="68">
        <f>VLOOKUP(Takeoffs!AF146,Sheet1!$B$6:$C$124,2,FALSE)</f>
        <v>0</v>
      </c>
      <c r="AH146" s="68">
        <f t="shared" si="54"/>
        <v>0</v>
      </c>
      <c r="AI146" s="63">
        <f t="shared" si="55"/>
        <v>0</v>
      </c>
      <c r="AJ146" s="28">
        <f t="shared" si="56"/>
        <v>1</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512</v>
      </c>
      <c r="P147" s="12"/>
      <c r="Q147" s="12"/>
      <c r="R147" s="12"/>
      <c r="S147" s="28">
        <f>M139</f>
        <v>1</v>
      </c>
      <c r="T147" s="11"/>
      <c r="U147" s="12" t="s">
        <v>293</v>
      </c>
      <c r="V147" s="28">
        <f t="shared" si="51"/>
        <v>1</v>
      </c>
      <c r="W147" s="28">
        <f>VLOOKUP(U147,Sheet1!$B$6:$C$45,2,FALSE)*V147</f>
        <v>0</v>
      </c>
      <c r="X147" s="59"/>
      <c r="Y147" s="12" t="s">
        <v>293</v>
      </c>
      <c r="Z147" s="68">
        <f>VLOOKUP(Takeoffs!Y147,Sheet1!$B$6:$C$124,2,FALSE)</f>
        <v>0</v>
      </c>
      <c r="AA147" s="68">
        <f t="shared" si="52"/>
        <v>0</v>
      </c>
      <c r="AB147" s="63">
        <f t="shared" si="53"/>
        <v>1</v>
      </c>
      <c r="AC147" s="28">
        <f t="shared" si="58"/>
        <v>1</v>
      </c>
      <c r="AD147" s="61">
        <v>1</v>
      </c>
      <c r="AE147" s="59"/>
      <c r="AF147" s="12" t="s">
        <v>293</v>
      </c>
      <c r="AG147" s="68">
        <f>VLOOKUP(Takeoffs!AF147,Sheet1!$B$6:$C$124,2,FALSE)</f>
        <v>0</v>
      </c>
      <c r="AH147" s="68">
        <f t="shared" si="54"/>
        <v>0</v>
      </c>
      <c r="AI147" s="63">
        <f t="shared" si="55"/>
        <v>0</v>
      </c>
      <c r="AJ147" s="28">
        <f t="shared" si="56"/>
        <v>1</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442</v>
      </c>
      <c r="P148" s="12"/>
      <c r="Q148" s="12"/>
      <c r="R148" s="12"/>
      <c r="S148" s="28">
        <f>M139</f>
        <v>1</v>
      </c>
      <c r="T148" s="11"/>
      <c r="U148" s="12" t="s">
        <v>293</v>
      </c>
      <c r="V148" s="28">
        <f t="shared" si="51"/>
        <v>1</v>
      </c>
      <c r="W148" s="28">
        <f>VLOOKUP(U148,Sheet1!$B$6:$C$45,2,FALSE)*V148</f>
        <v>0</v>
      </c>
      <c r="X148" s="59"/>
      <c r="Y148" s="12" t="s">
        <v>293</v>
      </c>
      <c r="Z148" s="68">
        <f>VLOOKUP(Takeoffs!Y148,Sheet1!$B$6:$C$124,2,FALSE)</f>
        <v>0</v>
      </c>
      <c r="AA148" s="68">
        <f t="shared" si="52"/>
        <v>0</v>
      </c>
      <c r="AB148" s="63">
        <f t="shared" si="53"/>
        <v>1</v>
      </c>
      <c r="AC148" s="28">
        <f t="shared" si="58"/>
        <v>1</v>
      </c>
      <c r="AD148" s="61">
        <v>1</v>
      </c>
      <c r="AE148" s="59"/>
      <c r="AF148" s="12" t="s">
        <v>293</v>
      </c>
      <c r="AG148" s="68">
        <f>VLOOKUP(Takeoffs!AF148,Sheet1!$B$6:$C$124,2,FALSE)</f>
        <v>0</v>
      </c>
      <c r="AH148" s="68">
        <f t="shared" si="54"/>
        <v>0</v>
      </c>
      <c r="AI148" s="63">
        <f t="shared" si="55"/>
        <v>0</v>
      </c>
      <c r="AJ148" s="28">
        <f t="shared" si="56"/>
        <v>1</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407</v>
      </c>
      <c r="P149" s="12"/>
      <c r="Q149" s="12"/>
      <c r="R149" s="12"/>
      <c r="S149" s="28">
        <f>M139</f>
        <v>1</v>
      </c>
      <c r="T149" s="11"/>
      <c r="U149" s="12" t="s">
        <v>293</v>
      </c>
      <c r="V149" s="28">
        <f t="shared" si="51"/>
        <v>1</v>
      </c>
      <c r="W149" s="28">
        <f>VLOOKUP(U149,Sheet1!$B$6:$C$45,2,FALSE)*V149</f>
        <v>0</v>
      </c>
      <c r="X149" s="59"/>
      <c r="Y149" s="12" t="s">
        <v>293</v>
      </c>
      <c r="Z149" s="68">
        <f>VLOOKUP(Takeoffs!Y149,Sheet1!$B$6:$C$124,2,FALSE)</f>
        <v>0</v>
      </c>
      <c r="AA149" s="68">
        <f t="shared" si="52"/>
        <v>0</v>
      </c>
      <c r="AB149" s="63">
        <f t="shared" si="53"/>
        <v>1</v>
      </c>
      <c r="AC149" s="28">
        <f t="shared" si="58"/>
        <v>1</v>
      </c>
      <c r="AD149" s="61">
        <v>1</v>
      </c>
      <c r="AE149" s="59"/>
      <c r="AF149" s="12" t="s">
        <v>293</v>
      </c>
      <c r="AG149" s="68">
        <f>VLOOKUP(Takeoffs!AF149,Sheet1!$B$6:$C$124,2,FALSE)</f>
        <v>0</v>
      </c>
      <c r="AH149" s="68">
        <f t="shared" si="54"/>
        <v>0</v>
      </c>
      <c r="AI149" s="63">
        <f t="shared" si="55"/>
        <v>0</v>
      </c>
      <c r="AJ149" s="28">
        <f t="shared" si="56"/>
        <v>1</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1</v>
      </c>
      <c r="T150" s="11"/>
      <c r="U150" s="12" t="s">
        <v>293</v>
      </c>
      <c r="V150" s="28">
        <f t="shared" si="51"/>
        <v>1</v>
      </c>
      <c r="W150" s="28">
        <f>VLOOKUP(U150,Sheet1!$B$6:$C$45,2,FALSE)*V150</f>
        <v>0</v>
      </c>
      <c r="X150" s="59"/>
      <c r="Y150" s="12" t="s">
        <v>293</v>
      </c>
      <c r="Z150" s="68">
        <f>VLOOKUP(Takeoffs!Y150,Sheet1!$B$6:$C$124,2,FALSE)</f>
        <v>0</v>
      </c>
      <c r="AA150" s="68">
        <f t="shared" si="52"/>
        <v>0</v>
      </c>
      <c r="AB150" s="63">
        <f t="shared" si="53"/>
        <v>1</v>
      </c>
      <c r="AC150" s="28">
        <f t="shared" si="58"/>
        <v>1</v>
      </c>
      <c r="AD150" s="61">
        <v>1</v>
      </c>
      <c r="AE150" s="59"/>
      <c r="AF150" s="12" t="s">
        <v>293</v>
      </c>
      <c r="AG150" s="68">
        <f>VLOOKUP(Takeoffs!AF150,Sheet1!$B$6:$C$124,2,FALSE)</f>
        <v>0</v>
      </c>
      <c r="AH150" s="68">
        <f t="shared" si="54"/>
        <v>0</v>
      </c>
      <c r="AI150" s="63">
        <f t="shared" si="55"/>
        <v>0</v>
      </c>
      <c r="AJ150" s="28">
        <f t="shared" si="56"/>
        <v>1</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1</v>
      </c>
      <c r="T151" s="11"/>
      <c r="U151" s="12" t="s">
        <v>293</v>
      </c>
      <c r="V151" s="28">
        <f t="shared" si="51"/>
        <v>1</v>
      </c>
      <c r="W151" s="28">
        <f>VLOOKUP(U151,Sheet1!$B$6:$C$45,2,FALSE)*V151</f>
        <v>0</v>
      </c>
      <c r="X151" s="59"/>
      <c r="Y151" s="12" t="s">
        <v>293</v>
      </c>
      <c r="Z151" s="68">
        <f>VLOOKUP(Takeoffs!Y151,Sheet1!$B$6:$C$124,2,FALSE)</f>
        <v>0</v>
      </c>
      <c r="AA151" s="68">
        <f t="shared" si="52"/>
        <v>0</v>
      </c>
      <c r="AB151" s="63">
        <f t="shared" si="53"/>
        <v>1</v>
      </c>
      <c r="AC151" s="28">
        <f t="shared" si="58"/>
        <v>1</v>
      </c>
      <c r="AD151" s="61">
        <v>1</v>
      </c>
      <c r="AE151" s="59"/>
      <c r="AF151" s="12" t="s">
        <v>293</v>
      </c>
      <c r="AG151" s="68">
        <f>VLOOKUP(Takeoffs!AF151,Sheet1!$B$6:$C$124,2,FALSE)</f>
        <v>0</v>
      </c>
      <c r="AH151" s="68">
        <f t="shared" si="54"/>
        <v>0</v>
      </c>
      <c r="AI151" s="63">
        <f t="shared" si="55"/>
        <v>0</v>
      </c>
      <c r="AJ151" s="28">
        <f t="shared" si="56"/>
        <v>1</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1</v>
      </c>
      <c r="T152" s="11"/>
      <c r="U152" s="12" t="s">
        <v>293</v>
      </c>
      <c r="V152" s="28">
        <f t="shared" si="51"/>
        <v>1</v>
      </c>
      <c r="W152" s="28">
        <f>VLOOKUP(U152,Sheet1!$B$6:$C$45,2,FALSE)*V152</f>
        <v>0</v>
      </c>
      <c r="X152" s="59"/>
      <c r="Y152" s="12" t="s">
        <v>293</v>
      </c>
      <c r="Z152" s="68">
        <f>VLOOKUP(Takeoffs!Y152,Sheet1!$B$6:$C$124,2,FALSE)</f>
        <v>0</v>
      </c>
      <c r="AA152" s="68">
        <f t="shared" si="52"/>
        <v>0</v>
      </c>
      <c r="AB152" s="63">
        <f t="shared" si="53"/>
        <v>1</v>
      </c>
      <c r="AC152" s="28">
        <f t="shared" si="58"/>
        <v>1</v>
      </c>
      <c r="AD152" s="61">
        <v>1</v>
      </c>
      <c r="AE152" s="59"/>
      <c r="AF152" s="12" t="s">
        <v>293</v>
      </c>
      <c r="AG152" s="68">
        <f>VLOOKUP(Takeoffs!AF152,Sheet1!$B$6:$C$124,2,FALSE)</f>
        <v>0</v>
      </c>
      <c r="AH152" s="68">
        <f t="shared" si="54"/>
        <v>0</v>
      </c>
      <c r="AI152" s="63">
        <f t="shared" si="55"/>
        <v>0</v>
      </c>
      <c r="AJ152" s="28">
        <f t="shared" si="56"/>
        <v>1</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1</v>
      </c>
      <c r="T153" s="11"/>
      <c r="U153" s="12" t="s">
        <v>293</v>
      </c>
      <c r="V153" s="28">
        <f t="shared" si="51"/>
        <v>1</v>
      </c>
      <c r="W153" s="28">
        <f>VLOOKUP(U153,Sheet1!$B$6:$C$45,2,FALSE)*V153</f>
        <v>0</v>
      </c>
      <c r="X153" s="59"/>
      <c r="Y153" s="12" t="s">
        <v>293</v>
      </c>
      <c r="Z153" s="68">
        <f>VLOOKUP(Takeoffs!Y153,Sheet1!$B$6:$C$124,2,FALSE)</f>
        <v>0</v>
      </c>
      <c r="AA153" s="68">
        <f t="shared" si="52"/>
        <v>0</v>
      </c>
      <c r="AB153" s="63">
        <f t="shared" si="53"/>
        <v>1</v>
      </c>
      <c r="AC153" s="28">
        <f t="shared" si="58"/>
        <v>1</v>
      </c>
      <c r="AD153" s="61">
        <v>1</v>
      </c>
      <c r="AE153" s="59"/>
      <c r="AF153" s="12" t="s">
        <v>293</v>
      </c>
      <c r="AG153" s="68">
        <f>VLOOKUP(Takeoffs!AF153,Sheet1!$B$6:$C$124,2,FALSE)</f>
        <v>0</v>
      </c>
      <c r="AH153" s="68">
        <f t="shared" si="54"/>
        <v>0</v>
      </c>
      <c r="AI153" s="63">
        <f t="shared" si="55"/>
        <v>0</v>
      </c>
      <c r="AJ153" s="28">
        <f t="shared" si="56"/>
        <v>1</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1</v>
      </c>
      <c r="T154" s="11"/>
      <c r="U154" s="12" t="s">
        <v>293</v>
      </c>
      <c r="V154" s="28">
        <f t="shared" si="51"/>
        <v>1</v>
      </c>
      <c r="W154" s="28">
        <f>VLOOKUP(U154,Sheet1!$B$6:$C$45,2,FALSE)*V154</f>
        <v>0</v>
      </c>
      <c r="X154" s="59"/>
      <c r="Y154" s="12" t="s">
        <v>293</v>
      </c>
      <c r="Z154" s="68">
        <f>VLOOKUP(Takeoffs!Y154,Sheet1!$B$6:$C$124,2,FALSE)</f>
        <v>0</v>
      </c>
      <c r="AA154" s="68">
        <f t="shared" si="52"/>
        <v>0</v>
      </c>
      <c r="AB154" s="63">
        <f t="shared" si="53"/>
        <v>2</v>
      </c>
      <c r="AC154" s="28">
        <f t="shared" si="58"/>
        <v>1</v>
      </c>
      <c r="AD154" s="61">
        <v>2</v>
      </c>
      <c r="AE154" s="59"/>
      <c r="AF154" s="12" t="s">
        <v>293</v>
      </c>
      <c r="AG154" s="68">
        <f>VLOOKUP(Takeoffs!AF154,Sheet1!$B$6:$C$124,2,FALSE)</f>
        <v>0</v>
      </c>
      <c r="AH154" s="68">
        <f t="shared" si="54"/>
        <v>0</v>
      </c>
      <c r="AI154" s="63">
        <f t="shared" si="55"/>
        <v>0</v>
      </c>
      <c r="AJ154" s="28">
        <f t="shared" si="56"/>
        <v>1</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1</v>
      </c>
      <c r="T155" s="11"/>
      <c r="U155" s="12" t="s">
        <v>293</v>
      </c>
      <c r="V155" s="28">
        <f t="shared" si="51"/>
        <v>1</v>
      </c>
      <c r="W155" s="28">
        <f>VLOOKUP(U155,Sheet1!$B$6:$C$45,2,FALSE)*V155</f>
        <v>0</v>
      </c>
      <c r="X155" s="59"/>
      <c r="Y155" s="12" t="s">
        <v>293</v>
      </c>
      <c r="Z155" s="68">
        <f>VLOOKUP(Takeoffs!Y155,Sheet1!$B$6:$C$124,2,FALSE)</f>
        <v>0</v>
      </c>
      <c r="AA155" s="68">
        <f t="shared" si="52"/>
        <v>0</v>
      </c>
      <c r="AB155" s="63">
        <f t="shared" si="53"/>
        <v>1</v>
      </c>
      <c r="AC155" s="28">
        <f t="shared" si="58"/>
        <v>1</v>
      </c>
      <c r="AD155" s="61">
        <v>1</v>
      </c>
      <c r="AE155" s="59"/>
      <c r="AF155" s="12" t="s">
        <v>293</v>
      </c>
      <c r="AG155" s="68">
        <f>VLOOKUP(Takeoffs!AF155,Sheet1!$B$6:$C$124,2,FALSE)</f>
        <v>0</v>
      </c>
      <c r="AH155" s="68">
        <f t="shared" si="54"/>
        <v>0</v>
      </c>
      <c r="AI155" s="63">
        <f t="shared" si="55"/>
        <v>0</v>
      </c>
      <c r="AJ155" s="28">
        <f t="shared" si="56"/>
        <v>1</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1</v>
      </c>
      <c r="T156" s="11"/>
      <c r="U156" s="12" t="s">
        <v>293</v>
      </c>
      <c r="V156" s="28">
        <f t="shared" si="51"/>
        <v>1</v>
      </c>
      <c r="W156" s="28">
        <f>VLOOKUP(U156,Sheet1!$B$6:$C$45,2,FALSE)*V156</f>
        <v>0</v>
      </c>
      <c r="X156" s="59"/>
      <c r="Y156" s="12" t="s">
        <v>293</v>
      </c>
      <c r="Z156" s="68">
        <f>VLOOKUP(Takeoffs!Y156,Sheet1!$B$6:$C$124,2,FALSE)</f>
        <v>0</v>
      </c>
      <c r="AA156" s="68">
        <f t="shared" si="52"/>
        <v>0</v>
      </c>
      <c r="AB156" s="63">
        <f t="shared" si="53"/>
        <v>1</v>
      </c>
      <c r="AC156" s="28">
        <f t="shared" si="58"/>
        <v>1</v>
      </c>
      <c r="AD156" s="61">
        <v>1</v>
      </c>
      <c r="AE156" s="59"/>
      <c r="AF156" s="12" t="s">
        <v>293</v>
      </c>
      <c r="AG156" s="68">
        <f>VLOOKUP(Takeoffs!AF156,Sheet1!$B$6:$C$124,2,FALSE)</f>
        <v>0</v>
      </c>
      <c r="AH156" s="68">
        <f t="shared" si="54"/>
        <v>0</v>
      </c>
      <c r="AI156" s="63">
        <f t="shared" si="55"/>
        <v>0</v>
      </c>
      <c r="AJ156" s="28">
        <f t="shared" si="56"/>
        <v>1</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1</v>
      </c>
      <c r="T157" s="11"/>
      <c r="U157" s="12" t="s">
        <v>293</v>
      </c>
      <c r="V157" s="28">
        <f t="shared" si="51"/>
        <v>1</v>
      </c>
      <c r="W157" s="28">
        <f>VLOOKUP(U157,Sheet1!$B$6:$C$45,2,FALSE)*V157</f>
        <v>0</v>
      </c>
      <c r="X157" s="59"/>
      <c r="Y157" s="12" t="s">
        <v>293</v>
      </c>
      <c r="Z157" s="68">
        <f>VLOOKUP(Takeoffs!Y157,Sheet1!$B$6:$C$124,2,FALSE)</f>
        <v>0</v>
      </c>
      <c r="AA157" s="68">
        <f t="shared" si="52"/>
        <v>0</v>
      </c>
      <c r="AB157" s="63">
        <f t="shared" si="53"/>
        <v>1</v>
      </c>
      <c r="AC157" s="28">
        <f t="shared" si="58"/>
        <v>1</v>
      </c>
      <c r="AD157" s="61">
        <v>1</v>
      </c>
      <c r="AE157" s="59"/>
      <c r="AF157" s="12" t="s">
        <v>293</v>
      </c>
      <c r="AG157" s="68">
        <f>VLOOKUP(Takeoffs!AF157,Sheet1!$B$6:$C$124,2,FALSE)</f>
        <v>0</v>
      </c>
      <c r="AH157" s="68">
        <f t="shared" si="54"/>
        <v>0</v>
      </c>
      <c r="AI157" s="63">
        <f t="shared" si="55"/>
        <v>0</v>
      </c>
      <c r="AJ157" s="28">
        <f t="shared" si="56"/>
        <v>1</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1</v>
      </c>
      <c r="T158" s="11"/>
      <c r="U158" s="12" t="s">
        <v>293</v>
      </c>
      <c r="V158" s="28">
        <f t="shared" si="51"/>
        <v>1</v>
      </c>
      <c r="W158" s="28">
        <f>VLOOKUP(U158,Sheet1!$B$6:$C$45,2,FALSE)*V158</f>
        <v>0</v>
      </c>
      <c r="X158" s="59"/>
      <c r="Y158" s="12" t="s">
        <v>293</v>
      </c>
      <c r="Z158" s="68">
        <f>VLOOKUP(Takeoffs!Y158,Sheet1!$B$6:$C$124,2,FALSE)</f>
        <v>0</v>
      </c>
      <c r="AA158" s="68">
        <f t="shared" si="52"/>
        <v>0</v>
      </c>
      <c r="AB158" s="63">
        <f t="shared" si="53"/>
        <v>1</v>
      </c>
      <c r="AC158" s="28">
        <f t="shared" si="58"/>
        <v>1</v>
      </c>
      <c r="AD158" s="61">
        <v>1</v>
      </c>
      <c r="AE158" s="59"/>
      <c r="AF158" s="12" t="s">
        <v>293</v>
      </c>
      <c r="AG158" s="68">
        <f>VLOOKUP(Takeoffs!AF158,Sheet1!$B$6:$C$124,2,FALSE)</f>
        <v>0</v>
      </c>
      <c r="AH158" s="68">
        <f t="shared" si="54"/>
        <v>0</v>
      </c>
      <c r="AI158" s="63">
        <f t="shared" si="55"/>
        <v>0</v>
      </c>
      <c r="AJ158" s="28">
        <f t="shared" si="56"/>
        <v>1</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1</v>
      </c>
      <c r="T159" s="11"/>
      <c r="U159" s="12" t="s">
        <v>293</v>
      </c>
      <c r="V159" s="28">
        <f t="shared" si="51"/>
        <v>1</v>
      </c>
      <c r="W159" s="28">
        <f>VLOOKUP(U159,Sheet1!$B$6:$C$45,2,FALSE)*V159</f>
        <v>0</v>
      </c>
      <c r="X159" s="59"/>
      <c r="Y159" s="12" t="s">
        <v>293</v>
      </c>
      <c r="Z159" s="68">
        <f>VLOOKUP(Takeoffs!Y159,Sheet1!$B$6:$C$124,2,FALSE)</f>
        <v>0</v>
      </c>
      <c r="AA159" s="68">
        <f t="shared" si="52"/>
        <v>0</v>
      </c>
      <c r="AB159" s="63">
        <f t="shared" si="53"/>
        <v>1</v>
      </c>
      <c r="AC159" s="28">
        <f t="shared" si="58"/>
        <v>1</v>
      </c>
      <c r="AD159" s="61">
        <v>1</v>
      </c>
      <c r="AE159" s="59"/>
      <c r="AF159" s="12" t="s">
        <v>293</v>
      </c>
      <c r="AG159" s="68">
        <f>VLOOKUP(Takeoffs!AF159,Sheet1!$B$6:$C$124,2,FALSE)</f>
        <v>0</v>
      </c>
      <c r="AH159" s="68">
        <f t="shared" si="54"/>
        <v>0</v>
      </c>
      <c r="AI159" s="63">
        <f t="shared" si="55"/>
        <v>0</v>
      </c>
      <c r="AJ159" s="28">
        <f t="shared" si="56"/>
        <v>1</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379</v>
      </c>
      <c r="L160" s="21" t="s">
        <v>380</v>
      </c>
      <c r="N160" s="22"/>
      <c r="O160" s="23" t="s">
        <v>359</v>
      </c>
      <c r="P160" s="98">
        <f>V160+AA160+AH160</f>
        <v>1266.152</v>
      </c>
      <c r="Q160" s="65"/>
      <c r="R160" s="65"/>
      <c r="S160" s="23"/>
      <c r="T160" s="20"/>
      <c r="U160" s="19" t="s">
        <v>353</v>
      </c>
      <c r="V160" s="20">
        <f>W160*80</f>
        <v>320</v>
      </c>
      <c r="W160" s="69">
        <f>SUM(W139:W159)</f>
        <v>4</v>
      </c>
      <c r="X160" s="70"/>
      <c r="Y160" s="20" t="s">
        <v>354</v>
      </c>
      <c r="Z160" s="2"/>
      <c r="AA160" s="2">
        <f>SUM(AA139:AA159)</f>
        <v>946.15199999999993</v>
      </c>
      <c r="AB160" s="71"/>
      <c r="AC160" s="71"/>
      <c r="AD160" s="71"/>
      <c r="AE160" s="71"/>
      <c r="AF160" s="20" t="s">
        <v>358</v>
      </c>
      <c r="AG160" s="2"/>
      <c r="AH160" s="2">
        <f>SUM(AH139:AH159)</f>
        <v>0</v>
      </c>
      <c r="AI160" s="71"/>
      <c r="AJ160" s="71"/>
      <c r="AK160" s="71"/>
      <c r="AL160" s="71"/>
      <c r="AM160" s="150">
        <f>P160</f>
        <v>1266.152</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494</v>
      </c>
      <c r="C161" s="217" t="str">
        <f>N139</f>
        <v>medium-sized weatherproof Form 1 MSSB</v>
      </c>
      <c r="D161" s="260" t="str">
        <f>IF(B161="Shopping List",IF(ISNUMBER(SEARCH("MSSB",C161)),"MSSB",IF(ISNUMBER(SEARCH("local",C161)),"LOCAL","")))</f>
        <v>MSSB</v>
      </c>
      <c r="E161" s="238"/>
      <c r="F161" s="217"/>
      <c r="G161" s="217"/>
      <c r="H161" s="245"/>
      <c r="I161" s="270">
        <v>1</v>
      </c>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one (1)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1266.152</v>
      </c>
      <c r="L161" s="234" t="str">
        <f>CONCATENATE(Q140,Q141,Q142,Q143,Q144,Q145,Q146,Q147,Q148,Q149,Q150,Q151,Q152,Q153,Q154,Q155,Q156,Q157,Q158,Q159,)</f>
        <v/>
      </c>
      <c r="M161" s="91" t="s">
        <v>369</v>
      </c>
      <c r="N161" s="83" t="str">
        <f>N139</f>
        <v>medium-sized weatherproof Form 1 MSSB</v>
      </c>
      <c r="O161" s="83" t="s">
        <v>367</v>
      </c>
      <c r="P161" s="84">
        <f>P160/M139</f>
        <v>1266.152</v>
      </c>
      <c r="Q161" s="84"/>
      <c r="R161" s="84"/>
      <c r="S161" s="83"/>
      <c r="T161" s="84"/>
      <c r="U161" s="327" t="s">
        <v>368</v>
      </c>
      <c r="V161" s="327"/>
      <c r="W161" s="85">
        <f>W160/M139</f>
        <v>4</v>
      </c>
      <c r="X161" s="86"/>
      <c r="Y161" s="325" t="s">
        <v>367</v>
      </c>
      <c r="Z161" s="325"/>
      <c r="AA161" s="87">
        <f>AA160/M139</f>
        <v>946.15199999999993</v>
      </c>
      <c r="AB161" s="84"/>
      <c r="AC161" s="84"/>
      <c r="AD161" s="84"/>
      <c r="AE161" s="84"/>
      <c r="AF161" s="325" t="s">
        <v>367</v>
      </c>
      <c r="AG161" s="325"/>
      <c r="AH161" s="87">
        <f>AH160/M139</f>
        <v>0</v>
      </c>
      <c r="AI161" s="84"/>
      <c r="AJ161" s="84"/>
      <c r="AK161" s="84"/>
      <c r="AL161" s="247"/>
      <c r="AM161" s="257"/>
      <c r="AN161" s="236">
        <f>K161*1.25</f>
        <v>1582.69</v>
      </c>
      <c r="AO161" s="286"/>
      <c r="AP161" s="284">
        <f t="shared" si="59"/>
        <v>1266.152</v>
      </c>
      <c r="AQ161" s="281">
        <f t="shared" si="60"/>
        <v>320</v>
      </c>
      <c r="AR161" s="284">
        <f t="shared" si="61"/>
        <v>946.15199999999993</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454</v>
      </c>
      <c r="M162" s="2" t="s">
        <v>107</v>
      </c>
      <c r="N162" s="2" t="s">
        <v>108</v>
      </c>
      <c r="O162" s="97" t="s">
        <v>388</v>
      </c>
      <c r="P162" s="326" t="s">
        <v>377</v>
      </c>
      <c r="Q162" s="326"/>
      <c r="R162" s="101" t="s">
        <v>454</v>
      </c>
      <c r="S162" s="2" t="s">
        <v>0</v>
      </c>
      <c r="T162" s="9"/>
      <c r="U162" s="2" t="s">
        <v>288</v>
      </c>
      <c r="V162" s="2" t="s">
        <v>289</v>
      </c>
      <c r="W162" s="2" t="s">
        <v>292</v>
      </c>
      <c r="X162" s="58"/>
      <c r="Y162" s="2" t="s">
        <v>290</v>
      </c>
      <c r="Z162" s="2" t="s">
        <v>356</v>
      </c>
      <c r="AA162" s="2" t="s">
        <v>357</v>
      </c>
      <c r="AB162" s="2" t="s">
        <v>319</v>
      </c>
      <c r="AC162" s="2" t="s">
        <v>320</v>
      </c>
      <c r="AD162" s="2" t="s">
        <v>318</v>
      </c>
      <c r="AE162" s="58"/>
      <c r="AF162" s="2" t="s">
        <v>294</v>
      </c>
      <c r="AG162" s="2" t="s">
        <v>356</v>
      </c>
      <c r="AH162" s="2" t="s">
        <v>357</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one</v>
      </c>
      <c r="M163" s="121">
        <f>I185</f>
        <v>1</v>
      </c>
      <c r="N163" s="27" t="s">
        <v>531</v>
      </c>
      <c r="O163" s="12" t="s">
        <v>195</v>
      </c>
      <c r="P163" s="96" t="s">
        <v>381</v>
      </c>
      <c r="Q163" s="96" t="s">
        <v>377</v>
      </c>
      <c r="R163" s="96"/>
      <c r="S163" s="28">
        <f>M163</f>
        <v>1</v>
      </c>
      <c r="T163" s="10"/>
      <c r="U163" s="73" t="s">
        <v>236</v>
      </c>
      <c r="V163" s="28">
        <f>S163</f>
        <v>1</v>
      </c>
      <c r="W163" s="28">
        <f>VLOOKUP(U163,Sheet1!$B$6:$C$45,2,FALSE)*V163</f>
        <v>4</v>
      </c>
      <c r="X163" s="59"/>
      <c r="Y163" s="12" t="s">
        <v>293</v>
      </c>
      <c r="Z163" s="68">
        <f>VLOOKUP(Takeoffs!Y163,Sheet1!$B$6:$C$124,2,FALSE)</f>
        <v>0</v>
      </c>
      <c r="AA163" s="68">
        <f>Z163*AB163</f>
        <v>0</v>
      </c>
      <c r="AB163" s="63">
        <f>AD163*AC163</f>
        <v>1</v>
      </c>
      <c r="AC163" s="28">
        <f>S163</f>
        <v>1</v>
      </c>
      <c r="AD163" s="61">
        <v>1</v>
      </c>
      <c r="AE163" s="59"/>
      <c r="AF163" s="12" t="s">
        <v>293</v>
      </c>
      <c r="AG163" s="68">
        <f>VLOOKUP(Takeoffs!AF163,Sheet1!$B$6:$C$124,2,FALSE)</f>
        <v>0</v>
      </c>
      <c r="AH163" s="68">
        <f>AG163*AI163</f>
        <v>0</v>
      </c>
      <c r="AI163" s="63">
        <f>AK163*AJ163</f>
        <v>0</v>
      </c>
      <c r="AJ163" s="28">
        <f>S163</f>
        <v>1</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400</v>
      </c>
      <c r="P164" s="12"/>
      <c r="Q164" s="12"/>
      <c r="R164" s="12"/>
      <c r="S164" s="28">
        <f>M163</f>
        <v>1</v>
      </c>
      <c r="T164" s="11"/>
      <c r="U164" s="12" t="s">
        <v>293</v>
      </c>
      <c r="V164" s="28">
        <f t="shared" ref="V164:V183" si="64">S164</f>
        <v>1</v>
      </c>
      <c r="W164" s="28">
        <f>VLOOKUP(U164,Sheet1!$B$6:$C$45,2,FALSE)*V164</f>
        <v>0</v>
      </c>
      <c r="X164" s="59"/>
      <c r="Y164" s="73" t="s">
        <v>419</v>
      </c>
      <c r="Z164" s="68">
        <f>VLOOKUP(Takeoffs!Y164,Sheet1!$B$6:$C$124,2,FALSE)</f>
        <v>586.15199999999993</v>
      </c>
      <c r="AA164" s="68">
        <f t="shared" ref="AA164:AA183" si="65">Z164*AB164</f>
        <v>586.15199999999993</v>
      </c>
      <c r="AB164" s="63">
        <f t="shared" ref="AB164:AB183" si="66">AD164*AC164</f>
        <v>1</v>
      </c>
      <c r="AC164" s="28">
        <f>S164</f>
        <v>1</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1</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401</v>
      </c>
      <c r="P165" s="12"/>
      <c r="Q165" s="12"/>
      <c r="R165" s="12"/>
      <c r="S165" s="28">
        <f>M163</f>
        <v>1</v>
      </c>
      <c r="T165" s="11"/>
      <c r="U165" s="12" t="s">
        <v>293</v>
      </c>
      <c r="V165" s="28">
        <f t="shared" si="64"/>
        <v>1</v>
      </c>
      <c r="W165" s="28">
        <f>VLOOKUP(U165,Sheet1!$B$6:$C$45,2,FALSE)*V165</f>
        <v>0</v>
      </c>
      <c r="X165" s="59"/>
      <c r="Y165" s="12" t="s">
        <v>293</v>
      </c>
      <c r="Z165" s="68">
        <f>VLOOKUP(Takeoffs!Y165,Sheet1!$B$6:$C$124,2,FALSE)</f>
        <v>0</v>
      </c>
      <c r="AA165" s="68">
        <f t="shared" si="65"/>
        <v>0</v>
      </c>
      <c r="AB165" s="63">
        <f t="shared" si="66"/>
        <v>1</v>
      </c>
      <c r="AC165" s="28">
        <f>S165</f>
        <v>1</v>
      </c>
      <c r="AD165" s="61">
        <v>1</v>
      </c>
      <c r="AE165" s="59"/>
      <c r="AF165" s="12" t="s">
        <v>293</v>
      </c>
      <c r="AG165" s="68">
        <f>VLOOKUP(Takeoffs!AF165,Sheet1!$B$6:$C$124,2,FALSE)</f>
        <v>0</v>
      </c>
      <c r="AH165" s="68">
        <f t="shared" si="67"/>
        <v>0</v>
      </c>
      <c r="AI165" s="63">
        <f t="shared" si="68"/>
        <v>0</v>
      </c>
      <c r="AJ165" s="28">
        <f t="shared" si="69"/>
        <v>1</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402</v>
      </c>
      <c r="P166" s="12"/>
      <c r="Q166" s="12"/>
      <c r="R166" s="12"/>
      <c r="S166" s="28">
        <f>M163</f>
        <v>1</v>
      </c>
      <c r="T166" s="11"/>
      <c r="U166" s="12" t="s">
        <v>293</v>
      </c>
      <c r="V166" s="28">
        <f t="shared" si="64"/>
        <v>1</v>
      </c>
      <c r="W166" s="28">
        <f>VLOOKUP(U166,Sheet1!$B$6:$C$45,2,FALSE)*V166</f>
        <v>0</v>
      </c>
      <c r="X166" s="59"/>
      <c r="Y166" s="12" t="s">
        <v>293</v>
      </c>
      <c r="Z166" s="68">
        <f>VLOOKUP(Takeoffs!Y166,Sheet1!$B$6:$C$124,2,FALSE)</f>
        <v>0</v>
      </c>
      <c r="AA166" s="68">
        <f t="shared" si="65"/>
        <v>0</v>
      </c>
      <c r="AB166" s="63">
        <f t="shared" si="66"/>
        <v>1</v>
      </c>
      <c r="AC166" s="28">
        <f t="shared" ref="AC166:AC183" si="71">S166</f>
        <v>1</v>
      </c>
      <c r="AD166" s="61">
        <v>1</v>
      </c>
      <c r="AE166" s="59"/>
      <c r="AF166" s="12" t="s">
        <v>293</v>
      </c>
      <c r="AG166" s="68">
        <f>VLOOKUP(Takeoffs!AF166,Sheet1!$B$6:$C$124,2,FALSE)</f>
        <v>0</v>
      </c>
      <c r="AH166" s="68">
        <f t="shared" si="67"/>
        <v>0</v>
      </c>
      <c r="AI166" s="63">
        <f t="shared" si="68"/>
        <v>0</v>
      </c>
      <c r="AJ166" s="28">
        <f t="shared" si="69"/>
        <v>1</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403</v>
      </c>
      <c r="P167" s="12"/>
      <c r="Q167" s="12"/>
      <c r="R167" s="12"/>
      <c r="S167" s="28">
        <f>M163</f>
        <v>1</v>
      </c>
      <c r="T167" s="11"/>
      <c r="U167" s="12" t="s">
        <v>293</v>
      </c>
      <c r="V167" s="28">
        <f t="shared" si="64"/>
        <v>1</v>
      </c>
      <c r="W167" s="28">
        <f>VLOOKUP(U167,Sheet1!$B$6:$C$45,2,FALSE)*V167</f>
        <v>0</v>
      </c>
      <c r="X167" s="59"/>
      <c r="Y167" s="12" t="s">
        <v>293</v>
      </c>
      <c r="Z167" s="68">
        <f>VLOOKUP(Takeoffs!Y167,Sheet1!$B$6:$C$124,2,FALSE)</f>
        <v>0</v>
      </c>
      <c r="AA167" s="68">
        <f t="shared" si="65"/>
        <v>0</v>
      </c>
      <c r="AB167" s="63">
        <f t="shared" si="66"/>
        <v>1</v>
      </c>
      <c r="AC167" s="28">
        <f t="shared" si="71"/>
        <v>1</v>
      </c>
      <c r="AD167" s="61">
        <v>1</v>
      </c>
      <c r="AE167" s="59"/>
      <c r="AF167" s="12" t="s">
        <v>293</v>
      </c>
      <c r="AG167" s="68">
        <f>VLOOKUP(Takeoffs!AF167,Sheet1!$B$6:$C$124,2,FALSE)</f>
        <v>0</v>
      </c>
      <c r="AH167" s="68">
        <f t="shared" si="67"/>
        <v>0</v>
      </c>
      <c r="AI167" s="63">
        <f t="shared" si="68"/>
        <v>0</v>
      </c>
      <c r="AJ167" s="28">
        <f t="shared" si="69"/>
        <v>1</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404</v>
      </c>
      <c r="P168" s="12"/>
      <c r="Q168" s="12"/>
      <c r="R168" s="12"/>
      <c r="S168" s="28">
        <f>M163</f>
        <v>1</v>
      </c>
      <c r="T168" s="11"/>
      <c r="U168" s="12" t="s">
        <v>293</v>
      </c>
      <c r="V168" s="28">
        <f t="shared" si="64"/>
        <v>1</v>
      </c>
      <c r="W168" s="28">
        <f>VLOOKUP(U168,Sheet1!$B$6:$C$45,2,FALSE)*V168</f>
        <v>0</v>
      </c>
      <c r="X168" s="59"/>
      <c r="Y168" s="12" t="s">
        <v>274</v>
      </c>
      <c r="Z168" s="68">
        <f>VLOOKUP(Takeoffs!Y168,Sheet1!$B$6:$C$124,2,FALSE)</f>
        <v>360</v>
      </c>
      <c r="AA168" s="68">
        <f t="shared" si="65"/>
        <v>360</v>
      </c>
      <c r="AB168" s="63">
        <f t="shared" si="66"/>
        <v>1</v>
      </c>
      <c r="AC168" s="28">
        <f t="shared" si="71"/>
        <v>1</v>
      </c>
      <c r="AD168" s="61">
        <v>1</v>
      </c>
      <c r="AE168" s="59"/>
      <c r="AF168" s="12" t="s">
        <v>293</v>
      </c>
      <c r="AG168" s="68">
        <f>VLOOKUP(Takeoffs!AF168,Sheet1!$B$6:$C$124,2,FALSE)</f>
        <v>0</v>
      </c>
      <c r="AH168" s="68">
        <f t="shared" si="67"/>
        <v>0</v>
      </c>
      <c r="AI168" s="63">
        <f t="shared" si="68"/>
        <v>0</v>
      </c>
      <c r="AJ168" s="28">
        <f t="shared" si="69"/>
        <v>1</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405</v>
      </c>
      <c r="P169" s="12"/>
      <c r="Q169" s="12"/>
      <c r="R169" s="12"/>
      <c r="S169" s="28">
        <f>M163</f>
        <v>1</v>
      </c>
      <c r="T169" s="11"/>
      <c r="U169" s="12" t="s">
        <v>293</v>
      </c>
      <c r="V169" s="28">
        <f t="shared" si="64"/>
        <v>1</v>
      </c>
      <c r="W169" s="28">
        <f>VLOOKUP(U169,Sheet1!$B$6:$C$45,2,FALSE)*V169</f>
        <v>0</v>
      </c>
      <c r="X169" s="59"/>
      <c r="Y169" s="12" t="s">
        <v>293</v>
      </c>
      <c r="Z169" s="68">
        <f>VLOOKUP(Takeoffs!Y169,Sheet1!$B$6:$C$124,2,FALSE)</f>
        <v>0</v>
      </c>
      <c r="AA169" s="68">
        <f t="shared" si="65"/>
        <v>0</v>
      </c>
      <c r="AB169" s="63">
        <f t="shared" si="66"/>
        <v>1</v>
      </c>
      <c r="AC169" s="28">
        <f t="shared" si="71"/>
        <v>1</v>
      </c>
      <c r="AD169" s="61">
        <v>1</v>
      </c>
      <c r="AE169" s="59"/>
      <c r="AF169" s="12" t="s">
        <v>293</v>
      </c>
      <c r="AG169" s="68">
        <f>VLOOKUP(Takeoffs!AF169,Sheet1!$B$6:$C$124,2,FALSE)</f>
        <v>0</v>
      </c>
      <c r="AH169" s="68">
        <f t="shared" si="67"/>
        <v>0</v>
      </c>
      <c r="AI169" s="63">
        <f t="shared" si="68"/>
        <v>0</v>
      </c>
      <c r="AJ169" s="28">
        <f t="shared" si="69"/>
        <v>1</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406</v>
      </c>
      <c r="P170" s="12"/>
      <c r="Q170" s="12"/>
      <c r="R170" s="12"/>
      <c r="S170" s="28">
        <f>M163</f>
        <v>1</v>
      </c>
      <c r="T170" s="11"/>
      <c r="U170" s="12" t="s">
        <v>293</v>
      </c>
      <c r="V170" s="28">
        <f t="shared" si="64"/>
        <v>1</v>
      </c>
      <c r="W170" s="28">
        <f>VLOOKUP(U170,Sheet1!$B$6:$C$45,2,FALSE)*V170</f>
        <v>0</v>
      </c>
      <c r="X170" s="59"/>
      <c r="Y170" s="12" t="s">
        <v>293</v>
      </c>
      <c r="Z170" s="68">
        <f>VLOOKUP(Takeoffs!Y170,Sheet1!$B$6:$C$124,2,FALSE)</f>
        <v>0</v>
      </c>
      <c r="AA170" s="68">
        <f t="shared" si="65"/>
        <v>0</v>
      </c>
      <c r="AB170" s="63">
        <f t="shared" si="66"/>
        <v>1</v>
      </c>
      <c r="AC170" s="28">
        <f t="shared" si="71"/>
        <v>1</v>
      </c>
      <c r="AD170" s="61">
        <v>1</v>
      </c>
      <c r="AE170" s="59"/>
      <c r="AF170" s="12" t="s">
        <v>293</v>
      </c>
      <c r="AG170" s="68">
        <f>VLOOKUP(Takeoffs!AF170,Sheet1!$B$6:$C$124,2,FALSE)</f>
        <v>0</v>
      </c>
      <c r="AH170" s="68">
        <f t="shared" si="67"/>
        <v>0</v>
      </c>
      <c r="AI170" s="63">
        <f t="shared" si="68"/>
        <v>0</v>
      </c>
      <c r="AJ170" s="28">
        <f t="shared" si="69"/>
        <v>1</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442</v>
      </c>
      <c r="P171" s="12"/>
      <c r="Q171" s="12"/>
      <c r="R171" s="12"/>
      <c r="S171" s="28">
        <f>M163</f>
        <v>1</v>
      </c>
      <c r="T171" s="11"/>
      <c r="U171" s="12" t="s">
        <v>293</v>
      </c>
      <c r="V171" s="28">
        <f t="shared" si="64"/>
        <v>1</v>
      </c>
      <c r="W171" s="28">
        <f>VLOOKUP(U171,Sheet1!$B$6:$C$45,2,FALSE)*V171</f>
        <v>0</v>
      </c>
      <c r="X171" s="59"/>
      <c r="Y171" s="12" t="s">
        <v>293</v>
      </c>
      <c r="Z171" s="68">
        <f>VLOOKUP(Takeoffs!Y171,Sheet1!$B$6:$C$124,2,FALSE)</f>
        <v>0</v>
      </c>
      <c r="AA171" s="68">
        <f t="shared" si="65"/>
        <v>0</v>
      </c>
      <c r="AB171" s="63">
        <f t="shared" si="66"/>
        <v>1</v>
      </c>
      <c r="AC171" s="28">
        <f t="shared" si="71"/>
        <v>1</v>
      </c>
      <c r="AD171" s="61">
        <v>1</v>
      </c>
      <c r="AE171" s="59"/>
      <c r="AF171" s="12" t="s">
        <v>293</v>
      </c>
      <c r="AG171" s="68">
        <f>VLOOKUP(Takeoffs!AF171,Sheet1!$B$6:$C$124,2,FALSE)</f>
        <v>0</v>
      </c>
      <c r="AH171" s="68">
        <f t="shared" si="67"/>
        <v>0</v>
      </c>
      <c r="AI171" s="63">
        <f t="shared" si="68"/>
        <v>0</v>
      </c>
      <c r="AJ171" s="28">
        <f t="shared" si="69"/>
        <v>1</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1</v>
      </c>
      <c r="T172" s="11"/>
      <c r="U172" s="12" t="s">
        <v>293</v>
      </c>
      <c r="V172" s="28">
        <f t="shared" si="64"/>
        <v>1</v>
      </c>
      <c r="W172" s="28">
        <f>VLOOKUP(U172,Sheet1!$B$6:$C$45,2,FALSE)*V172</f>
        <v>0</v>
      </c>
      <c r="X172" s="59"/>
      <c r="Y172" s="12" t="s">
        <v>293</v>
      </c>
      <c r="Z172" s="68">
        <f>VLOOKUP(Takeoffs!Y172,Sheet1!$B$6:$C$124,2,FALSE)</f>
        <v>0</v>
      </c>
      <c r="AA172" s="68">
        <f t="shared" si="65"/>
        <v>0</v>
      </c>
      <c r="AB172" s="63">
        <f t="shared" si="66"/>
        <v>1</v>
      </c>
      <c r="AC172" s="28">
        <f t="shared" si="71"/>
        <v>1</v>
      </c>
      <c r="AD172" s="61">
        <v>1</v>
      </c>
      <c r="AE172" s="59"/>
      <c r="AF172" s="12" t="s">
        <v>293</v>
      </c>
      <c r="AG172" s="68">
        <f>VLOOKUP(Takeoffs!AF172,Sheet1!$B$6:$C$124,2,FALSE)</f>
        <v>0</v>
      </c>
      <c r="AH172" s="68">
        <f t="shared" si="67"/>
        <v>0</v>
      </c>
      <c r="AI172" s="63">
        <f t="shared" si="68"/>
        <v>0</v>
      </c>
      <c r="AJ172" s="28">
        <f t="shared" si="69"/>
        <v>1</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1</v>
      </c>
      <c r="T173" s="11"/>
      <c r="U173" s="12" t="s">
        <v>293</v>
      </c>
      <c r="V173" s="28">
        <f t="shared" si="64"/>
        <v>1</v>
      </c>
      <c r="W173" s="28">
        <f>VLOOKUP(U173,Sheet1!$B$6:$C$45,2,FALSE)*V173</f>
        <v>0</v>
      </c>
      <c r="X173" s="59"/>
      <c r="Y173" s="12" t="s">
        <v>293</v>
      </c>
      <c r="Z173" s="68">
        <f>VLOOKUP(Takeoffs!Y173,Sheet1!$B$6:$C$124,2,FALSE)</f>
        <v>0</v>
      </c>
      <c r="AA173" s="68">
        <f t="shared" si="65"/>
        <v>0</v>
      </c>
      <c r="AB173" s="63">
        <f t="shared" si="66"/>
        <v>1</v>
      </c>
      <c r="AC173" s="28">
        <f t="shared" si="71"/>
        <v>1</v>
      </c>
      <c r="AD173" s="61">
        <v>1</v>
      </c>
      <c r="AE173" s="59"/>
      <c r="AF173" s="12" t="s">
        <v>293</v>
      </c>
      <c r="AG173" s="68">
        <f>VLOOKUP(Takeoffs!AF173,Sheet1!$B$6:$C$124,2,FALSE)</f>
        <v>0</v>
      </c>
      <c r="AH173" s="68">
        <f t="shared" si="67"/>
        <v>0</v>
      </c>
      <c r="AI173" s="63">
        <f t="shared" si="68"/>
        <v>0</v>
      </c>
      <c r="AJ173" s="28">
        <f t="shared" si="69"/>
        <v>1</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1</v>
      </c>
      <c r="T174" s="11"/>
      <c r="U174" s="12" t="s">
        <v>293</v>
      </c>
      <c r="V174" s="28">
        <f t="shared" si="64"/>
        <v>1</v>
      </c>
      <c r="W174" s="28">
        <f>VLOOKUP(U174,Sheet1!$B$6:$C$45,2,FALSE)*V174</f>
        <v>0</v>
      </c>
      <c r="X174" s="59"/>
      <c r="Y174" s="12" t="s">
        <v>293</v>
      </c>
      <c r="Z174" s="68">
        <f>VLOOKUP(Takeoffs!Y174,Sheet1!$B$6:$C$124,2,FALSE)</f>
        <v>0</v>
      </c>
      <c r="AA174" s="68">
        <f t="shared" si="65"/>
        <v>0</v>
      </c>
      <c r="AB174" s="63">
        <f t="shared" si="66"/>
        <v>1</v>
      </c>
      <c r="AC174" s="28">
        <f t="shared" si="71"/>
        <v>1</v>
      </c>
      <c r="AD174" s="61">
        <v>1</v>
      </c>
      <c r="AE174" s="59"/>
      <c r="AF174" s="12" t="s">
        <v>293</v>
      </c>
      <c r="AG174" s="68">
        <f>VLOOKUP(Takeoffs!AF174,Sheet1!$B$6:$C$124,2,FALSE)</f>
        <v>0</v>
      </c>
      <c r="AH174" s="68">
        <f t="shared" si="67"/>
        <v>0</v>
      </c>
      <c r="AI174" s="63">
        <f t="shared" si="68"/>
        <v>0</v>
      </c>
      <c r="AJ174" s="28">
        <f t="shared" si="69"/>
        <v>1</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1</v>
      </c>
      <c r="T175" s="11"/>
      <c r="U175" s="12" t="s">
        <v>293</v>
      </c>
      <c r="V175" s="28">
        <f t="shared" si="64"/>
        <v>1</v>
      </c>
      <c r="W175" s="28">
        <f>VLOOKUP(U175,Sheet1!$B$6:$C$45,2,FALSE)*V175</f>
        <v>0</v>
      </c>
      <c r="X175" s="59"/>
      <c r="Y175" s="12" t="s">
        <v>293</v>
      </c>
      <c r="Z175" s="68">
        <f>VLOOKUP(Takeoffs!Y175,Sheet1!$B$6:$C$124,2,FALSE)</f>
        <v>0</v>
      </c>
      <c r="AA175" s="68">
        <f t="shared" si="65"/>
        <v>0</v>
      </c>
      <c r="AB175" s="63">
        <f t="shared" si="66"/>
        <v>1</v>
      </c>
      <c r="AC175" s="28">
        <f t="shared" si="71"/>
        <v>1</v>
      </c>
      <c r="AD175" s="61">
        <v>1</v>
      </c>
      <c r="AE175" s="59"/>
      <c r="AF175" s="12" t="s">
        <v>293</v>
      </c>
      <c r="AG175" s="68">
        <f>VLOOKUP(Takeoffs!AF175,Sheet1!$B$6:$C$124,2,FALSE)</f>
        <v>0</v>
      </c>
      <c r="AH175" s="68">
        <f t="shared" si="67"/>
        <v>0</v>
      </c>
      <c r="AI175" s="63">
        <f t="shared" si="68"/>
        <v>0</v>
      </c>
      <c r="AJ175" s="28">
        <f t="shared" si="69"/>
        <v>1</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1</v>
      </c>
      <c r="T176" s="11"/>
      <c r="U176" s="12" t="s">
        <v>293</v>
      </c>
      <c r="V176" s="28">
        <f t="shared" si="64"/>
        <v>1</v>
      </c>
      <c r="W176" s="28">
        <f>VLOOKUP(U176,Sheet1!$B$6:$C$45,2,FALSE)*V176</f>
        <v>0</v>
      </c>
      <c r="X176" s="59"/>
      <c r="Y176" s="12" t="s">
        <v>293</v>
      </c>
      <c r="Z176" s="68">
        <f>VLOOKUP(Takeoffs!Y176,Sheet1!$B$6:$C$124,2,FALSE)</f>
        <v>0</v>
      </c>
      <c r="AA176" s="68">
        <f t="shared" si="65"/>
        <v>0</v>
      </c>
      <c r="AB176" s="63">
        <f t="shared" si="66"/>
        <v>1</v>
      </c>
      <c r="AC176" s="28">
        <f t="shared" si="71"/>
        <v>1</v>
      </c>
      <c r="AD176" s="61">
        <v>1</v>
      </c>
      <c r="AE176" s="59"/>
      <c r="AF176" s="12" t="s">
        <v>293</v>
      </c>
      <c r="AG176" s="68">
        <f>VLOOKUP(Takeoffs!AF176,Sheet1!$B$6:$C$124,2,FALSE)</f>
        <v>0</v>
      </c>
      <c r="AH176" s="68">
        <f t="shared" si="67"/>
        <v>0</v>
      </c>
      <c r="AI176" s="63">
        <f t="shared" si="68"/>
        <v>0</v>
      </c>
      <c r="AJ176" s="28">
        <f t="shared" si="69"/>
        <v>1</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1</v>
      </c>
      <c r="T177" s="11"/>
      <c r="U177" s="12" t="s">
        <v>293</v>
      </c>
      <c r="V177" s="28">
        <f t="shared" si="64"/>
        <v>1</v>
      </c>
      <c r="W177" s="28">
        <f>VLOOKUP(U177,Sheet1!$B$6:$C$45,2,FALSE)*V177</f>
        <v>0</v>
      </c>
      <c r="X177" s="59"/>
      <c r="Y177" s="12" t="s">
        <v>293</v>
      </c>
      <c r="Z177" s="68">
        <f>VLOOKUP(Takeoffs!Y177,Sheet1!$B$6:$C$124,2,FALSE)</f>
        <v>0</v>
      </c>
      <c r="AA177" s="68">
        <f t="shared" si="65"/>
        <v>0</v>
      </c>
      <c r="AB177" s="63">
        <f t="shared" si="66"/>
        <v>1</v>
      </c>
      <c r="AC177" s="28">
        <f t="shared" si="71"/>
        <v>1</v>
      </c>
      <c r="AD177" s="61">
        <v>1</v>
      </c>
      <c r="AE177" s="59"/>
      <c r="AF177" s="12" t="s">
        <v>293</v>
      </c>
      <c r="AG177" s="68">
        <f>VLOOKUP(Takeoffs!AF177,Sheet1!$B$6:$C$124,2,FALSE)</f>
        <v>0</v>
      </c>
      <c r="AH177" s="68">
        <f t="shared" si="67"/>
        <v>0</v>
      </c>
      <c r="AI177" s="63">
        <f t="shared" si="68"/>
        <v>0</v>
      </c>
      <c r="AJ177" s="28">
        <f t="shared" si="69"/>
        <v>1</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1</v>
      </c>
      <c r="T178" s="11"/>
      <c r="U178" s="12" t="s">
        <v>293</v>
      </c>
      <c r="V178" s="28">
        <f t="shared" si="64"/>
        <v>1</v>
      </c>
      <c r="W178" s="28">
        <f>VLOOKUP(U178,Sheet1!$B$6:$C$45,2,FALSE)*V178</f>
        <v>0</v>
      </c>
      <c r="X178" s="59"/>
      <c r="Y178" s="12" t="s">
        <v>293</v>
      </c>
      <c r="Z178" s="68">
        <f>VLOOKUP(Takeoffs!Y178,Sheet1!$B$6:$C$124,2,FALSE)</f>
        <v>0</v>
      </c>
      <c r="AA178" s="68">
        <f t="shared" si="65"/>
        <v>0</v>
      </c>
      <c r="AB178" s="63">
        <f t="shared" si="66"/>
        <v>2</v>
      </c>
      <c r="AC178" s="28">
        <f t="shared" si="71"/>
        <v>1</v>
      </c>
      <c r="AD178" s="61">
        <v>2</v>
      </c>
      <c r="AE178" s="59"/>
      <c r="AF178" s="12" t="s">
        <v>293</v>
      </c>
      <c r="AG178" s="68">
        <f>VLOOKUP(Takeoffs!AF178,Sheet1!$B$6:$C$124,2,FALSE)</f>
        <v>0</v>
      </c>
      <c r="AH178" s="68">
        <f t="shared" si="67"/>
        <v>0</v>
      </c>
      <c r="AI178" s="63">
        <f t="shared" si="68"/>
        <v>0</v>
      </c>
      <c r="AJ178" s="28">
        <f t="shared" si="69"/>
        <v>1</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1</v>
      </c>
      <c r="T179" s="11"/>
      <c r="U179" s="12" t="s">
        <v>293</v>
      </c>
      <c r="V179" s="28">
        <f t="shared" si="64"/>
        <v>1</v>
      </c>
      <c r="W179" s="28">
        <f>VLOOKUP(U179,Sheet1!$B$6:$C$45,2,FALSE)*V179</f>
        <v>0</v>
      </c>
      <c r="X179" s="59"/>
      <c r="Y179" s="12" t="s">
        <v>293</v>
      </c>
      <c r="Z179" s="68">
        <f>VLOOKUP(Takeoffs!Y179,Sheet1!$B$6:$C$124,2,FALSE)</f>
        <v>0</v>
      </c>
      <c r="AA179" s="68">
        <f t="shared" si="65"/>
        <v>0</v>
      </c>
      <c r="AB179" s="63">
        <f t="shared" si="66"/>
        <v>1</v>
      </c>
      <c r="AC179" s="28">
        <f t="shared" si="71"/>
        <v>1</v>
      </c>
      <c r="AD179" s="61">
        <v>1</v>
      </c>
      <c r="AE179" s="59"/>
      <c r="AF179" s="12" t="s">
        <v>293</v>
      </c>
      <c r="AG179" s="68">
        <f>VLOOKUP(Takeoffs!AF179,Sheet1!$B$6:$C$124,2,FALSE)</f>
        <v>0</v>
      </c>
      <c r="AH179" s="68">
        <f t="shared" si="67"/>
        <v>0</v>
      </c>
      <c r="AI179" s="63">
        <f t="shared" si="68"/>
        <v>0</v>
      </c>
      <c r="AJ179" s="28">
        <f t="shared" si="69"/>
        <v>1</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1</v>
      </c>
      <c r="T180" s="11"/>
      <c r="U180" s="12" t="s">
        <v>293</v>
      </c>
      <c r="V180" s="28">
        <f t="shared" si="64"/>
        <v>1</v>
      </c>
      <c r="W180" s="28">
        <f>VLOOKUP(U180,Sheet1!$B$6:$C$45,2,FALSE)*V180</f>
        <v>0</v>
      </c>
      <c r="X180" s="59"/>
      <c r="Y180" s="12" t="s">
        <v>293</v>
      </c>
      <c r="Z180" s="68">
        <f>VLOOKUP(Takeoffs!Y180,Sheet1!$B$6:$C$124,2,FALSE)</f>
        <v>0</v>
      </c>
      <c r="AA180" s="68">
        <f t="shared" si="65"/>
        <v>0</v>
      </c>
      <c r="AB180" s="63">
        <f t="shared" si="66"/>
        <v>1</v>
      </c>
      <c r="AC180" s="28">
        <f t="shared" si="71"/>
        <v>1</v>
      </c>
      <c r="AD180" s="61">
        <v>1</v>
      </c>
      <c r="AE180" s="59"/>
      <c r="AF180" s="12" t="s">
        <v>293</v>
      </c>
      <c r="AG180" s="68">
        <f>VLOOKUP(Takeoffs!AF180,Sheet1!$B$6:$C$124,2,FALSE)</f>
        <v>0</v>
      </c>
      <c r="AH180" s="68">
        <f t="shared" si="67"/>
        <v>0</v>
      </c>
      <c r="AI180" s="63">
        <f t="shared" si="68"/>
        <v>0</v>
      </c>
      <c r="AJ180" s="28">
        <f t="shared" si="69"/>
        <v>1</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1</v>
      </c>
      <c r="T181" s="11"/>
      <c r="U181" s="12" t="s">
        <v>293</v>
      </c>
      <c r="V181" s="28">
        <f t="shared" si="64"/>
        <v>1</v>
      </c>
      <c r="W181" s="28">
        <f>VLOOKUP(U181,Sheet1!$B$6:$C$45,2,FALSE)*V181</f>
        <v>0</v>
      </c>
      <c r="X181" s="59"/>
      <c r="Y181" s="12" t="s">
        <v>293</v>
      </c>
      <c r="Z181" s="68">
        <f>VLOOKUP(Takeoffs!Y181,Sheet1!$B$6:$C$124,2,FALSE)</f>
        <v>0</v>
      </c>
      <c r="AA181" s="68">
        <f t="shared" si="65"/>
        <v>0</v>
      </c>
      <c r="AB181" s="63">
        <f t="shared" si="66"/>
        <v>1</v>
      </c>
      <c r="AC181" s="28">
        <f t="shared" si="71"/>
        <v>1</v>
      </c>
      <c r="AD181" s="61">
        <v>1</v>
      </c>
      <c r="AE181" s="59"/>
      <c r="AF181" s="12" t="s">
        <v>293</v>
      </c>
      <c r="AG181" s="68">
        <f>VLOOKUP(Takeoffs!AF181,Sheet1!$B$6:$C$124,2,FALSE)</f>
        <v>0</v>
      </c>
      <c r="AH181" s="68">
        <f t="shared" si="67"/>
        <v>0</v>
      </c>
      <c r="AI181" s="63">
        <f t="shared" si="68"/>
        <v>0</v>
      </c>
      <c r="AJ181" s="28">
        <f t="shared" si="69"/>
        <v>1</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1</v>
      </c>
      <c r="T182" s="11"/>
      <c r="U182" s="12" t="s">
        <v>293</v>
      </c>
      <c r="V182" s="28">
        <f t="shared" si="64"/>
        <v>1</v>
      </c>
      <c r="W182" s="28">
        <f>VLOOKUP(U182,Sheet1!$B$6:$C$45,2,FALSE)*V182</f>
        <v>0</v>
      </c>
      <c r="X182" s="59"/>
      <c r="Y182" s="12" t="s">
        <v>293</v>
      </c>
      <c r="Z182" s="68">
        <f>VLOOKUP(Takeoffs!Y182,Sheet1!$B$6:$C$124,2,FALSE)</f>
        <v>0</v>
      </c>
      <c r="AA182" s="68">
        <f t="shared" si="65"/>
        <v>0</v>
      </c>
      <c r="AB182" s="63">
        <f t="shared" si="66"/>
        <v>1</v>
      </c>
      <c r="AC182" s="28">
        <f t="shared" si="71"/>
        <v>1</v>
      </c>
      <c r="AD182" s="61">
        <v>1</v>
      </c>
      <c r="AE182" s="59"/>
      <c r="AF182" s="12" t="s">
        <v>293</v>
      </c>
      <c r="AG182" s="68">
        <f>VLOOKUP(Takeoffs!AF182,Sheet1!$B$6:$C$124,2,FALSE)</f>
        <v>0</v>
      </c>
      <c r="AH182" s="68">
        <f t="shared" si="67"/>
        <v>0</v>
      </c>
      <c r="AI182" s="63">
        <f t="shared" si="68"/>
        <v>0</v>
      </c>
      <c r="AJ182" s="28">
        <f t="shared" si="69"/>
        <v>1</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1</v>
      </c>
      <c r="T183" s="11"/>
      <c r="U183" s="12" t="s">
        <v>293</v>
      </c>
      <c r="V183" s="28">
        <f t="shared" si="64"/>
        <v>1</v>
      </c>
      <c r="W183" s="28">
        <f>VLOOKUP(U183,Sheet1!$B$6:$C$45,2,FALSE)*V183</f>
        <v>0</v>
      </c>
      <c r="X183" s="59"/>
      <c r="Y183" s="12" t="s">
        <v>293</v>
      </c>
      <c r="Z183" s="68">
        <f>VLOOKUP(Takeoffs!Y183,Sheet1!$B$6:$C$124,2,FALSE)</f>
        <v>0</v>
      </c>
      <c r="AA183" s="68">
        <f t="shared" si="65"/>
        <v>0</v>
      </c>
      <c r="AB183" s="63">
        <f t="shared" si="66"/>
        <v>1</v>
      </c>
      <c r="AC183" s="28">
        <f t="shared" si="71"/>
        <v>1</v>
      </c>
      <c r="AD183" s="61">
        <v>1</v>
      </c>
      <c r="AE183" s="59"/>
      <c r="AF183" s="12" t="s">
        <v>293</v>
      </c>
      <c r="AG183" s="68">
        <f>VLOOKUP(Takeoffs!AF183,Sheet1!$B$6:$C$124,2,FALSE)</f>
        <v>0</v>
      </c>
      <c r="AH183" s="68">
        <f t="shared" si="67"/>
        <v>0</v>
      </c>
      <c r="AI183" s="63">
        <f t="shared" si="68"/>
        <v>0</v>
      </c>
      <c r="AJ183" s="28">
        <f t="shared" si="69"/>
        <v>1</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379</v>
      </c>
      <c r="L184" s="21" t="s">
        <v>380</v>
      </c>
      <c r="N184" s="22"/>
      <c r="O184" s="23" t="s">
        <v>359</v>
      </c>
      <c r="P184" s="98">
        <f>V184+AA184+AH184</f>
        <v>1266.152</v>
      </c>
      <c r="Q184" s="65"/>
      <c r="R184" s="65"/>
      <c r="S184" s="23"/>
      <c r="T184" s="20"/>
      <c r="U184" s="19" t="s">
        <v>353</v>
      </c>
      <c r="V184" s="20">
        <f>W184*80</f>
        <v>320</v>
      </c>
      <c r="W184" s="69">
        <f>SUM(W163:W183)</f>
        <v>4</v>
      </c>
      <c r="X184" s="70"/>
      <c r="Y184" s="20" t="s">
        <v>354</v>
      </c>
      <c r="Z184" s="2"/>
      <c r="AA184" s="2">
        <f>SUM(AA163:AA183)</f>
        <v>946.15199999999993</v>
      </c>
      <c r="AB184" s="71"/>
      <c r="AC184" s="71"/>
      <c r="AD184" s="71"/>
      <c r="AE184" s="71"/>
      <c r="AF184" s="20" t="s">
        <v>358</v>
      </c>
      <c r="AG184" s="2"/>
      <c r="AH184" s="2">
        <f>SUM(AH163:AH183)</f>
        <v>0</v>
      </c>
      <c r="AI184" s="71"/>
      <c r="AJ184" s="71"/>
      <c r="AK184" s="71"/>
      <c r="AL184" s="71"/>
      <c r="AM184" s="150">
        <f>P184</f>
        <v>1266.152</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494</v>
      </c>
      <c r="C185" s="217" t="str">
        <f>N163</f>
        <v>medium-sized Form 1 MSSBs</v>
      </c>
      <c r="D185" s="260" t="str">
        <f>IF(B185="Shopping List",IF(ISNUMBER(SEARCH("MSSB",C185)),"MSSB",IF(ISNUMBER(SEARCH("local",C185)),"LOCAL","")))</f>
        <v>MSSB</v>
      </c>
      <c r="E185" s="238"/>
      <c r="F185" s="217"/>
      <c r="G185" s="217"/>
      <c r="H185" s="245"/>
      <c r="I185" s="270">
        <v>1</v>
      </c>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one (1) medium-sized Form 1 MSSBs. This includes supply and install of Main switch contactors circuit breakers busbar and wiring trefolyte labelling miscellaneous items testing inside powder coated enclosure. </v>
      </c>
      <c r="K185" s="246">
        <f>P184</f>
        <v>1266.152</v>
      </c>
      <c r="L185" s="234" t="str">
        <f>CONCATENATE(Q164,Q165,Q166,Q167,Q168,Q169,Q170,Q171,Q172,Q173,Q174,Q175,Q176,Q177,Q178,Q179,Q180,Q181,Q182,Q183,)</f>
        <v/>
      </c>
      <c r="M185" s="91" t="s">
        <v>369</v>
      </c>
      <c r="N185" s="83" t="str">
        <f>N163</f>
        <v>medium-sized Form 1 MSSBs</v>
      </c>
      <c r="O185" s="83" t="s">
        <v>367</v>
      </c>
      <c r="P185" s="64">
        <f>P184/M163</f>
        <v>1266.152</v>
      </c>
      <c r="Q185" s="84"/>
      <c r="R185" s="84"/>
      <c r="S185" s="83"/>
      <c r="T185" s="84"/>
      <c r="U185" s="327" t="s">
        <v>368</v>
      </c>
      <c r="V185" s="327"/>
      <c r="W185" s="85">
        <f>W184/M163</f>
        <v>4</v>
      </c>
      <c r="X185" s="86"/>
      <c r="Y185" s="325" t="s">
        <v>367</v>
      </c>
      <c r="Z185" s="325"/>
      <c r="AA185" s="87">
        <f>AA184/M163</f>
        <v>946.15199999999993</v>
      </c>
      <c r="AB185" s="84"/>
      <c r="AC185" s="84"/>
      <c r="AD185" s="84"/>
      <c r="AE185" s="84"/>
      <c r="AF185" s="325" t="s">
        <v>367</v>
      </c>
      <c r="AG185" s="325"/>
      <c r="AH185" s="87">
        <f>AH184/M163</f>
        <v>0</v>
      </c>
      <c r="AI185" s="84"/>
      <c r="AJ185" s="84"/>
      <c r="AK185" s="84"/>
      <c r="AL185" s="247"/>
      <c r="AM185" s="257"/>
      <c r="AN185" s="236">
        <f>K185*1.25</f>
        <v>1582.69</v>
      </c>
      <c r="AO185" s="286"/>
      <c r="AP185" s="284">
        <f t="shared" si="59"/>
        <v>1266.152</v>
      </c>
      <c r="AQ185" s="281">
        <f t="shared" si="60"/>
        <v>320</v>
      </c>
      <c r="AR185" s="284">
        <f t="shared" si="61"/>
        <v>946.15199999999993</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454</v>
      </c>
      <c r="M186" s="2" t="s">
        <v>107</v>
      </c>
      <c r="N186" s="2" t="s">
        <v>108</v>
      </c>
      <c r="O186" s="97" t="s">
        <v>388</v>
      </c>
      <c r="P186" s="326" t="s">
        <v>377</v>
      </c>
      <c r="Q186" s="326"/>
      <c r="R186" s="101" t="s">
        <v>454</v>
      </c>
      <c r="S186" s="2" t="s">
        <v>0</v>
      </c>
      <c r="T186" s="9"/>
      <c r="U186" s="2" t="s">
        <v>288</v>
      </c>
      <c r="V186" s="2" t="s">
        <v>289</v>
      </c>
      <c r="W186" s="2" t="s">
        <v>292</v>
      </c>
      <c r="X186" s="58"/>
      <c r="Y186" s="2" t="s">
        <v>290</v>
      </c>
      <c r="Z186" s="2" t="s">
        <v>356</v>
      </c>
      <c r="AA186" s="2" t="s">
        <v>357</v>
      </c>
      <c r="AB186" s="2" t="s">
        <v>319</v>
      </c>
      <c r="AC186" s="2" t="s">
        <v>320</v>
      </c>
      <c r="AD186" s="2" t="s">
        <v>318</v>
      </c>
      <c r="AE186" s="58"/>
      <c r="AF186" s="2" t="s">
        <v>294</v>
      </c>
      <c r="AG186" s="2" t="s">
        <v>356</v>
      </c>
      <c r="AH186" s="2" t="s">
        <v>357</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one</v>
      </c>
      <c r="M187" s="121">
        <f>I209</f>
        <v>1</v>
      </c>
      <c r="N187" s="27" t="s">
        <v>350</v>
      </c>
      <c r="O187" s="12" t="s">
        <v>195</v>
      </c>
      <c r="P187" s="96" t="s">
        <v>381</v>
      </c>
      <c r="Q187" s="96" t="s">
        <v>377</v>
      </c>
      <c r="R187" s="96"/>
      <c r="S187" s="28">
        <f>M187</f>
        <v>1</v>
      </c>
      <c r="T187" s="10"/>
      <c r="U187" s="73" t="s">
        <v>236</v>
      </c>
      <c r="V187" s="28">
        <f>S187</f>
        <v>1</v>
      </c>
      <c r="W187" s="28">
        <f>VLOOKUP(U187,Sheet1!$B$6:$C$45,2,FALSE)*V187</f>
        <v>4</v>
      </c>
      <c r="X187" s="59"/>
      <c r="Y187" s="12" t="s">
        <v>293</v>
      </c>
      <c r="Z187" s="68">
        <f>VLOOKUP(Takeoffs!Y187,Sheet1!$B$6:$C$124,2,FALSE)</f>
        <v>0</v>
      </c>
      <c r="AA187" s="68">
        <f>Z187*AB187</f>
        <v>0</v>
      </c>
      <c r="AB187" s="63">
        <f>AD187*AC187</f>
        <v>1</v>
      </c>
      <c r="AC187" s="28">
        <f>S187</f>
        <v>1</v>
      </c>
      <c r="AD187" s="61">
        <v>1</v>
      </c>
      <c r="AE187" s="59"/>
      <c r="AF187" s="12" t="s">
        <v>293</v>
      </c>
      <c r="AG187" s="68">
        <f>VLOOKUP(Takeoffs!AF187,Sheet1!$B$6:$C$124,2,FALSE)</f>
        <v>0</v>
      </c>
      <c r="AH187" s="68">
        <f>AG187*AI187</f>
        <v>0</v>
      </c>
      <c r="AI187" s="63">
        <f>AK187*AJ187</f>
        <v>0</v>
      </c>
      <c r="AJ187" s="28">
        <f>S187</f>
        <v>1</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400</v>
      </c>
      <c r="P188" s="12"/>
      <c r="Q188" s="12"/>
      <c r="R188" s="12"/>
      <c r="S188" s="28">
        <f>M187</f>
        <v>1</v>
      </c>
      <c r="T188" s="11"/>
      <c r="U188" s="12" t="s">
        <v>293</v>
      </c>
      <c r="V188" s="28">
        <f t="shared" ref="V188:V207" si="72">S188</f>
        <v>1</v>
      </c>
      <c r="W188" s="28">
        <f>VLOOKUP(U188,Sheet1!$B$6:$C$45,2,FALSE)*V188</f>
        <v>0</v>
      </c>
      <c r="X188" s="59"/>
      <c r="Y188" s="73" t="s">
        <v>419</v>
      </c>
      <c r="Z188" s="68">
        <f>VLOOKUP(Takeoffs!Y188,Sheet1!$B$6:$C$124,2,FALSE)</f>
        <v>586.15199999999993</v>
      </c>
      <c r="AA188" s="68">
        <f t="shared" ref="AA188:AA207" si="73">Z188*AB188</f>
        <v>586.15199999999993</v>
      </c>
      <c r="AB188" s="63">
        <f t="shared" ref="AB188:AB207" si="74">AD188*AC188</f>
        <v>1</v>
      </c>
      <c r="AC188" s="28">
        <f>S188</f>
        <v>1</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1</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401</v>
      </c>
      <c r="P189" s="12"/>
      <c r="Q189" s="12"/>
      <c r="R189" s="12"/>
      <c r="S189" s="28">
        <f>M187</f>
        <v>1</v>
      </c>
      <c r="T189" s="11"/>
      <c r="U189" s="12" t="s">
        <v>293</v>
      </c>
      <c r="V189" s="28">
        <f t="shared" si="72"/>
        <v>1</v>
      </c>
      <c r="W189" s="28">
        <f>VLOOKUP(U189,Sheet1!$B$6:$C$45,2,FALSE)*V189</f>
        <v>0</v>
      </c>
      <c r="X189" s="59"/>
      <c r="Y189" s="12" t="s">
        <v>293</v>
      </c>
      <c r="Z189" s="68">
        <f>VLOOKUP(Takeoffs!Y189,Sheet1!$B$6:$C$124,2,FALSE)</f>
        <v>0</v>
      </c>
      <c r="AA189" s="68">
        <f t="shared" si="73"/>
        <v>0</v>
      </c>
      <c r="AB189" s="63">
        <f t="shared" si="74"/>
        <v>1</v>
      </c>
      <c r="AC189" s="28">
        <f>S189</f>
        <v>1</v>
      </c>
      <c r="AD189" s="61">
        <v>1</v>
      </c>
      <c r="AE189" s="59"/>
      <c r="AF189" s="12" t="s">
        <v>293</v>
      </c>
      <c r="AG189" s="68">
        <f>VLOOKUP(Takeoffs!AF189,Sheet1!$B$6:$C$124,2,FALSE)</f>
        <v>0</v>
      </c>
      <c r="AH189" s="68">
        <f t="shared" si="75"/>
        <v>0</v>
      </c>
      <c r="AI189" s="63">
        <f t="shared" si="76"/>
        <v>0</v>
      </c>
      <c r="AJ189" s="28">
        <f t="shared" si="77"/>
        <v>1</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402</v>
      </c>
      <c r="P190" s="12"/>
      <c r="Q190" s="12"/>
      <c r="R190" s="12"/>
      <c r="S190" s="28">
        <f>M187</f>
        <v>1</v>
      </c>
      <c r="T190" s="11"/>
      <c r="U190" s="12" t="s">
        <v>293</v>
      </c>
      <c r="V190" s="28">
        <f t="shared" si="72"/>
        <v>1</v>
      </c>
      <c r="W190" s="28">
        <f>VLOOKUP(U190,Sheet1!$B$6:$C$45,2,FALSE)*V190</f>
        <v>0</v>
      </c>
      <c r="X190" s="59"/>
      <c r="Y190" s="12" t="s">
        <v>293</v>
      </c>
      <c r="Z190" s="68">
        <f>VLOOKUP(Takeoffs!Y190,Sheet1!$B$6:$C$124,2,FALSE)</f>
        <v>0</v>
      </c>
      <c r="AA190" s="68">
        <f t="shared" si="73"/>
        <v>0</v>
      </c>
      <c r="AB190" s="63">
        <f t="shared" si="74"/>
        <v>1</v>
      </c>
      <c r="AC190" s="28">
        <f t="shared" ref="AC190:AC207" si="79">S190</f>
        <v>1</v>
      </c>
      <c r="AD190" s="61">
        <v>1</v>
      </c>
      <c r="AE190" s="59"/>
      <c r="AF190" s="12" t="s">
        <v>293</v>
      </c>
      <c r="AG190" s="68">
        <f>VLOOKUP(Takeoffs!AF190,Sheet1!$B$6:$C$124,2,FALSE)</f>
        <v>0</v>
      </c>
      <c r="AH190" s="68">
        <f t="shared" si="75"/>
        <v>0</v>
      </c>
      <c r="AI190" s="63">
        <f t="shared" si="76"/>
        <v>0</v>
      </c>
      <c r="AJ190" s="28">
        <f t="shared" si="77"/>
        <v>1</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403</v>
      </c>
      <c r="P191" s="12"/>
      <c r="Q191" s="12"/>
      <c r="R191" s="12"/>
      <c r="S191" s="28">
        <f>M187</f>
        <v>1</v>
      </c>
      <c r="T191" s="11"/>
      <c r="U191" s="12" t="s">
        <v>293</v>
      </c>
      <c r="V191" s="28">
        <f t="shared" si="72"/>
        <v>1</v>
      </c>
      <c r="W191" s="28">
        <f>VLOOKUP(U191,Sheet1!$B$6:$C$45,2,FALSE)*V191</f>
        <v>0</v>
      </c>
      <c r="X191" s="59"/>
      <c r="Y191" s="12" t="s">
        <v>293</v>
      </c>
      <c r="Z191" s="68">
        <f>VLOOKUP(Takeoffs!Y191,Sheet1!$B$6:$C$124,2,FALSE)</f>
        <v>0</v>
      </c>
      <c r="AA191" s="68">
        <f t="shared" si="73"/>
        <v>0</v>
      </c>
      <c r="AB191" s="63">
        <f t="shared" si="74"/>
        <v>1</v>
      </c>
      <c r="AC191" s="28">
        <f t="shared" si="79"/>
        <v>1</v>
      </c>
      <c r="AD191" s="61">
        <v>1</v>
      </c>
      <c r="AE191" s="59"/>
      <c r="AF191" s="12" t="s">
        <v>293</v>
      </c>
      <c r="AG191" s="68">
        <f>VLOOKUP(Takeoffs!AF191,Sheet1!$B$6:$C$124,2,FALSE)</f>
        <v>0</v>
      </c>
      <c r="AH191" s="68">
        <f t="shared" si="75"/>
        <v>0</v>
      </c>
      <c r="AI191" s="63">
        <f t="shared" si="76"/>
        <v>0</v>
      </c>
      <c r="AJ191" s="28">
        <f t="shared" si="77"/>
        <v>1</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404</v>
      </c>
      <c r="P192" s="12"/>
      <c r="Q192" s="12"/>
      <c r="R192" s="12"/>
      <c r="S192" s="28">
        <f>M187</f>
        <v>1</v>
      </c>
      <c r="T192" s="11"/>
      <c r="U192" s="12" t="s">
        <v>293</v>
      </c>
      <c r="V192" s="28">
        <f t="shared" si="72"/>
        <v>1</v>
      </c>
      <c r="W192" s="28">
        <f>VLOOKUP(U192,Sheet1!$B$6:$C$45,2,FALSE)*V192</f>
        <v>0</v>
      </c>
      <c r="X192" s="59"/>
      <c r="Y192" s="12" t="s">
        <v>274</v>
      </c>
      <c r="Z192" s="68">
        <f>VLOOKUP(Takeoffs!Y192,Sheet1!$B$6:$C$124,2,FALSE)</f>
        <v>360</v>
      </c>
      <c r="AA192" s="68">
        <f t="shared" si="73"/>
        <v>360</v>
      </c>
      <c r="AB192" s="63">
        <f t="shared" si="74"/>
        <v>1</v>
      </c>
      <c r="AC192" s="28">
        <f t="shared" si="79"/>
        <v>1</v>
      </c>
      <c r="AD192" s="61">
        <v>1</v>
      </c>
      <c r="AE192" s="59"/>
      <c r="AF192" s="12" t="s">
        <v>293</v>
      </c>
      <c r="AG192" s="68">
        <f>VLOOKUP(Takeoffs!AF192,Sheet1!$B$6:$C$124,2,FALSE)</f>
        <v>0</v>
      </c>
      <c r="AH192" s="68">
        <f t="shared" si="75"/>
        <v>0</v>
      </c>
      <c r="AI192" s="63">
        <f t="shared" si="76"/>
        <v>0</v>
      </c>
      <c r="AJ192" s="28">
        <f t="shared" si="77"/>
        <v>1</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405</v>
      </c>
      <c r="P193" s="12"/>
      <c r="Q193" s="12"/>
      <c r="R193" s="12"/>
      <c r="S193" s="28">
        <f>M187</f>
        <v>1</v>
      </c>
      <c r="T193" s="11"/>
      <c r="U193" s="12" t="s">
        <v>293</v>
      </c>
      <c r="V193" s="28">
        <f t="shared" si="72"/>
        <v>1</v>
      </c>
      <c r="W193" s="28">
        <f>VLOOKUP(U193,Sheet1!$B$6:$C$45,2,FALSE)*V193</f>
        <v>0</v>
      </c>
      <c r="X193" s="59"/>
      <c r="Y193" s="12" t="s">
        <v>293</v>
      </c>
      <c r="Z193" s="68">
        <f>VLOOKUP(Takeoffs!Y193,Sheet1!$B$6:$C$124,2,FALSE)</f>
        <v>0</v>
      </c>
      <c r="AA193" s="68">
        <f t="shared" si="73"/>
        <v>0</v>
      </c>
      <c r="AB193" s="63">
        <f t="shared" si="74"/>
        <v>1</v>
      </c>
      <c r="AC193" s="28">
        <f t="shared" si="79"/>
        <v>1</v>
      </c>
      <c r="AD193" s="61">
        <v>1</v>
      </c>
      <c r="AE193" s="59"/>
      <c r="AF193" s="12" t="s">
        <v>293</v>
      </c>
      <c r="AG193" s="68">
        <f>VLOOKUP(Takeoffs!AF193,Sheet1!$B$6:$C$124,2,FALSE)</f>
        <v>0</v>
      </c>
      <c r="AH193" s="68">
        <f t="shared" si="75"/>
        <v>0</v>
      </c>
      <c r="AI193" s="63">
        <f t="shared" si="76"/>
        <v>0</v>
      </c>
      <c r="AJ193" s="28">
        <f t="shared" si="77"/>
        <v>1</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406</v>
      </c>
      <c r="P194" s="12"/>
      <c r="Q194" s="12"/>
      <c r="R194" s="12"/>
      <c r="S194" s="28">
        <f>M187</f>
        <v>1</v>
      </c>
      <c r="T194" s="11"/>
      <c r="U194" s="12" t="s">
        <v>293</v>
      </c>
      <c r="V194" s="28">
        <f t="shared" si="72"/>
        <v>1</v>
      </c>
      <c r="W194" s="28">
        <f>VLOOKUP(U194,Sheet1!$B$6:$C$45,2,FALSE)*V194</f>
        <v>0</v>
      </c>
      <c r="X194" s="59"/>
      <c r="Y194" s="12" t="s">
        <v>293</v>
      </c>
      <c r="Z194" s="68">
        <f>VLOOKUP(Takeoffs!Y194,Sheet1!$B$6:$C$124,2,FALSE)</f>
        <v>0</v>
      </c>
      <c r="AA194" s="68">
        <f t="shared" si="73"/>
        <v>0</v>
      </c>
      <c r="AB194" s="63">
        <f t="shared" si="74"/>
        <v>1</v>
      </c>
      <c r="AC194" s="28">
        <f t="shared" si="79"/>
        <v>1</v>
      </c>
      <c r="AD194" s="61">
        <v>1</v>
      </c>
      <c r="AE194" s="59"/>
      <c r="AF194" s="12" t="s">
        <v>293</v>
      </c>
      <c r="AG194" s="68">
        <f>VLOOKUP(Takeoffs!AF194,Sheet1!$B$6:$C$124,2,FALSE)</f>
        <v>0</v>
      </c>
      <c r="AH194" s="68">
        <f t="shared" si="75"/>
        <v>0</v>
      </c>
      <c r="AI194" s="63">
        <f t="shared" si="76"/>
        <v>0</v>
      </c>
      <c r="AJ194" s="28">
        <f t="shared" si="77"/>
        <v>1</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442</v>
      </c>
      <c r="P195" s="12"/>
      <c r="Q195" s="12"/>
      <c r="R195" s="12"/>
      <c r="S195" s="28">
        <f>M187</f>
        <v>1</v>
      </c>
      <c r="T195" s="11"/>
      <c r="U195" s="12" t="s">
        <v>293</v>
      </c>
      <c r="V195" s="28">
        <f t="shared" si="72"/>
        <v>1</v>
      </c>
      <c r="W195" s="28">
        <f>VLOOKUP(U195,Sheet1!$B$6:$C$45,2,FALSE)*V195</f>
        <v>0</v>
      </c>
      <c r="X195" s="59"/>
      <c r="Y195" s="12" t="s">
        <v>293</v>
      </c>
      <c r="Z195" s="68">
        <f>VLOOKUP(Takeoffs!Y195,Sheet1!$B$6:$C$124,2,FALSE)</f>
        <v>0</v>
      </c>
      <c r="AA195" s="68">
        <f t="shared" si="73"/>
        <v>0</v>
      </c>
      <c r="AB195" s="63">
        <f t="shared" si="74"/>
        <v>1</v>
      </c>
      <c r="AC195" s="28">
        <f t="shared" si="79"/>
        <v>1</v>
      </c>
      <c r="AD195" s="61">
        <v>1</v>
      </c>
      <c r="AE195" s="59"/>
      <c r="AF195" s="12" t="s">
        <v>293</v>
      </c>
      <c r="AG195" s="68">
        <f>VLOOKUP(Takeoffs!AF195,Sheet1!$B$6:$C$124,2,FALSE)</f>
        <v>0</v>
      </c>
      <c r="AH195" s="68">
        <f t="shared" si="75"/>
        <v>0</v>
      </c>
      <c r="AI195" s="63">
        <f t="shared" si="76"/>
        <v>0</v>
      </c>
      <c r="AJ195" s="28">
        <f t="shared" si="77"/>
        <v>1</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1</v>
      </c>
      <c r="T196" s="11"/>
      <c r="U196" s="12" t="s">
        <v>293</v>
      </c>
      <c r="V196" s="28">
        <f t="shared" si="72"/>
        <v>1</v>
      </c>
      <c r="W196" s="28">
        <f>VLOOKUP(U196,Sheet1!$B$6:$C$45,2,FALSE)*V196</f>
        <v>0</v>
      </c>
      <c r="X196" s="59"/>
      <c r="Y196" s="12" t="s">
        <v>293</v>
      </c>
      <c r="Z196" s="68">
        <f>VLOOKUP(Takeoffs!Y196,Sheet1!$B$6:$C$124,2,FALSE)</f>
        <v>0</v>
      </c>
      <c r="AA196" s="68">
        <f t="shared" si="73"/>
        <v>0</v>
      </c>
      <c r="AB196" s="63">
        <f t="shared" si="74"/>
        <v>1</v>
      </c>
      <c r="AC196" s="28">
        <f t="shared" si="79"/>
        <v>1</v>
      </c>
      <c r="AD196" s="61">
        <v>1</v>
      </c>
      <c r="AE196" s="59"/>
      <c r="AF196" s="12" t="s">
        <v>293</v>
      </c>
      <c r="AG196" s="68">
        <f>VLOOKUP(Takeoffs!AF196,Sheet1!$B$6:$C$124,2,FALSE)</f>
        <v>0</v>
      </c>
      <c r="AH196" s="68">
        <f t="shared" si="75"/>
        <v>0</v>
      </c>
      <c r="AI196" s="63">
        <f t="shared" si="76"/>
        <v>0</v>
      </c>
      <c r="AJ196" s="28">
        <f t="shared" si="77"/>
        <v>1</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1</v>
      </c>
      <c r="T197" s="11"/>
      <c r="U197" s="12" t="s">
        <v>293</v>
      </c>
      <c r="V197" s="28">
        <f t="shared" si="72"/>
        <v>1</v>
      </c>
      <c r="W197" s="28">
        <f>VLOOKUP(U197,Sheet1!$B$6:$C$45,2,FALSE)*V197</f>
        <v>0</v>
      </c>
      <c r="X197" s="59"/>
      <c r="Y197" s="12" t="s">
        <v>293</v>
      </c>
      <c r="Z197" s="68">
        <f>VLOOKUP(Takeoffs!Y197,Sheet1!$B$6:$C$124,2,FALSE)</f>
        <v>0</v>
      </c>
      <c r="AA197" s="68">
        <f t="shared" si="73"/>
        <v>0</v>
      </c>
      <c r="AB197" s="63">
        <f t="shared" si="74"/>
        <v>1</v>
      </c>
      <c r="AC197" s="28">
        <f t="shared" si="79"/>
        <v>1</v>
      </c>
      <c r="AD197" s="61">
        <v>1</v>
      </c>
      <c r="AE197" s="59"/>
      <c r="AF197" s="12" t="s">
        <v>293</v>
      </c>
      <c r="AG197" s="68">
        <f>VLOOKUP(Takeoffs!AF197,Sheet1!$B$6:$C$124,2,FALSE)</f>
        <v>0</v>
      </c>
      <c r="AH197" s="68">
        <f t="shared" si="75"/>
        <v>0</v>
      </c>
      <c r="AI197" s="63">
        <f t="shared" si="76"/>
        <v>0</v>
      </c>
      <c r="AJ197" s="28">
        <f t="shared" si="77"/>
        <v>1</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1</v>
      </c>
      <c r="T198" s="11"/>
      <c r="U198" s="12" t="s">
        <v>293</v>
      </c>
      <c r="V198" s="28">
        <f t="shared" si="72"/>
        <v>1</v>
      </c>
      <c r="W198" s="28">
        <f>VLOOKUP(U198,Sheet1!$B$6:$C$45,2,FALSE)*V198</f>
        <v>0</v>
      </c>
      <c r="X198" s="59"/>
      <c r="Y198" s="12" t="s">
        <v>293</v>
      </c>
      <c r="Z198" s="68">
        <f>VLOOKUP(Takeoffs!Y198,Sheet1!$B$6:$C$124,2,FALSE)</f>
        <v>0</v>
      </c>
      <c r="AA198" s="68">
        <f t="shared" si="73"/>
        <v>0</v>
      </c>
      <c r="AB198" s="63">
        <f t="shared" si="74"/>
        <v>1</v>
      </c>
      <c r="AC198" s="28">
        <f t="shared" si="79"/>
        <v>1</v>
      </c>
      <c r="AD198" s="61">
        <v>1</v>
      </c>
      <c r="AE198" s="59"/>
      <c r="AF198" s="12" t="s">
        <v>293</v>
      </c>
      <c r="AG198" s="68">
        <f>VLOOKUP(Takeoffs!AF198,Sheet1!$B$6:$C$124,2,FALSE)</f>
        <v>0</v>
      </c>
      <c r="AH198" s="68">
        <f t="shared" si="75"/>
        <v>0</v>
      </c>
      <c r="AI198" s="63">
        <f t="shared" si="76"/>
        <v>0</v>
      </c>
      <c r="AJ198" s="28">
        <f t="shared" si="77"/>
        <v>1</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1</v>
      </c>
      <c r="T199" s="11"/>
      <c r="U199" s="12" t="s">
        <v>293</v>
      </c>
      <c r="V199" s="28">
        <f t="shared" si="72"/>
        <v>1</v>
      </c>
      <c r="W199" s="28">
        <f>VLOOKUP(U199,Sheet1!$B$6:$C$45,2,FALSE)*V199</f>
        <v>0</v>
      </c>
      <c r="X199" s="59"/>
      <c r="Y199" s="12" t="s">
        <v>293</v>
      </c>
      <c r="Z199" s="68">
        <f>VLOOKUP(Takeoffs!Y199,Sheet1!$B$6:$C$124,2,FALSE)</f>
        <v>0</v>
      </c>
      <c r="AA199" s="68">
        <f t="shared" si="73"/>
        <v>0</v>
      </c>
      <c r="AB199" s="63">
        <f t="shared" si="74"/>
        <v>1</v>
      </c>
      <c r="AC199" s="28">
        <f t="shared" si="79"/>
        <v>1</v>
      </c>
      <c r="AD199" s="61">
        <v>1</v>
      </c>
      <c r="AE199" s="59"/>
      <c r="AF199" s="12" t="s">
        <v>293</v>
      </c>
      <c r="AG199" s="68">
        <f>VLOOKUP(Takeoffs!AF199,Sheet1!$B$6:$C$124,2,FALSE)</f>
        <v>0</v>
      </c>
      <c r="AH199" s="68">
        <f t="shared" si="75"/>
        <v>0</v>
      </c>
      <c r="AI199" s="63">
        <f t="shared" si="76"/>
        <v>0</v>
      </c>
      <c r="AJ199" s="28">
        <f t="shared" si="77"/>
        <v>1</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1</v>
      </c>
      <c r="T200" s="11"/>
      <c r="U200" s="12" t="s">
        <v>293</v>
      </c>
      <c r="V200" s="28">
        <f t="shared" si="72"/>
        <v>1</v>
      </c>
      <c r="W200" s="28">
        <f>VLOOKUP(U200,Sheet1!$B$6:$C$45,2,FALSE)*V200</f>
        <v>0</v>
      </c>
      <c r="X200" s="59"/>
      <c r="Y200" s="12" t="s">
        <v>293</v>
      </c>
      <c r="Z200" s="68">
        <f>VLOOKUP(Takeoffs!Y200,Sheet1!$B$6:$C$124,2,FALSE)</f>
        <v>0</v>
      </c>
      <c r="AA200" s="68">
        <f t="shared" si="73"/>
        <v>0</v>
      </c>
      <c r="AB200" s="63">
        <f t="shared" si="74"/>
        <v>1</v>
      </c>
      <c r="AC200" s="28">
        <f t="shared" si="79"/>
        <v>1</v>
      </c>
      <c r="AD200" s="61">
        <v>1</v>
      </c>
      <c r="AE200" s="59"/>
      <c r="AF200" s="12" t="s">
        <v>293</v>
      </c>
      <c r="AG200" s="68">
        <f>VLOOKUP(Takeoffs!AF200,Sheet1!$B$6:$C$124,2,FALSE)</f>
        <v>0</v>
      </c>
      <c r="AH200" s="68">
        <f t="shared" si="75"/>
        <v>0</v>
      </c>
      <c r="AI200" s="63">
        <f t="shared" si="76"/>
        <v>0</v>
      </c>
      <c r="AJ200" s="28">
        <f t="shared" si="77"/>
        <v>1</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1</v>
      </c>
      <c r="T201" s="11"/>
      <c r="U201" s="12" t="s">
        <v>293</v>
      </c>
      <c r="V201" s="28">
        <f t="shared" si="72"/>
        <v>1</v>
      </c>
      <c r="W201" s="28">
        <f>VLOOKUP(U201,Sheet1!$B$6:$C$45,2,FALSE)*V201</f>
        <v>0</v>
      </c>
      <c r="X201" s="59"/>
      <c r="Y201" s="12" t="s">
        <v>293</v>
      </c>
      <c r="Z201" s="68">
        <f>VLOOKUP(Takeoffs!Y201,Sheet1!$B$6:$C$124,2,FALSE)</f>
        <v>0</v>
      </c>
      <c r="AA201" s="68">
        <f t="shared" si="73"/>
        <v>0</v>
      </c>
      <c r="AB201" s="63">
        <f t="shared" si="74"/>
        <v>1</v>
      </c>
      <c r="AC201" s="28">
        <f t="shared" si="79"/>
        <v>1</v>
      </c>
      <c r="AD201" s="61">
        <v>1</v>
      </c>
      <c r="AE201" s="59"/>
      <c r="AF201" s="12" t="s">
        <v>293</v>
      </c>
      <c r="AG201" s="68">
        <f>VLOOKUP(Takeoffs!AF201,Sheet1!$B$6:$C$124,2,FALSE)</f>
        <v>0</v>
      </c>
      <c r="AH201" s="68">
        <f t="shared" si="75"/>
        <v>0</v>
      </c>
      <c r="AI201" s="63">
        <f t="shared" si="76"/>
        <v>0</v>
      </c>
      <c r="AJ201" s="28">
        <f t="shared" si="77"/>
        <v>1</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1</v>
      </c>
      <c r="T202" s="11"/>
      <c r="U202" s="12" t="s">
        <v>293</v>
      </c>
      <c r="V202" s="28">
        <f t="shared" si="72"/>
        <v>1</v>
      </c>
      <c r="W202" s="28">
        <f>VLOOKUP(U202,Sheet1!$B$6:$C$45,2,FALSE)*V202</f>
        <v>0</v>
      </c>
      <c r="X202" s="59"/>
      <c r="Y202" s="12" t="s">
        <v>293</v>
      </c>
      <c r="Z202" s="68">
        <f>VLOOKUP(Takeoffs!Y202,Sheet1!$B$6:$C$124,2,FALSE)</f>
        <v>0</v>
      </c>
      <c r="AA202" s="68">
        <f t="shared" si="73"/>
        <v>0</v>
      </c>
      <c r="AB202" s="63">
        <f t="shared" si="74"/>
        <v>2</v>
      </c>
      <c r="AC202" s="28">
        <f t="shared" si="79"/>
        <v>1</v>
      </c>
      <c r="AD202" s="61">
        <v>2</v>
      </c>
      <c r="AE202" s="59"/>
      <c r="AF202" s="12" t="s">
        <v>293</v>
      </c>
      <c r="AG202" s="68">
        <f>VLOOKUP(Takeoffs!AF202,Sheet1!$B$6:$C$124,2,FALSE)</f>
        <v>0</v>
      </c>
      <c r="AH202" s="68">
        <f t="shared" si="75"/>
        <v>0</v>
      </c>
      <c r="AI202" s="63">
        <f t="shared" si="76"/>
        <v>0</v>
      </c>
      <c r="AJ202" s="28">
        <f t="shared" si="77"/>
        <v>1</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1</v>
      </c>
      <c r="T203" s="11"/>
      <c r="U203" s="12" t="s">
        <v>293</v>
      </c>
      <c r="V203" s="28">
        <f t="shared" si="72"/>
        <v>1</v>
      </c>
      <c r="W203" s="28">
        <f>VLOOKUP(U203,Sheet1!$B$6:$C$45,2,FALSE)*V203</f>
        <v>0</v>
      </c>
      <c r="X203" s="59"/>
      <c r="Y203" s="12" t="s">
        <v>293</v>
      </c>
      <c r="Z203" s="68">
        <f>VLOOKUP(Takeoffs!Y203,Sheet1!$B$6:$C$124,2,FALSE)</f>
        <v>0</v>
      </c>
      <c r="AA203" s="68">
        <f t="shared" si="73"/>
        <v>0</v>
      </c>
      <c r="AB203" s="63">
        <f t="shared" si="74"/>
        <v>1</v>
      </c>
      <c r="AC203" s="28">
        <f t="shared" si="79"/>
        <v>1</v>
      </c>
      <c r="AD203" s="61">
        <v>1</v>
      </c>
      <c r="AE203" s="59"/>
      <c r="AF203" s="12" t="s">
        <v>293</v>
      </c>
      <c r="AG203" s="68">
        <f>VLOOKUP(Takeoffs!AF203,Sheet1!$B$6:$C$124,2,FALSE)</f>
        <v>0</v>
      </c>
      <c r="AH203" s="68">
        <f t="shared" si="75"/>
        <v>0</v>
      </c>
      <c r="AI203" s="63">
        <f t="shared" si="76"/>
        <v>0</v>
      </c>
      <c r="AJ203" s="28">
        <f t="shared" si="77"/>
        <v>1</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1</v>
      </c>
      <c r="T204" s="11"/>
      <c r="U204" s="12" t="s">
        <v>293</v>
      </c>
      <c r="V204" s="28">
        <f t="shared" si="72"/>
        <v>1</v>
      </c>
      <c r="W204" s="28">
        <f>VLOOKUP(U204,Sheet1!$B$6:$C$45,2,FALSE)*V204</f>
        <v>0</v>
      </c>
      <c r="X204" s="59"/>
      <c r="Y204" s="12" t="s">
        <v>293</v>
      </c>
      <c r="Z204" s="68">
        <f>VLOOKUP(Takeoffs!Y204,Sheet1!$B$6:$C$124,2,FALSE)</f>
        <v>0</v>
      </c>
      <c r="AA204" s="68">
        <f t="shared" si="73"/>
        <v>0</v>
      </c>
      <c r="AB204" s="63">
        <f t="shared" si="74"/>
        <v>1</v>
      </c>
      <c r="AC204" s="28">
        <f t="shared" si="79"/>
        <v>1</v>
      </c>
      <c r="AD204" s="61">
        <v>1</v>
      </c>
      <c r="AE204" s="59"/>
      <c r="AF204" s="12" t="s">
        <v>293</v>
      </c>
      <c r="AG204" s="68">
        <f>VLOOKUP(Takeoffs!AF204,Sheet1!$B$6:$C$124,2,FALSE)</f>
        <v>0</v>
      </c>
      <c r="AH204" s="68">
        <f t="shared" si="75"/>
        <v>0</v>
      </c>
      <c r="AI204" s="63">
        <f t="shared" si="76"/>
        <v>0</v>
      </c>
      <c r="AJ204" s="28">
        <f t="shared" si="77"/>
        <v>1</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1</v>
      </c>
      <c r="T205" s="11"/>
      <c r="U205" s="12" t="s">
        <v>293</v>
      </c>
      <c r="V205" s="28">
        <f t="shared" si="72"/>
        <v>1</v>
      </c>
      <c r="W205" s="28">
        <f>VLOOKUP(U205,Sheet1!$B$6:$C$45,2,FALSE)*V205</f>
        <v>0</v>
      </c>
      <c r="X205" s="59"/>
      <c r="Y205" s="12" t="s">
        <v>293</v>
      </c>
      <c r="Z205" s="68">
        <f>VLOOKUP(Takeoffs!Y205,Sheet1!$B$6:$C$124,2,FALSE)</f>
        <v>0</v>
      </c>
      <c r="AA205" s="68">
        <f t="shared" si="73"/>
        <v>0</v>
      </c>
      <c r="AB205" s="63">
        <f t="shared" si="74"/>
        <v>1</v>
      </c>
      <c r="AC205" s="28">
        <f t="shared" si="79"/>
        <v>1</v>
      </c>
      <c r="AD205" s="61">
        <v>1</v>
      </c>
      <c r="AE205" s="59"/>
      <c r="AF205" s="12" t="s">
        <v>293</v>
      </c>
      <c r="AG205" s="68">
        <f>VLOOKUP(Takeoffs!AF205,Sheet1!$B$6:$C$124,2,FALSE)</f>
        <v>0</v>
      </c>
      <c r="AH205" s="68">
        <f t="shared" si="75"/>
        <v>0</v>
      </c>
      <c r="AI205" s="63">
        <f t="shared" si="76"/>
        <v>0</v>
      </c>
      <c r="AJ205" s="28">
        <f t="shared" si="77"/>
        <v>1</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1</v>
      </c>
      <c r="T206" s="11"/>
      <c r="U206" s="12" t="s">
        <v>293</v>
      </c>
      <c r="V206" s="28">
        <f t="shared" si="72"/>
        <v>1</v>
      </c>
      <c r="W206" s="28">
        <f>VLOOKUP(U206,Sheet1!$B$6:$C$45,2,FALSE)*V206</f>
        <v>0</v>
      </c>
      <c r="X206" s="59"/>
      <c r="Y206" s="12" t="s">
        <v>293</v>
      </c>
      <c r="Z206" s="68">
        <f>VLOOKUP(Takeoffs!Y206,Sheet1!$B$6:$C$124,2,FALSE)</f>
        <v>0</v>
      </c>
      <c r="AA206" s="68">
        <f t="shared" si="73"/>
        <v>0</v>
      </c>
      <c r="AB206" s="63">
        <f t="shared" si="74"/>
        <v>1</v>
      </c>
      <c r="AC206" s="28">
        <f t="shared" si="79"/>
        <v>1</v>
      </c>
      <c r="AD206" s="61">
        <v>1</v>
      </c>
      <c r="AE206" s="59"/>
      <c r="AF206" s="12" t="s">
        <v>293</v>
      </c>
      <c r="AG206" s="68">
        <f>VLOOKUP(Takeoffs!AF206,Sheet1!$B$6:$C$124,2,FALSE)</f>
        <v>0</v>
      </c>
      <c r="AH206" s="68">
        <f t="shared" si="75"/>
        <v>0</v>
      </c>
      <c r="AI206" s="63">
        <f t="shared" si="76"/>
        <v>0</v>
      </c>
      <c r="AJ206" s="28">
        <f t="shared" si="77"/>
        <v>1</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1</v>
      </c>
      <c r="T207" s="11"/>
      <c r="U207" s="12" t="s">
        <v>293</v>
      </c>
      <c r="V207" s="28">
        <f t="shared" si="72"/>
        <v>1</v>
      </c>
      <c r="W207" s="28">
        <f>VLOOKUP(U207,Sheet1!$B$6:$C$45,2,FALSE)*V207</f>
        <v>0</v>
      </c>
      <c r="X207" s="59"/>
      <c r="Y207" s="12" t="s">
        <v>293</v>
      </c>
      <c r="Z207" s="68">
        <f>VLOOKUP(Takeoffs!Y207,Sheet1!$B$6:$C$124,2,FALSE)</f>
        <v>0</v>
      </c>
      <c r="AA207" s="68">
        <f t="shared" si="73"/>
        <v>0</v>
      </c>
      <c r="AB207" s="63">
        <f t="shared" si="74"/>
        <v>1</v>
      </c>
      <c r="AC207" s="28">
        <f t="shared" si="79"/>
        <v>1</v>
      </c>
      <c r="AD207" s="61">
        <v>1</v>
      </c>
      <c r="AE207" s="59"/>
      <c r="AF207" s="12" t="s">
        <v>293</v>
      </c>
      <c r="AG207" s="68">
        <f>VLOOKUP(Takeoffs!AF207,Sheet1!$B$6:$C$124,2,FALSE)</f>
        <v>0</v>
      </c>
      <c r="AH207" s="68">
        <f t="shared" si="75"/>
        <v>0</v>
      </c>
      <c r="AI207" s="63">
        <f t="shared" si="76"/>
        <v>0</v>
      </c>
      <c r="AJ207" s="28">
        <f t="shared" si="77"/>
        <v>1</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379</v>
      </c>
      <c r="L208" s="21" t="s">
        <v>380</v>
      </c>
      <c r="N208" s="22"/>
      <c r="O208" s="23" t="s">
        <v>359</v>
      </c>
      <c r="P208" s="98">
        <f>V208+AA208+AH208</f>
        <v>1266.152</v>
      </c>
      <c r="Q208" s="65"/>
      <c r="R208" s="65"/>
      <c r="S208" s="23"/>
      <c r="T208" s="20"/>
      <c r="U208" s="19" t="s">
        <v>353</v>
      </c>
      <c r="V208" s="20">
        <f>W208*80</f>
        <v>320</v>
      </c>
      <c r="W208" s="69">
        <f>SUM(W187:W207)</f>
        <v>4</v>
      </c>
      <c r="X208" s="70"/>
      <c r="Y208" s="20" t="s">
        <v>354</v>
      </c>
      <c r="Z208" s="2"/>
      <c r="AA208" s="2">
        <f>SUM(AA187:AA207)</f>
        <v>946.15199999999993</v>
      </c>
      <c r="AB208" s="71"/>
      <c r="AC208" s="71"/>
      <c r="AD208" s="71"/>
      <c r="AE208" s="71"/>
      <c r="AF208" s="20" t="s">
        <v>358</v>
      </c>
      <c r="AG208" s="2"/>
      <c r="AH208" s="2">
        <f>SUM(AH187:AH207)</f>
        <v>0</v>
      </c>
      <c r="AI208" s="71"/>
      <c r="AJ208" s="71"/>
      <c r="AK208" s="71"/>
      <c r="AL208" s="71"/>
      <c r="AM208" s="150">
        <f>P208</f>
        <v>1266.152</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494</v>
      </c>
      <c r="C209" s="217" t="str">
        <f>N187</f>
        <v>small MSSBs</v>
      </c>
      <c r="D209" s="260" t="str">
        <f>IF(B209="Shopping List",IF(ISNUMBER(SEARCH("MSSB",C209)),"MSSB",IF(ISNUMBER(SEARCH("local",C209)),"LOCAL","")))</f>
        <v>MSSB</v>
      </c>
      <c r="E209" s="238"/>
      <c r="F209" s="217"/>
      <c r="G209" s="217"/>
      <c r="H209" s="245"/>
      <c r="I209" s="270">
        <v>1</v>
      </c>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one (1) small MSSBs. This includes supply and install of Main switch contactors circuit breakers busbar and wiring trefolyte labelling miscellaneous items testing inside powder coated enclosure. </v>
      </c>
      <c r="K209" s="246">
        <f>P208</f>
        <v>1266.152</v>
      </c>
      <c r="L209" s="234" t="str">
        <f>CONCATENATE(Q188,Q189,Q190,Q191,Q192,Q193,Q194,Q195,Q196,Q197,Q198,Q199,Q200,Q201,Q202,Q203,Q204,Q205,Q206,Q207,)</f>
        <v/>
      </c>
      <c r="M209" s="91" t="s">
        <v>369</v>
      </c>
      <c r="N209" s="83" t="str">
        <f>N187</f>
        <v>small MSSBs</v>
      </c>
      <c r="O209" s="83" t="s">
        <v>367</v>
      </c>
      <c r="P209" s="84">
        <f>P208/M187</f>
        <v>1266.152</v>
      </c>
      <c r="Q209" s="84"/>
      <c r="R209" s="84"/>
      <c r="S209" s="83"/>
      <c r="T209" s="84"/>
      <c r="U209" s="327" t="s">
        <v>368</v>
      </c>
      <c r="V209" s="327"/>
      <c r="W209" s="85">
        <f>W208/M187</f>
        <v>4</v>
      </c>
      <c r="X209" s="86"/>
      <c r="Y209" s="325" t="s">
        <v>367</v>
      </c>
      <c r="Z209" s="325"/>
      <c r="AA209" s="87">
        <f>AA208/M187</f>
        <v>946.15199999999993</v>
      </c>
      <c r="AB209" s="84"/>
      <c r="AC209" s="84"/>
      <c r="AD209" s="84"/>
      <c r="AE209" s="84"/>
      <c r="AF209" s="325" t="s">
        <v>367</v>
      </c>
      <c r="AG209" s="325"/>
      <c r="AH209" s="87">
        <f>AH208/M187</f>
        <v>0</v>
      </c>
      <c r="AI209" s="84"/>
      <c r="AJ209" s="84"/>
      <c r="AK209" s="84"/>
      <c r="AL209" s="247"/>
      <c r="AM209" s="257"/>
      <c r="AN209" s="236">
        <f>K209*1.25</f>
        <v>1582.69</v>
      </c>
      <c r="AO209" s="286"/>
      <c r="AP209" s="284">
        <f t="shared" si="59"/>
        <v>1266.152</v>
      </c>
      <c r="AQ209" s="281">
        <f t="shared" si="60"/>
        <v>320</v>
      </c>
      <c r="AR209" s="284">
        <f t="shared" si="61"/>
        <v>946.15199999999993</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494</v>
      </c>
      <c r="I210" s="269">
        <f>SUM(I234:I954)</f>
        <v>31</v>
      </c>
      <c r="J210" s="261" t="s">
        <v>496</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454</v>
      </c>
      <c r="M211" s="2" t="s">
        <v>107</v>
      </c>
      <c r="N211" s="2" t="s">
        <v>108</v>
      </c>
      <c r="O211" s="97" t="s">
        <v>388</v>
      </c>
      <c r="P211" s="328" t="s">
        <v>377</v>
      </c>
      <c r="Q211" s="328"/>
      <c r="R211" s="101" t="s">
        <v>454</v>
      </c>
      <c r="S211" s="2" t="s">
        <v>0</v>
      </c>
      <c r="T211" s="9"/>
      <c r="U211" s="2" t="s">
        <v>288</v>
      </c>
      <c r="V211" s="2" t="s">
        <v>289</v>
      </c>
      <c r="W211" s="2" t="s">
        <v>292</v>
      </c>
      <c r="X211" s="58"/>
      <c r="Y211" s="2" t="s">
        <v>290</v>
      </c>
      <c r="Z211" s="2" t="s">
        <v>356</v>
      </c>
      <c r="AA211" s="2" t="s">
        <v>357</v>
      </c>
      <c r="AB211" s="2" t="s">
        <v>319</v>
      </c>
      <c r="AC211" s="2" t="s">
        <v>320</v>
      </c>
      <c r="AD211" s="2" t="s">
        <v>318</v>
      </c>
      <c r="AE211" s="58"/>
      <c r="AF211" s="2" t="s">
        <v>294</v>
      </c>
      <c r="AG211" s="2" t="s">
        <v>356</v>
      </c>
      <c r="AH211" s="2" t="s">
        <v>357</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one</v>
      </c>
      <c r="M212" s="121">
        <f>I234</f>
        <v>1</v>
      </c>
      <c r="N212" s="27" t="s">
        <v>346</v>
      </c>
      <c r="O212" s="12" t="s">
        <v>349</v>
      </c>
      <c r="P212" s="96" t="s">
        <v>381</v>
      </c>
      <c r="Q212" s="96" t="s">
        <v>377</v>
      </c>
      <c r="R212" s="96"/>
      <c r="S212" s="28">
        <f>M212</f>
        <v>1</v>
      </c>
      <c r="T212" s="10"/>
      <c r="U212" s="12" t="s">
        <v>293</v>
      </c>
      <c r="V212" s="28">
        <f>S212</f>
        <v>1</v>
      </c>
      <c r="W212" s="28">
        <f>VLOOKUP(U212,Sheet1!$B$6:$C$45,2,FALSE)*V212</f>
        <v>0</v>
      </c>
      <c r="X212" s="59"/>
      <c r="Y212" s="12" t="s">
        <v>293</v>
      </c>
      <c r="Z212" s="68">
        <f>VLOOKUP(Takeoffs!Y212,Sheet1!$B$6:$C$124,2,FALSE)</f>
        <v>0</v>
      </c>
      <c r="AA212" s="68">
        <f>Z212*AB212</f>
        <v>0</v>
      </c>
      <c r="AB212" s="63">
        <f>AD212*AC212</f>
        <v>1</v>
      </c>
      <c r="AC212" s="28">
        <f>S212</f>
        <v>1</v>
      </c>
      <c r="AD212" s="61">
        <v>1</v>
      </c>
      <c r="AE212" s="59"/>
      <c r="AF212" s="12" t="s">
        <v>293</v>
      </c>
      <c r="AG212" s="68">
        <f>VLOOKUP(Takeoffs!AF212,Sheet1!$B$6:$C$124,2,FALSE)</f>
        <v>0</v>
      </c>
      <c r="AH212" s="68">
        <f>AG212*AI212</f>
        <v>0</v>
      </c>
      <c r="AI212" s="63">
        <f>AK212*AJ212</f>
        <v>0</v>
      </c>
      <c r="AJ212" s="28">
        <f>S212</f>
        <v>1</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342</v>
      </c>
      <c r="P213" s="12"/>
      <c r="Q213" s="66"/>
      <c r="R213" s="12"/>
      <c r="S213" s="28">
        <f>M212</f>
        <v>1</v>
      </c>
      <c r="T213" s="11"/>
      <c r="U213" s="12" t="s">
        <v>233</v>
      </c>
      <c r="V213" s="28">
        <f t="shared" ref="V213:V232" si="85">S213</f>
        <v>1</v>
      </c>
      <c r="W213" s="28">
        <f>VLOOKUP(U213,Sheet1!$B$6:$C$45,2,FALSE)*V213</f>
        <v>1</v>
      </c>
      <c r="X213" s="59"/>
      <c r="Y213" s="12" t="s">
        <v>293</v>
      </c>
      <c r="Z213" s="68">
        <f>VLOOKUP(Takeoffs!Y213,Sheet1!$B$6:$C$124,2,FALSE)</f>
        <v>0</v>
      </c>
      <c r="AA213" s="68">
        <f t="shared" ref="AA213:AA232" si="86">Z213*AB213</f>
        <v>0</v>
      </c>
      <c r="AB213" s="63">
        <f t="shared" ref="AB213:AB232" si="87">AD213*AC213</f>
        <v>1</v>
      </c>
      <c r="AC213" s="28">
        <f>S213</f>
        <v>1</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1</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443</v>
      </c>
      <c r="P214" s="12" t="s">
        <v>542</v>
      </c>
      <c r="Q214" s="66" t="s">
        <v>690</v>
      </c>
      <c r="R214" s="12"/>
      <c r="S214" s="28">
        <f>M212</f>
        <v>1</v>
      </c>
      <c r="T214" s="11"/>
      <c r="U214" s="12" t="s">
        <v>363</v>
      </c>
      <c r="V214" s="28">
        <f t="shared" si="85"/>
        <v>1</v>
      </c>
      <c r="W214" s="28">
        <f>VLOOKUP(U214,Sheet1!$B$6:$C$45,2,FALSE)*V214</f>
        <v>1</v>
      </c>
      <c r="X214" s="59"/>
      <c r="Y214" s="12" t="s">
        <v>293</v>
      </c>
      <c r="Z214" s="68">
        <f>VLOOKUP(Takeoffs!Y214,Sheet1!$B$6:$C$124,2,FALSE)</f>
        <v>0</v>
      </c>
      <c r="AA214" s="68">
        <f t="shared" si="86"/>
        <v>0</v>
      </c>
      <c r="AB214" s="63">
        <f t="shared" si="87"/>
        <v>1</v>
      </c>
      <c r="AC214" s="28">
        <f>S214</f>
        <v>1</v>
      </c>
      <c r="AD214" s="61">
        <v>1</v>
      </c>
      <c r="AE214" s="59"/>
      <c r="AF214" s="13" t="s">
        <v>267</v>
      </c>
      <c r="AG214" s="68">
        <f>VLOOKUP(Takeoffs!AF214,Sheet1!$B$6:$C$124,2,FALSE)</f>
        <v>3.48</v>
      </c>
      <c r="AH214" s="68">
        <f t="shared" si="88"/>
        <v>17.399999999999999</v>
      </c>
      <c r="AI214" s="63">
        <f t="shared" si="89"/>
        <v>5</v>
      </c>
      <c r="AJ214" s="28">
        <f t="shared" si="90"/>
        <v>1</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408</v>
      </c>
      <c r="P215" s="12"/>
      <c r="Q215" s="66"/>
      <c r="R215" s="12"/>
      <c r="S215" s="28">
        <f>M212</f>
        <v>1</v>
      </c>
      <c r="T215" s="11"/>
      <c r="U215" s="12" t="s">
        <v>293</v>
      </c>
      <c r="V215" s="28">
        <f t="shared" si="85"/>
        <v>1</v>
      </c>
      <c r="W215" s="28">
        <f>VLOOKUP(U215,Sheet1!$B$6:$C$45,2,FALSE)*V215</f>
        <v>0</v>
      </c>
      <c r="X215" s="59"/>
      <c r="Y215" s="13" t="s">
        <v>245</v>
      </c>
      <c r="Z215" s="68">
        <f>VLOOKUP(Takeoffs!Y215,Sheet1!$B$6:$C$124,2,FALSE)</f>
        <v>46.463999999999999</v>
      </c>
      <c r="AA215" s="68">
        <f t="shared" si="86"/>
        <v>46.463999999999999</v>
      </c>
      <c r="AB215" s="63">
        <f t="shared" si="87"/>
        <v>1</v>
      </c>
      <c r="AC215" s="28">
        <f t="shared" ref="AC215:AC232" si="93">S215</f>
        <v>1</v>
      </c>
      <c r="AD215" s="61">
        <v>1</v>
      </c>
      <c r="AE215" s="59"/>
      <c r="AF215" s="12" t="s">
        <v>293</v>
      </c>
      <c r="AG215" s="68">
        <f>VLOOKUP(Takeoffs!AF215,Sheet1!$B$6:$C$124,2,FALSE)</f>
        <v>0</v>
      </c>
      <c r="AH215" s="68">
        <f t="shared" si="88"/>
        <v>0</v>
      </c>
      <c r="AI215" s="63">
        <f t="shared" si="89"/>
        <v>0</v>
      </c>
      <c r="AJ215" s="28">
        <f t="shared" si="90"/>
        <v>1</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1</v>
      </c>
      <c r="T216" s="11"/>
      <c r="U216" s="12" t="s">
        <v>293</v>
      </c>
      <c r="V216" s="28">
        <f t="shared" si="85"/>
        <v>1</v>
      </c>
      <c r="W216" s="28">
        <f>VLOOKUP(U216,Sheet1!$B$6:$C$45,2,FALSE)*V216</f>
        <v>0</v>
      </c>
      <c r="X216" s="59"/>
      <c r="Y216" s="12" t="s">
        <v>293</v>
      </c>
      <c r="Z216" s="68">
        <f>VLOOKUP(Takeoffs!Y216,Sheet1!$B$6:$C$124,2,FALSE)</f>
        <v>0</v>
      </c>
      <c r="AA216" s="68">
        <f t="shared" si="86"/>
        <v>0</v>
      </c>
      <c r="AB216" s="63">
        <f t="shared" si="87"/>
        <v>1</v>
      </c>
      <c r="AC216" s="28">
        <f t="shared" si="93"/>
        <v>1</v>
      </c>
      <c r="AD216" s="61">
        <v>1</v>
      </c>
      <c r="AE216" s="59"/>
      <c r="AF216" s="12" t="s">
        <v>293</v>
      </c>
      <c r="AG216" s="68">
        <f>VLOOKUP(Takeoffs!AF216,Sheet1!$B$6:$C$124,2,FALSE)</f>
        <v>0</v>
      </c>
      <c r="AH216" s="68">
        <f t="shared" si="88"/>
        <v>0</v>
      </c>
      <c r="AI216" s="63">
        <f t="shared" si="89"/>
        <v>0</v>
      </c>
      <c r="AJ216" s="28">
        <f t="shared" si="90"/>
        <v>1</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1</v>
      </c>
      <c r="T217" s="11"/>
      <c r="U217" s="12" t="s">
        <v>293</v>
      </c>
      <c r="V217" s="28">
        <f t="shared" si="85"/>
        <v>1</v>
      </c>
      <c r="W217" s="28">
        <f>VLOOKUP(U217,Sheet1!$B$6:$C$45,2,FALSE)*V217</f>
        <v>0</v>
      </c>
      <c r="X217" s="59"/>
      <c r="Y217" s="12" t="s">
        <v>293</v>
      </c>
      <c r="Z217" s="68">
        <f>VLOOKUP(Takeoffs!Y217,Sheet1!$B$6:$C$124,2,FALSE)</f>
        <v>0</v>
      </c>
      <c r="AA217" s="68">
        <f t="shared" si="86"/>
        <v>0</v>
      </c>
      <c r="AB217" s="63">
        <f t="shared" si="87"/>
        <v>1</v>
      </c>
      <c r="AC217" s="28">
        <f t="shared" si="93"/>
        <v>1</v>
      </c>
      <c r="AD217" s="61">
        <v>1</v>
      </c>
      <c r="AE217" s="59"/>
      <c r="AF217" s="12" t="s">
        <v>293</v>
      </c>
      <c r="AG217" s="68">
        <f>VLOOKUP(Takeoffs!AF217,Sheet1!$B$6:$C$124,2,FALSE)</f>
        <v>0</v>
      </c>
      <c r="AH217" s="68">
        <f t="shared" si="88"/>
        <v>0</v>
      </c>
      <c r="AI217" s="63">
        <f t="shared" si="89"/>
        <v>0</v>
      </c>
      <c r="AJ217" s="28">
        <f t="shared" si="90"/>
        <v>1</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1</v>
      </c>
      <c r="T218" s="11"/>
      <c r="U218" s="12" t="s">
        <v>293</v>
      </c>
      <c r="V218" s="28">
        <f t="shared" si="85"/>
        <v>1</v>
      </c>
      <c r="W218" s="28">
        <f>VLOOKUP(U218,Sheet1!$B$6:$C$45,2,FALSE)*V218</f>
        <v>0</v>
      </c>
      <c r="X218" s="59"/>
      <c r="Y218" s="12" t="s">
        <v>293</v>
      </c>
      <c r="Z218" s="68">
        <f>VLOOKUP(Takeoffs!Y218,Sheet1!$B$6:$C$124,2,FALSE)</f>
        <v>0</v>
      </c>
      <c r="AA218" s="68">
        <f t="shared" si="86"/>
        <v>0</v>
      </c>
      <c r="AB218" s="63">
        <f t="shared" si="87"/>
        <v>1</v>
      </c>
      <c r="AC218" s="28">
        <f t="shared" si="93"/>
        <v>1</v>
      </c>
      <c r="AD218" s="61">
        <v>1</v>
      </c>
      <c r="AE218" s="59"/>
      <c r="AF218" s="12" t="s">
        <v>293</v>
      </c>
      <c r="AG218" s="68">
        <f>VLOOKUP(Takeoffs!AF218,Sheet1!$B$6:$C$124,2,FALSE)</f>
        <v>0</v>
      </c>
      <c r="AH218" s="68">
        <f t="shared" si="88"/>
        <v>0</v>
      </c>
      <c r="AI218" s="63">
        <f t="shared" si="89"/>
        <v>0</v>
      </c>
      <c r="AJ218" s="28">
        <f t="shared" si="90"/>
        <v>1</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1</v>
      </c>
      <c r="T219" s="11"/>
      <c r="U219" s="12" t="s">
        <v>293</v>
      </c>
      <c r="V219" s="28">
        <f t="shared" si="85"/>
        <v>1</v>
      </c>
      <c r="W219" s="28">
        <f>VLOOKUP(U219,Sheet1!$B$6:$C$45,2,FALSE)*V219</f>
        <v>0</v>
      </c>
      <c r="X219" s="59"/>
      <c r="Y219" s="12" t="s">
        <v>293</v>
      </c>
      <c r="Z219" s="68">
        <f>VLOOKUP(Takeoffs!Y219,Sheet1!$B$6:$C$124,2,FALSE)</f>
        <v>0</v>
      </c>
      <c r="AA219" s="68">
        <f t="shared" si="86"/>
        <v>0</v>
      </c>
      <c r="AB219" s="63">
        <f t="shared" si="87"/>
        <v>1</v>
      </c>
      <c r="AC219" s="28">
        <f t="shared" si="93"/>
        <v>1</v>
      </c>
      <c r="AD219" s="61">
        <v>1</v>
      </c>
      <c r="AE219" s="59"/>
      <c r="AF219" s="12" t="s">
        <v>293</v>
      </c>
      <c r="AG219" s="68">
        <f>VLOOKUP(Takeoffs!AF219,Sheet1!$B$6:$C$124,2,FALSE)</f>
        <v>0</v>
      </c>
      <c r="AH219" s="68">
        <f t="shared" si="88"/>
        <v>0</v>
      </c>
      <c r="AI219" s="63">
        <f t="shared" si="89"/>
        <v>0</v>
      </c>
      <c r="AJ219" s="28">
        <f t="shared" si="90"/>
        <v>1</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330</v>
      </c>
      <c r="P220" s="12"/>
      <c r="Q220" s="66"/>
      <c r="R220" s="12"/>
      <c r="S220" s="28">
        <f>M212</f>
        <v>1</v>
      </c>
      <c r="T220" s="11"/>
      <c r="U220" s="12" t="s">
        <v>242</v>
      </c>
      <c r="V220" s="28">
        <f t="shared" si="85"/>
        <v>1</v>
      </c>
      <c r="W220" s="28">
        <f>VLOOKUP(U220,Sheet1!$B$6:$C$45,2,FALSE)*V220</f>
        <v>2</v>
      </c>
      <c r="X220" s="59"/>
      <c r="Y220" s="12" t="s">
        <v>293</v>
      </c>
      <c r="Z220" s="68">
        <f>VLOOKUP(Takeoffs!Y220,Sheet1!$B$6:$C$124,2,FALSE)</f>
        <v>0</v>
      </c>
      <c r="AA220" s="68">
        <f t="shared" si="86"/>
        <v>0</v>
      </c>
      <c r="AB220" s="63">
        <f t="shared" si="87"/>
        <v>1</v>
      </c>
      <c r="AC220" s="28">
        <f t="shared" si="93"/>
        <v>1</v>
      </c>
      <c r="AD220" s="61">
        <v>1</v>
      </c>
      <c r="AE220" s="59"/>
      <c r="AF220" s="12" t="s">
        <v>293</v>
      </c>
      <c r="AG220" s="68">
        <f>VLOOKUP(Takeoffs!AF220,Sheet1!$B$6:$C$124,2,FALSE)</f>
        <v>0</v>
      </c>
      <c r="AH220" s="68">
        <f t="shared" si="88"/>
        <v>0</v>
      </c>
      <c r="AI220" s="63">
        <f t="shared" si="89"/>
        <v>0</v>
      </c>
      <c r="AJ220" s="28">
        <f t="shared" si="90"/>
        <v>1</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1</v>
      </c>
      <c r="T221" s="11"/>
      <c r="U221" s="12" t="s">
        <v>293</v>
      </c>
      <c r="V221" s="28">
        <f t="shared" si="85"/>
        <v>1</v>
      </c>
      <c r="W221" s="28">
        <f>VLOOKUP(U221,Sheet1!$B$6:$C$45,2,FALSE)*V221</f>
        <v>0</v>
      </c>
      <c r="X221" s="59"/>
      <c r="Y221" s="12" t="s">
        <v>293</v>
      </c>
      <c r="Z221" s="68">
        <f>VLOOKUP(Takeoffs!Y221,Sheet1!$B$6:$C$124,2,FALSE)</f>
        <v>0</v>
      </c>
      <c r="AA221" s="68">
        <f t="shared" si="86"/>
        <v>0</v>
      </c>
      <c r="AB221" s="63">
        <f t="shared" si="87"/>
        <v>1</v>
      </c>
      <c r="AC221" s="28">
        <f t="shared" si="93"/>
        <v>1</v>
      </c>
      <c r="AD221" s="61">
        <v>1</v>
      </c>
      <c r="AE221" s="59"/>
      <c r="AF221" s="12" t="s">
        <v>293</v>
      </c>
      <c r="AG221" s="68">
        <f>VLOOKUP(Takeoffs!AF221,Sheet1!$B$6:$C$124,2,FALSE)</f>
        <v>0</v>
      </c>
      <c r="AH221" s="68">
        <f t="shared" si="88"/>
        <v>0</v>
      </c>
      <c r="AI221" s="63">
        <f t="shared" si="89"/>
        <v>0</v>
      </c>
      <c r="AJ221" s="28">
        <f t="shared" si="90"/>
        <v>1</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338</v>
      </c>
      <c r="P222" s="12"/>
      <c r="Q222" s="66"/>
      <c r="R222" s="12" t="s">
        <v>456</v>
      </c>
      <c r="S222" s="28">
        <f>M212</f>
        <v>1</v>
      </c>
      <c r="T222" s="11"/>
      <c r="U222" s="12" t="s">
        <v>365</v>
      </c>
      <c r="V222" s="28">
        <f t="shared" si="85"/>
        <v>1</v>
      </c>
      <c r="W222" s="28">
        <f>VLOOKUP(U222,Sheet1!$B$6:$C$45,2,FALSE)*V222</f>
        <v>1</v>
      </c>
      <c r="X222" s="59"/>
      <c r="Y222" s="13" t="s">
        <v>273</v>
      </c>
      <c r="Z222" s="68">
        <f>VLOOKUP(Takeoffs!Y222,Sheet1!$B$6:$C$124,2,FALSE)</f>
        <v>307.2</v>
      </c>
      <c r="AA222" s="68">
        <f t="shared" si="86"/>
        <v>307.2</v>
      </c>
      <c r="AB222" s="63">
        <f t="shared" si="87"/>
        <v>1</v>
      </c>
      <c r="AC222" s="28">
        <f t="shared" si="93"/>
        <v>1</v>
      </c>
      <c r="AD222" s="61">
        <v>1</v>
      </c>
      <c r="AE222" s="59"/>
      <c r="AF222" s="12" t="s">
        <v>293</v>
      </c>
      <c r="AG222" s="68">
        <f>VLOOKUP(Takeoffs!AF222,Sheet1!$B$6:$C$124,2,FALSE)</f>
        <v>0</v>
      </c>
      <c r="AH222" s="68">
        <f t="shared" si="88"/>
        <v>0</v>
      </c>
      <c r="AI222" s="63">
        <f t="shared" si="89"/>
        <v>0</v>
      </c>
      <c r="AJ222" s="28">
        <f t="shared" si="90"/>
        <v>1</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501</v>
      </c>
      <c r="P223" s="12"/>
      <c r="Q223" s="66"/>
      <c r="R223" s="12"/>
      <c r="S223" s="28">
        <f>M212</f>
        <v>1</v>
      </c>
      <c r="T223" s="11"/>
      <c r="U223" s="12" t="s">
        <v>365</v>
      </c>
      <c r="V223" s="28">
        <f t="shared" si="85"/>
        <v>1</v>
      </c>
      <c r="W223" s="28">
        <f>VLOOKUP(U223,Sheet1!$B$6:$C$45,2,FALSE)*V223</f>
        <v>1</v>
      </c>
      <c r="X223" s="59"/>
      <c r="Y223" s="12" t="s">
        <v>293</v>
      </c>
      <c r="Z223" s="68">
        <f>VLOOKUP(Takeoffs!Y223,Sheet1!$B$6:$C$124,2,FALSE)</f>
        <v>0</v>
      </c>
      <c r="AA223" s="68">
        <f t="shared" si="86"/>
        <v>0</v>
      </c>
      <c r="AB223" s="63">
        <f t="shared" si="87"/>
        <v>1</v>
      </c>
      <c r="AC223" s="28">
        <f t="shared" si="93"/>
        <v>1</v>
      </c>
      <c r="AD223" s="61">
        <v>1</v>
      </c>
      <c r="AE223" s="59"/>
      <c r="AF223" s="13" t="s">
        <v>267</v>
      </c>
      <c r="AG223" s="68">
        <f>VLOOKUP(Takeoffs!AF223,Sheet1!$B$6:$C$124,2,FALSE)</f>
        <v>3.48</v>
      </c>
      <c r="AH223" s="68">
        <f t="shared" si="88"/>
        <v>34.799999999999997</v>
      </c>
      <c r="AI223" s="63">
        <f t="shared" si="89"/>
        <v>10</v>
      </c>
      <c r="AJ223" s="28">
        <f t="shared" si="90"/>
        <v>1</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1</v>
      </c>
      <c r="T224" s="11"/>
      <c r="U224" s="12" t="s">
        <v>293</v>
      </c>
      <c r="V224" s="28">
        <f t="shared" si="85"/>
        <v>1</v>
      </c>
      <c r="W224" s="28">
        <f>VLOOKUP(U224,Sheet1!$B$6:$C$45,2,FALSE)*V224</f>
        <v>0</v>
      </c>
      <c r="X224" s="59"/>
      <c r="Y224" s="12" t="s">
        <v>293</v>
      </c>
      <c r="Z224" s="68">
        <f>VLOOKUP(Takeoffs!Y224,Sheet1!$B$6:$C$124,2,FALSE)</f>
        <v>0</v>
      </c>
      <c r="AA224" s="68">
        <f t="shared" si="86"/>
        <v>0</v>
      </c>
      <c r="AB224" s="63">
        <f t="shared" si="87"/>
        <v>1</v>
      </c>
      <c r="AC224" s="28">
        <f t="shared" si="93"/>
        <v>1</v>
      </c>
      <c r="AD224" s="61">
        <v>1</v>
      </c>
      <c r="AE224" s="59"/>
      <c r="AF224" s="65" t="s">
        <v>269</v>
      </c>
      <c r="AG224" s="68">
        <f>VLOOKUP(Takeoffs!AF224,Sheet1!$B$6:$C$124,2,FALSE)</f>
        <v>1.056</v>
      </c>
      <c r="AH224" s="68">
        <f t="shared" si="88"/>
        <v>10.56</v>
      </c>
      <c r="AI224" s="63">
        <f t="shared" si="89"/>
        <v>10</v>
      </c>
      <c r="AJ224" s="28">
        <f t="shared" si="90"/>
        <v>1</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1</v>
      </c>
      <c r="T225" s="11"/>
      <c r="U225" s="12" t="s">
        <v>232</v>
      </c>
      <c r="V225" s="28">
        <f t="shared" si="85"/>
        <v>1</v>
      </c>
      <c r="W225" s="28">
        <f>VLOOKUP(U225,Sheet1!$B$6:$C$45,2,FALSE)*V225</f>
        <v>1</v>
      </c>
      <c r="X225" s="59"/>
      <c r="Y225" s="13" t="s">
        <v>281</v>
      </c>
      <c r="Z225" s="68">
        <f>VLOOKUP(Takeoffs!Y225,Sheet1!$B$6:$C$124,2,FALSE)</f>
        <v>109.25999999999999</v>
      </c>
      <c r="AA225" s="68">
        <f t="shared" si="86"/>
        <v>109.25999999999999</v>
      </c>
      <c r="AB225" s="63">
        <f t="shared" si="87"/>
        <v>1</v>
      </c>
      <c r="AC225" s="28">
        <f t="shared" si="93"/>
        <v>1</v>
      </c>
      <c r="AD225" s="61">
        <v>1</v>
      </c>
      <c r="AE225" s="59"/>
      <c r="AF225" s="12" t="s">
        <v>293</v>
      </c>
      <c r="AG225" s="68">
        <f>VLOOKUP(Takeoffs!AF225,Sheet1!$B$6:$C$124,2,FALSE)</f>
        <v>0</v>
      </c>
      <c r="AH225" s="68">
        <f t="shared" si="88"/>
        <v>0</v>
      </c>
      <c r="AI225" s="63">
        <f t="shared" si="89"/>
        <v>0</v>
      </c>
      <c r="AJ225" s="28">
        <f t="shared" si="90"/>
        <v>1</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347</v>
      </c>
      <c r="P226" s="12" t="s">
        <v>382</v>
      </c>
      <c r="Q226" s="66" t="s">
        <v>423</v>
      </c>
      <c r="R226" s="12"/>
      <c r="S226" s="28">
        <f>M212</f>
        <v>1</v>
      </c>
      <c r="T226" s="11"/>
      <c r="U226" s="12" t="s">
        <v>293</v>
      </c>
      <c r="V226" s="28">
        <f t="shared" si="85"/>
        <v>1</v>
      </c>
      <c r="W226" s="28">
        <f>VLOOKUP(U226,Sheet1!$B$6:$C$45,2,FALSE)*V226</f>
        <v>0</v>
      </c>
      <c r="X226" s="59"/>
      <c r="Y226" s="13" t="s">
        <v>328</v>
      </c>
      <c r="Z226" s="68">
        <f>VLOOKUP(Takeoffs!Y226,Sheet1!$B$6:$C$124,2,FALSE)</f>
        <v>29.04</v>
      </c>
      <c r="AA226" s="68">
        <f t="shared" si="86"/>
        <v>29.04</v>
      </c>
      <c r="AB226" s="63">
        <f t="shared" si="87"/>
        <v>1</v>
      </c>
      <c r="AC226" s="28">
        <f t="shared" si="93"/>
        <v>1</v>
      </c>
      <c r="AD226" s="61">
        <v>1</v>
      </c>
      <c r="AE226" s="59"/>
      <c r="AF226" s="12" t="s">
        <v>293</v>
      </c>
      <c r="AG226" s="68">
        <f>VLOOKUP(Takeoffs!AF226,Sheet1!$B$6:$C$124,2,FALSE)</f>
        <v>0</v>
      </c>
      <c r="AH226" s="68">
        <f t="shared" si="88"/>
        <v>0</v>
      </c>
      <c r="AI226" s="63">
        <f t="shared" si="89"/>
        <v>0</v>
      </c>
      <c r="AJ226" s="28">
        <f t="shared" si="90"/>
        <v>1</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339</v>
      </c>
      <c r="P227" s="12"/>
      <c r="Q227" s="66"/>
      <c r="R227" s="12"/>
      <c r="S227" s="28">
        <f>M212</f>
        <v>1</v>
      </c>
      <c r="T227" s="11"/>
      <c r="U227" s="12" t="s">
        <v>293</v>
      </c>
      <c r="V227" s="28">
        <f t="shared" si="85"/>
        <v>1</v>
      </c>
      <c r="W227" s="28">
        <f>VLOOKUP(U227,Sheet1!$B$6:$C$45,2,FALSE)*V227</f>
        <v>0</v>
      </c>
      <c r="X227" s="59"/>
      <c r="Y227" s="13" t="s">
        <v>280</v>
      </c>
      <c r="Z227" s="68">
        <f>VLOOKUP(Takeoffs!Y227,Sheet1!$B$6:$C$124,2,FALSE)</f>
        <v>19.2</v>
      </c>
      <c r="AA227" s="68">
        <f t="shared" si="86"/>
        <v>38.4</v>
      </c>
      <c r="AB227" s="63">
        <f t="shared" si="87"/>
        <v>2</v>
      </c>
      <c r="AC227" s="28">
        <f t="shared" si="93"/>
        <v>1</v>
      </c>
      <c r="AD227" s="61">
        <v>2</v>
      </c>
      <c r="AE227" s="59"/>
      <c r="AF227" s="12" t="s">
        <v>293</v>
      </c>
      <c r="AG227" s="68">
        <f>VLOOKUP(Takeoffs!AF227,Sheet1!$B$6:$C$124,2,FALSE)</f>
        <v>0</v>
      </c>
      <c r="AH227" s="68">
        <f t="shared" si="88"/>
        <v>0</v>
      </c>
      <c r="AI227" s="63">
        <f t="shared" si="89"/>
        <v>0</v>
      </c>
      <c r="AJ227" s="28">
        <f t="shared" si="90"/>
        <v>1</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1</v>
      </c>
      <c r="T228" s="11"/>
      <c r="U228" s="12" t="s">
        <v>293</v>
      </c>
      <c r="V228" s="28">
        <f t="shared" si="85"/>
        <v>1</v>
      </c>
      <c r="W228" s="28">
        <f>VLOOKUP(U228,Sheet1!$B$6:$C$45,2,FALSE)*V228</f>
        <v>0</v>
      </c>
      <c r="X228" s="59"/>
      <c r="Y228" s="12" t="s">
        <v>293</v>
      </c>
      <c r="Z228" s="68">
        <f>VLOOKUP(Takeoffs!Y228,Sheet1!$B$6:$C$124,2,FALSE)</f>
        <v>0</v>
      </c>
      <c r="AA228" s="68">
        <f t="shared" si="86"/>
        <v>0</v>
      </c>
      <c r="AB228" s="63">
        <f t="shared" si="87"/>
        <v>1</v>
      </c>
      <c r="AC228" s="28">
        <f t="shared" si="93"/>
        <v>1</v>
      </c>
      <c r="AD228" s="61">
        <v>1</v>
      </c>
      <c r="AE228" s="59"/>
      <c r="AF228" s="12" t="s">
        <v>293</v>
      </c>
      <c r="AG228" s="68">
        <f>VLOOKUP(Takeoffs!AF228,Sheet1!$B$6:$C$124,2,FALSE)</f>
        <v>0</v>
      </c>
      <c r="AH228" s="68">
        <f t="shared" si="88"/>
        <v>0</v>
      </c>
      <c r="AI228" s="63">
        <f t="shared" si="89"/>
        <v>0</v>
      </c>
      <c r="AJ228" s="28">
        <f t="shared" si="90"/>
        <v>1</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331</v>
      </c>
      <c r="P229" s="12"/>
      <c r="Q229" s="66"/>
      <c r="R229" s="12" t="s">
        <v>305</v>
      </c>
      <c r="S229" s="28">
        <f>M212</f>
        <v>1</v>
      </c>
      <c r="T229" s="11"/>
      <c r="U229" s="12" t="s">
        <v>293</v>
      </c>
      <c r="V229" s="28">
        <f t="shared" si="85"/>
        <v>1</v>
      </c>
      <c r="W229" s="28">
        <f>VLOOKUP(U229,Sheet1!$B$6:$C$45,2,FALSE)*V229</f>
        <v>0</v>
      </c>
      <c r="X229" s="59"/>
      <c r="Y229" s="13" t="s">
        <v>277</v>
      </c>
      <c r="Z229" s="68">
        <f>VLOOKUP(Takeoffs!Y229,Sheet1!$B$6:$C$124,2,FALSE)</f>
        <v>69.540000000000006</v>
      </c>
      <c r="AA229" s="68">
        <f t="shared" si="86"/>
        <v>69.540000000000006</v>
      </c>
      <c r="AB229" s="63">
        <f t="shared" si="87"/>
        <v>1</v>
      </c>
      <c r="AC229" s="28">
        <f t="shared" si="93"/>
        <v>1</v>
      </c>
      <c r="AD229" s="61">
        <v>1</v>
      </c>
      <c r="AE229" s="59"/>
      <c r="AF229" s="12" t="s">
        <v>293</v>
      </c>
      <c r="AG229" s="68">
        <f>VLOOKUP(Takeoffs!AF229,Sheet1!$B$6:$C$124,2,FALSE)</f>
        <v>0</v>
      </c>
      <c r="AH229" s="68">
        <f t="shared" si="88"/>
        <v>0</v>
      </c>
      <c r="AI229" s="63">
        <f t="shared" si="89"/>
        <v>0</v>
      </c>
      <c r="AJ229" s="28">
        <f t="shared" si="90"/>
        <v>1</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340</v>
      </c>
      <c r="P230" s="12"/>
      <c r="Q230" s="66"/>
      <c r="R230" s="12"/>
      <c r="S230" s="28">
        <f>M212</f>
        <v>1</v>
      </c>
      <c r="T230" s="11"/>
      <c r="U230" s="12" t="s">
        <v>293</v>
      </c>
      <c r="V230" s="28">
        <f t="shared" si="85"/>
        <v>1</v>
      </c>
      <c r="W230" s="28">
        <f>VLOOKUP(U230,Sheet1!$B$6:$C$45,2,FALSE)*V230</f>
        <v>0</v>
      </c>
      <c r="X230" s="59"/>
      <c r="Y230" s="13" t="s">
        <v>335</v>
      </c>
      <c r="Z230" s="68">
        <f>VLOOKUP(Takeoffs!Y230,Sheet1!$B$6:$C$124,2,FALSE)</f>
        <v>60</v>
      </c>
      <c r="AA230" s="68">
        <f t="shared" si="86"/>
        <v>60</v>
      </c>
      <c r="AB230" s="63">
        <f t="shared" si="87"/>
        <v>1</v>
      </c>
      <c r="AC230" s="28">
        <f t="shared" si="93"/>
        <v>1</v>
      </c>
      <c r="AD230" s="61">
        <v>1</v>
      </c>
      <c r="AE230" s="59"/>
      <c r="AF230" s="12" t="s">
        <v>293</v>
      </c>
      <c r="AG230" s="68">
        <f>VLOOKUP(Takeoffs!AF230,Sheet1!$B$6:$C$124,2,FALSE)</f>
        <v>0</v>
      </c>
      <c r="AH230" s="68">
        <f t="shared" si="88"/>
        <v>0</v>
      </c>
      <c r="AI230" s="63">
        <f t="shared" si="89"/>
        <v>0</v>
      </c>
      <c r="AJ230" s="28">
        <f t="shared" si="90"/>
        <v>1</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404</v>
      </c>
      <c r="P231" s="12"/>
      <c r="Q231" s="66"/>
      <c r="R231" s="12"/>
      <c r="S231" s="28">
        <f>M212</f>
        <v>1</v>
      </c>
      <c r="T231" s="11"/>
      <c r="U231" s="12" t="s">
        <v>293</v>
      </c>
      <c r="V231" s="28">
        <f t="shared" si="85"/>
        <v>1</v>
      </c>
      <c r="W231" s="28">
        <f>VLOOKUP(U231,Sheet1!$B$6:$C$45,2,FALSE)*V231</f>
        <v>0</v>
      </c>
      <c r="X231" s="59"/>
      <c r="Y231" s="12" t="s">
        <v>274</v>
      </c>
      <c r="Z231" s="68">
        <f>VLOOKUP(Takeoffs!Y231,Sheet1!$B$6:$C$124,2,FALSE)</f>
        <v>360</v>
      </c>
      <c r="AA231" s="68">
        <f t="shared" si="86"/>
        <v>360</v>
      </c>
      <c r="AB231" s="63">
        <f t="shared" si="87"/>
        <v>1</v>
      </c>
      <c r="AC231" s="28">
        <f t="shared" si="93"/>
        <v>1</v>
      </c>
      <c r="AD231" s="61">
        <v>1</v>
      </c>
      <c r="AE231" s="59"/>
      <c r="AF231" s="12" t="s">
        <v>293</v>
      </c>
      <c r="AG231" s="68">
        <f>VLOOKUP(Takeoffs!AF231,Sheet1!$B$6:$C$124,2,FALSE)</f>
        <v>0</v>
      </c>
      <c r="AH231" s="68">
        <f t="shared" si="88"/>
        <v>0</v>
      </c>
      <c r="AI231" s="63">
        <f t="shared" si="89"/>
        <v>0</v>
      </c>
      <c r="AJ231" s="28">
        <f t="shared" si="90"/>
        <v>1</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410</v>
      </c>
      <c r="P232" s="12"/>
      <c r="Q232" s="66"/>
      <c r="R232" s="12"/>
      <c r="S232" s="28">
        <f>M212</f>
        <v>1</v>
      </c>
      <c r="T232" s="11"/>
      <c r="U232" s="12" t="s">
        <v>364</v>
      </c>
      <c r="V232" s="28">
        <f t="shared" si="85"/>
        <v>1</v>
      </c>
      <c r="W232" s="28">
        <f>VLOOKUP(U232,Sheet1!$B$6:$C$45,2,FALSE)*V232</f>
        <v>1</v>
      </c>
      <c r="X232" s="59"/>
      <c r="Y232" s="12" t="s">
        <v>293</v>
      </c>
      <c r="Z232" s="68">
        <f>VLOOKUP(Takeoffs!Y232,Sheet1!$B$6:$C$124,2,FALSE)</f>
        <v>0</v>
      </c>
      <c r="AA232" s="68">
        <f t="shared" si="86"/>
        <v>0</v>
      </c>
      <c r="AB232" s="63">
        <f t="shared" si="87"/>
        <v>1</v>
      </c>
      <c r="AC232" s="28">
        <f t="shared" si="93"/>
        <v>1</v>
      </c>
      <c r="AD232" s="61">
        <v>1</v>
      </c>
      <c r="AE232" s="59"/>
      <c r="AF232" s="12" t="s">
        <v>293</v>
      </c>
      <c r="AG232" s="68">
        <f>VLOOKUP(Takeoffs!AF232,Sheet1!$B$6:$C$124,2,FALSE)</f>
        <v>0</v>
      </c>
      <c r="AH232" s="68">
        <f t="shared" si="88"/>
        <v>0</v>
      </c>
      <c r="AI232" s="63">
        <f t="shared" si="89"/>
        <v>0</v>
      </c>
      <c r="AJ232" s="28">
        <f t="shared" si="90"/>
        <v>1</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379</v>
      </c>
      <c r="L233" s="21" t="s">
        <v>380</v>
      </c>
      <c r="N233" s="22"/>
      <c r="O233" s="23" t="s">
        <v>359</v>
      </c>
      <c r="P233" s="24">
        <f>V233+AA233+AH233</f>
        <v>1722.664</v>
      </c>
      <c r="Q233" s="24"/>
      <c r="R233" s="24"/>
      <c r="S233" s="23"/>
      <c r="T233" s="20"/>
      <c r="U233" s="19" t="s">
        <v>353</v>
      </c>
      <c r="V233" s="20">
        <f>W233*80</f>
        <v>640</v>
      </c>
      <c r="W233" s="69">
        <f>SUM(W212:W232)</f>
        <v>8</v>
      </c>
      <c r="X233" s="70"/>
      <c r="Y233" s="20" t="s">
        <v>354</v>
      </c>
      <c r="Z233" s="2"/>
      <c r="AA233" s="2">
        <f>SUM(AA212:AA232)</f>
        <v>1019.904</v>
      </c>
      <c r="AB233" s="71"/>
      <c r="AC233" s="71"/>
      <c r="AD233" s="71"/>
      <c r="AE233" s="71"/>
      <c r="AF233" s="20" t="s">
        <v>358</v>
      </c>
      <c r="AG233" s="2"/>
      <c r="AH233" s="2">
        <f>SUM(AH212:AH232)</f>
        <v>62.76</v>
      </c>
      <c r="AI233" s="71"/>
      <c r="AJ233" s="71"/>
      <c r="AK233" s="71"/>
      <c r="AL233" s="71"/>
      <c r="AM233" s="72">
        <f>P233</f>
        <v>1722.664</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494</v>
      </c>
      <c r="C234" s="217" t="str">
        <f>N212</f>
        <v>fire pump room fan - from local power supply</v>
      </c>
      <c r="D234" s="260" t="str">
        <f>IF(B234="Shopping List",IF(ISNUMBER(SEARCH("MSSB",C234)),"MSSB",IF(ISNUMBER(SEARCH("local",C234)),"LOCAL","")))</f>
        <v>LOCAL</v>
      </c>
      <c r="E234" s="238"/>
      <c r="F234" s="217"/>
      <c r="G234" s="55"/>
      <c r="H234" s="245"/>
      <c r="I234" s="270">
        <v>1</v>
      </c>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one (1)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1722.664</v>
      </c>
      <c r="L234" s="234" t="str">
        <f>CONCATENATE(Q213,Q214,Q215,Q216,Q217,Q218,Q219,Q220,Q221,Q222,Q223,Q224,Q225,Q226,Q227,Q228,Q229,Q230,Q231,Q232,)</f>
        <v xml:space="preserve">local power supply status cabling from pumps. </v>
      </c>
      <c r="M234" s="91" t="s">
        <v>369</v>
      </c>
      <c r="N234" s="83" t="str">
        <f>N212</f>
        <v>fire pump room fan - from local power supply</v>
      </c>
      <c r="O234" s="83" t="s">
        <v>367</v>
      </c>
      <c r="P234" s="98">
        <f>P233/M212</f>
        <v>1722.664</v>
      </c>
      <c r="Q234" s="84"/>
      <c r="R234" s="84"/>
      <c r="S234" s="83"/>
      <c r="T234" s="84"/>
      <c r="U234" s="327" t="s">
        <v>368</v>
      </c>
      <c r="V234" s="327"/>
      <c r="W234" s="85">
        <f>W233/M212</f>
        <v>8</v>
      </c>
      <c r="X234" s="86"/>
      <c r="Y234" s="325" t="s">
        <v>367</v>
      </c>
      <c r="Z234" s="325"/>
      <c r="AA234" s="87">
        <f>AA233/M212</f>
        <v>1019.904</v>
      </c>
      <c r="AB234" s="84"/>
      <c r="AC234" s="84"/>
      <c r="AD234" s="84"/>
      <c r="AE234" s="84"/>
      <c r="AF234" s="325" t="s">
        <v>367</v>
      </c>
      <c r="AG234" s="325"/>
      <c r="AH234" s="87">
        <f>AH233/M212</f>
        <v>62.76</v>
      </c>
      <c r="AI234" s="84"/>
      <c r="AJ234" s="84"/>
      <c r="AK234" s="84"/>
      <c r="AL234" s="247"/>
      <c r="AM234" s="64">
        <f>K234*1.25</f>
        <v>2153.33</v>
      </c>
      <c r="AN234" s="236">
        <f>K234*$D$9</f>
        <v>430.666</v>
      </c>
      <c r="AO234" s="286"/>
      <c r="AP234" s="284">
        <f t="shared" si="80"/>
        <v>1722.664</v>
      </c>
      <c r="AQ234" s="281">
        <f t="shared" si="81"/>
        <v>640</v>
      </c>
      <c r="AR234" s="284">
        <f t="shared" si="82"/>
        <v>1019.904</v>
      </c>
      <c r="AS234" s="281">
        <f t="shared" si="83"/>
        <v>62.76</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454</v>
      </c>
      <c r="M235" s="116" t="s">
        <v>107</v>
      </c>
      <c r="N235" s="116" t="s">
        <v>108</v>
      </c>
      <c r="O235" s="170" t="s">
        <v>388</v>
      </c>
      <c r="P235" s="326" t="s">
        <v>377</v>
      </c>
      <c r="Q235" s="326"/>
      <c r="R235" s="101" t="s">
        <v>454</v>
      </c>
      <c r="S235" s="116" t="s">
        <v>0</v>
      </c>
      <c r="T235" s="118"/>
      <c r="U235" s="116" t="s">
        <v>288</v>
      </c>
      <c r="V235" s="116" t="s">
        <v>289</v>
      </c>
      <c r="W235" s="116" t="s">
        <v>292</v>
      </c>
      <c r="X235" s="140"/>
      <c r="Y235" s="116" t="s">
        <v>290</v>
      </c>
      <c r="Z235" s="116" t="s">
        <v>356</v>
      </c>
      <c r="AA235" s="116" t="s">
        <v>357</v>
      </c>
      <c r="AB235" s="116" t="s">
        <v>319</v>
      </c>
      <c r="AC235" s="116" t="s">
        <v>320</v>
      </c>
      <c r="AD235" s="116" t="s">
        <v>318</v>
      </c>
      <c r="AE235" s="140"/>
      <c r="AF235" s="116" t="s">
        <v>294</v>
      </c>
      <c r="AG235" s="116" t="s">
        <v>356</v>
      </c>
      <c r="AH235" s="116" t="s">
        <v>357</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one</v>
      </c>
      <c r="M236" s="121">
        <f>I258</f>
        <v>1</v>
      </c>
      <c r="N236" s="132" t="s">
        <v>636</v>
      </c>
      <c r="O236" s="121" t="s">
        <v>349</v>
      </c>
      <c r="P236" s="169" t="s">
        <v>381</v>
      </c>
      <c r="Q236" s="169" t="s">
        <v>377</v>
      </c>
      <c r="R236" s="169"/>
      <c r="S236" s="133">
        <f>M236</f>
        <v>1</v>
      </c>
      <c r="T236" s="119"/>
      <c r="U236" s="121" t="s">
        <v>293</v>
      </c>
      <c r="V236" s="133">
        <f>S236</f>
        <v>1</v>
      </c>
      <c r="W236" s="133">
        <f>VLOOKUP(U236,Sheet1!$B$6:$C$45,2,FALSE)*V236</f>
        <v>0</v>
      </c>
      <c r="X236" s="141"/>
      <c r="Y236" s="121" t="s">
        <v>293</v>
      </c>
      <c r="Z236" s="146">
        <f>VLOOKUP(Takeoffs!Y236,Sheet1!$B$6:$C$124,2,FALSE)</f>
        <v>0</v>
      </c>
      <c r="AA236" s="146">
        <f>Z236*AB236</f>
        <v>0</v>
      </c>
      <c r="AB236" s="143">
        <f>AD236*AC236</f>
        <v>1</v>
      </c>
      <c r="AC236" s="133">
        <f>S236</f>
        <v>1</v>
      </c>
      <c r="AD236" s="142">
        <v>1</v>
      </c>
      <c r="AE236" s="141"/>
      <c r="AF236" s="121" t="s">
        <v>293</v>
      </c>
      <c r="AG236" s="146">
        <f>VLOOKUP(Takeoffs!AF236,Sheet1!$B$6:$C$124,2,FALSE)</f>
        <v>0</v>
      </c>
      <c r="AH236" s="146">
        <f>AG236*AI236</f>
        <v>0</v>
      </c>
      <c r="AI236" s="143">
        <f>AK236*AJ236</f>
        <v>0</v>
      </c>
      <c r="AJ236" s="133">
        <f>S236</f>
        <v>1</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342</v>
      </c>
      <c r="P237" s="121"/>
      <c r="Q237" s="66"/>
      <c r="R237" s="121"/>
      <c r="S237" s="133">
        <f>M236</f>
        <v>1</v>
      </c>
      <c r="T237" s="120"/>
      <c r="U237" s="121" t="s">
        <v>233</v>
      </c>
      <c r="V237" s="133">
        <f t="shared" ref="V237:V256" si="96">S237</f>
        <v>1</v>
      </c>
      <c r="W237" s="133">
        <f>VLOOKUP(U237,Sheet1!$B$6:$C$45,2,FALSE)*V237</f>
        <v>1</v>
      </c>
      <c r="X237" s="141"/>
      <c r="Y237" s="121" t="s">
        <v>293</v>
      </c>
      <c r="Z237" s="146">
        <f>VLOOKUP(Takeoffs!Y237,Sheet1!$B$6:$C$124,2,FALSE)</f>
        <v>0</v>
      </c>
      <c r="AA237" s="146">
        <f t="shared" ref="AA237:AA256" si="97">Z237*AB237</f>
        <v>0</v>
      </c>
      <c r="AB237" s="143">
        <f t="shared" ref="AB237:AB256" si="98">AD237*AC237</f>
        <v>1</v>
      </c>
      <c r="AC237" s="133">
        <f t="shared" ref="AC237:AC256" si="99">S237</f>
        <v>1</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1</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443</v>
      </c>
      <c r="P238" s="121" t="s">
        <v>542</v>
      </c>
      <c r="Q238" s="66" t="s">
        <v>690</v>
      </c>
      <c r="R238" s="121"/>
      <c r="S238" s="133">
        <f>M236</f>
        <v>1</v>
      </c>
      <c r="T238" s="120"/>
      <c r="U238" s="121" t="s">
        <v>363</v>
      </c>
      <c r="V238" s="133">
        <f t="shared" si="96"/>
        <v>1</v>
      </c>
      <c r="W238" s="133">
        <f>VLOOKUP(U238,Sheet1!$B$6:$C$45,2,FALSE)*V238</f>
        <v>1</v>
      </c>
      <c r="X238" s="141"/>
      <c r="Y238" s="121" t="s">
        <v>293</v>
      </c>
      <c r="Z238" s="146">
        <f>VLOOKUP(Takeoffs!Y238,Sheet1!$B$6:$C$124,2,FALSE)</f>
        <v>0</v>
      </c>
      <c r="AA238" s="146">
        <f t="shared" si="97"/>
        <v>0</v>
      </c>
      <c r="AB238" s="143">
        <f t="shared" si="98"/>
        <v>1</v>
      </c>
      <c r="AC238" s="133">
        <f t="shared" si="99"/>
        <v>1</v>
      </c>
      <c r="AD238" s="142">
        <v>1</v>
      </c>
      <c r="AE238" s="141"/>
      <c r="AF238" s="122" t="s">
        <v>267</v>
      </c>
      <c r="AG238" s="146">
        <f>VLOOKUP(Takeoffs!AF238,Sheet1!$B$6:$C$124,2,FALSE)</f>
        <v>3.48</v>
      </c>
      <c r="AH238" s="146">
        <f t="shared" si="100"/>
        <v>17.399999999999999</v>
      </c>
      <c r="AI238" s="143">
        <f t="shared" si="101"/>
        <v>5</v>
      </c>
      <c r="AJ238" s="133">
        <f t="shared" si="102"/>
        <v>1</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408</v>
      </c>
      <c r="P239" s="121"/>
      <c r="Q239" s="66"/>
      <c r="R239" s="121"/>
      <c r="S239" s="133">
        <f>M236</f>
        <v>1</v>
      </c>
      <c r="T239" s="120"/>
      <c r="U239" s="121" t="s">
        <v>293</v>
      </c>
      <c r="V239" s="133">
        <f t="shared" si="96"/>
        <v>1</v>
      </c>
      <c r="W239" s="133">
        <f>VLOOKUP(U239,Sheet1!$B$6:$C$45,2,FALSE)*V239</f>
        <v>0</v>
      </c>
      <c r="X239" s="141"/>
      <c r="Y239" s="122" t="s">
        <v>245</v>
      </c>
      <c r="Z239" s="146">
        <f>VLOOKUP(Takeoffs!Y239,Sheet1!$B$6:$C$124,2,FALSE)</f>
        <v>46.463999999999999</v>
      </c>
      <c r="AA239" s="146">
        <f t="shared" si="97"/>
        <v>46.463999999999999</v>
      </c>
      <c r="AB239" s="143">
        <f t="shared" si="98"/>
        <v>1</v>
      </c>
      <c r="AC239" s="133">
        <f t="shared" si="99"/>
        <v>1</v>
      </c>
      <c r="AD239" s="142">
        <v>1</v>
      </c>
      <c r="AE239" s="141"/>
      <c r="AF239" s="121" t="s">
        <v>293</v>
      </c>
      <c r="AG239" s="146">
        <f>VLOOKUP(Takeoffs!AF239,Sheet1!$B$6:$C$124,2,FALSE)</f>
        <v>0</v>
      </c>
      <c r="AH239" s="146">
        <f t="shared" si="100"/>
        <v>0</v>
      </c>
      <c r="AI239" s="143">
        <f t="shared" si="101"/>
        <v>0</v>
      </c>
      <c r="AJ239" s="133">
        <f t="shared" si="102"/>
        <v>1</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1</v>
      </c>
      <c r="T240" s="120"/>
      <c r="U240" s="121" t="s">
        <v>293</v>
      </c>
      <c r="V240" s="133">
        <f t="shared" si="96"/>
        <v>1</v>
      </c>
      <c r="W240" s="133">
        <f>VLOOKUP(U240,Sheet1!$B$6:$C$45,2,FALSE)*V240</f>
        <v>0</v>
      </c>
      <c r="X240" s="141"/>
      <c r="Y240" s="121" t="s">
        <v>293</v>
      </c>
      <c r="Z240" s="146">
        <f>VLOOKUP(Takeoffs!Y240,Sheet1!$B$6:$C$124,2,FALSE)</f>
        <v>0</v>
      </c>
      <c r="AA240" s="146">
        <f t="shared" si="97"/>
        <v>0</v>
      </c>
      <c r="AB240" s="143">
        <f t="shared" si="98"/>
        <v>1</v>
      </c>
      <c r="AC240" s="133">
        <f t="shared" si="99"/>
        <v>1</v>
      </c>
      <c r="AD240" s="142">
        <v>1</v>
      </c>
      <c r="AE240" s="141"/>
      <c r="AF240" s="121" t="s">
        <v>293</v>
      </c>
      <c r="AG240" s="146">
        <f>VLOOKUP(Takeoffs!AF240,Sheet1!$B$6:$C$124,2,FALSE)</f>
        <v>0</v>
      </c>
      <c r="AH240" s="146">
        <f t="shared" si="100"/>
        <v>0</v>
      </c>
      <c r="AI240" s="143">
        <f t="shared" si="101"/>
        <v>0</v>
      </c>
      <c r="AJ240" s="133">
        <f t="shared" si="102"/>
        <v>1</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1</v>
      </c>
      <c r="T241" s="120"/>
      <c r="U241" s="121" t="s">
        <v>293</v>
      </c>
      <c r="V241" s="133">
        <f t="shared" si="96"/>
        <v>1</v>
      </c>
      <c r="W241" s="133">
        <f>VLOOKUP(U241,Sheet1!$B$6:$C$45,2,FALSE)*V241</f>
        <v>0</v>
      </c>
      <c r="X241" s="141"/>
      <c r="Y241" s="121" t="s">
        <v>293</v>
      </c>
      <c r="Z241" s="146">
        <f>VLOOKUP(Takeoffs!Y241,Sheet1!$B$6:$C$124,2,FALSE)</f>
        <v>0</v>
      </c>
      <c r="AA241" s="146">
        <f t="shared" si="97"/>
        <v>0</v>
      </c>
      <c r="AB241" s="143">
        <f t="shared" si="98"/>
        <v>1</v>
      </c>
      <c r="AC241" s="133">
        <f t="shared" si="99"/>
        <v>1</v>
      </c>
      <c r="AD241" s="142">
        <v>1</v>
      </c>
      <c r="AE241" s="141"/>
      <c r="AF241" s="121" t="s">
        <v>293</v>
      </c>
      <c r="AG241" s="146">
        <f>VLOOKUP(Takeoffs!AF241,Sheet1!$B$6:$C$124,2,FALSE)</f>
        <v>0</v>
      </c>
      <c r="AH241" s="146">
        <f t="shared" si="100"/>
        <v>0</v>
      </c>
      <c r="AI241" s="143">
        <f t="shared" si="101"/>
        <v>0</v>
      </c>
      <c r="AJ241" s="133">
        <f t="shared" si="102"/>
        <v>1</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1</v>
      </c>
      <c r="T242" s="120"/>
      <c r="U242" s="121" t="s">
        <v>293</v>
      </c>
      <c r="V242" s="133">
        <f t="shared" si="96"/>
        <v>1</v>
      </c>
      <c r="W242" s="133">
        <f>VLOOKUP(U242,Sheet1!$B$6:$C$45,2,FALSE)*V242</f>
        <v>0</v>
      </c>
      <c r="X242" s="141"/>
      <c r="Y242" s="121" t="s">
        <v>293</v>
      </c>
      <c r="Z242" s="146">
        <f>VLOOKUP(Takeoffs!Y242,Sheet1!$B$6:$C$124,2,FALSE)</f>
        <v>0</v>
      </c>
      <c r="AA242" s="146">
        <f t="shared" si="97"/>
        <v>0</v>
      </c>
      <c r="AB242" s="143">
        <f t="shared" si="98"/>
        <v>1</v>
      </c>
      <c r="AC242" s="133">
        <f t="shared" si="99"/>
        <v>1</v>
      </c>
      <c r="AD242" s="142">
        <v>1</v>
      </c>
      <c r="AE242" s="141"/>
      <c r="AF242" s="121" t="s">
        <v>293</v>
      </c>
      <c r="AG242" s="146">
        <f>VLOOKUP(Takeoffs!AF242,Sheet1!$B$6:$C$124,2,FALSE)</f>
        <v>0</v>
      </c>
      <c r="AH242" s="146">
        <f t="shared" si="100"/>
        <v>0</v>
      </c>
      <c r="AI242" s="143">
        <f t="shared" si="101"/>
        <v>0</v>
      </c>
      <c r="AJ242" s="133">
        <f t="shared" si="102"/>
        <v>1</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1</v>
      </c>
      <c r="T243" s="120"/>
      <c r="U243" s="121" t="s">
        <v>293</v>
      </c>
      <c r="V243" s="133">
        <f t="shared" si="96"/>
        <v>1</v>
      </c>
      <c r="W243" s="133">
        <f>VLOOKUP(U243,Sheet1!$B$6:$C$45,2,FALSE)*V243</f>
        <v>0</v>
      </c>
      <c r="X243" s="141"/>
      <c r="Y243" s="121" t="s">
        <v>293</v>
      </c>
      <c r="Z243" s="146">
        <f>VLOOKUP(Takeoffs!Y243,Sheet1!$B$6:$C$124,2,FALSE)</f>
        <v>0</v>
      </c>
      <c r="AA243" s="146">
        <f t="shared" si="97"/>
        <v>0</v>
      </c>
      <c r="AB243" s="143">
        <f t="shared" si="98"/>
        <v>1</v>
      </c>
      <c r="AC243" s="133">
        <f t="shared" si="99"/>
        <v>1</v>
      </c>
      <c r="AD243" s="142">
        <v>1</v>
      </c>
      <c r="AE243" s="141"/>
      <c r="AF243" s="121" t="s">
        <v>293</v>
      </c>
      <c r="AG243" s="146">
        <f>VLOOKUP(Takeoffs!AF243,Sheet1!$B$6:$C$124,2,FALSE)</f>
        <v>0</v>
      </c>
      <c r="AH243" s="146">
        <f t="shared" si="100"/>
        <v>0</v>
      </c>
      <c r="AI243" s="143">
        <f t="shared" si="101"/>
        <v>0</v>
      </c>
      <c r="AJ243" s="133">
        <f t="shared" si="102"/>
        <v>1</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330</v>
      </c>
      <c r="P244" s="121"/>
      <c r="Q244" s="66"/>
      <c r="R244" s="121"/>
      <c r="S244" s="133">
        <f>M236</f>
        <v>1</v>
      </c>
      <c r="T244" s="120"/>
      <c r="U244" s="121" t="s">
        <v>242</v>
      </c>
      <c r="V244" s="133">
        <f t="shared" si="96"/>
        <v>1</v>
      </c>
      <c r="W244" s="133">
        <f>VLOOKUP(U244,Sheet1!$B$6:$C$45,2,FALSE)*V244</f>
        <v>2</v>
      </c>
      <c r="X244" s="141"/>
      <c r="Y244" s="121" t="s">
        <v>293</v>
      </c>
      <c r="Z244" s="146">
        <f>VLOOKUP(Takeoffs!Y244,Sheet1!$B$6:$C$124,2,FALSE)</f>
        <v>0</v>
      </c>
      <c r="AA244" s="146">
        <f t="shared" si="97"/>
        <v>0</v>
      </c>
      <c r="AB244" s="143">
        <f t="shared" si="98"/>
        <v>1</v>
      </c>
      <c r="AC244" s="133">
        <f t="shared" si="99"/>
        <v>1</v>
      </c>
      <c r="AD244" s="142">
        <v>1</v>
      </c>
      <c r="AE244" s="141"/>
      <c r="AF244" s="121" t="s">
        <v>293</v>
      </c>
      <c r="AG244" s="146">
        <f>VLOOKUP(Takeoffs!AF244,Sheet1!$B$6:$C$124,2,FALSE)</f>
        <v>0</v>
      </c>
      <c r="AH244" s="146">
        <f t="shared" si="100"/>
        <v>0</v>
      </c>
      <c r="AI244" s="143">
        <f t="shared" si="101"/>
        <v>0</v>
      </c>
      <c r="AJ244" s="133">
        <f t="shared" si="102"/>
        <v>1</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1</v>
      </c>
      <c r="T245" s="120"/>
      <c r="U245" s="121" t="s">
        <v>293</v>
      </c>
      <c r="V245" s="133">
        <f t="shared" si="96"/>
        <v>1</v>
      </c>
      <c r="W245" s="133">
        <f>VLOOKUP(U245,Sheet1!$B$6:$C$45,2,FALSE)*V245</f>
        <v>0</v>
      </c>
      <c r="X245" s="141"/>
      <c r="Y245" s="121" t="s">
        <v>293</v>
      </c>
      <c r="Z245" s="146">
        <f>VLOOKUP(Takeoffs!Y245,Sheet1!$B$6:$C$124,2,FALSE)</f>
        <v>0</v>
      </c>
      <c r="AA245" s="146">
        <f t="shared" si="97"/>
        <v>0</v>
      </c>
      <c r="AB245" s="143">
        <f t="shared" si="98"/>
        <v>1</v>
      </c>
      <c r="AC245" s="133">
        <f t="shared" si="99"/>
        <v>1</v>
      </c>
      <c r="AD245" s="142">
        <v>1</v>
      </c>
      <c r="AE245" s="141"/>
      <c r="AF245" s="121" t="s">
        <v>293</v>
      </c>
      <c r="AG245" s="146">
        <f>VLOOKUP(Takeoffs!AF245,Sheet1!$B$6:$C$124,2,FALSE)</f>
        <v>0</v>
      </c>
      <c r="AH245" s="146">
        <f t="shared" si="100"/>
        <v>0</v>
      </c>
      <c r="AI245" s="143">
        <f t="shared" si="101"/>
        <v>0</v>
      </c>
      <c r="AJ245" s="133">
        <f t="shared" si="102"/>
        <v>1</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637</v>
      </c>
      <c r="P246" s="121"/>
      <c r="Q246" s="66"/>
      <c r="R246" s="121"/>
      <c r="S246" s="133">
        <f>M236</f>
        <v>1</v>
      </c>
      <c r="T246" s="120"/>
      <c r="U246" s="121" t="s">
        <v>365</v>
      </c>
      <c r="V246" s="133">
        <f t="shared" si="96"/>
        <v>1</v>
      </c>
      <c r="W246" s="133">
        <f>VLOOKUP(U246,Sheet1!$B$6:$C$45,2,FALSE)*V246</f>
        <v>1</v>
      </c>
      <c r="X246" s="141"/>
      <c r="Y246" s="135" t="s">
        <v>591</v>
      </c>
      <c r="Z246" s="146">
        <f>VLOOKUP(Takeoffs!Y246,Sheet1!$B$6:$C$124,2,FALSE)</f>
        <v>96</v>
      </c>
      <c r="AA246" s="146">
        <f t="shared" si="97"/>
        <v>96</v>
      </c>
      <c r="AB246" s="143">
        <f t="shared" si="98"/>
        <v>1</v>
      </c>
      <c r="AC246" s="133">
        <f t="shared" si="99"/>
        <v>1</v>
      </c>
      <c r="AD246" s="142">
        <v>1</v>
      </c>
      <c r="AE246" s="141"/>
      <c r="AF246" s="121" t="s">
        <v>293</v>
      </c>
      <c r="AG246" s="146">
        <f>VLOOKUP(Takeoffs!AF246,Sheet1!$B$6:$C$124,2,FALSE)</f>
        <v>0</v>
      </c>
      <c r="AH246" s="146">
        <f t="shared" si="100"/>
        <v>0</v>
      </c>
      <c r="AI246" s="143">
        <f t="shared" si="101"/>
        <v>0</v>
      </c>
      <c r="AJ246" s="133">
        <f t="shared" si="102"/>
        <v>1</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1</v>
      </c>
      <c r="T247" s="120"/>
      <c r="U247" s="121" t="s">
        <v>293</v>
      </c>
      <c r="V247" s="133">
        <f t="shared" si="96"/>
        <v>1</v>
      </c>
      <c r="W247" s="133">
        <f>VLOOKUP(U247,Sheet1!$B$6:$C$45,2,FALSE)*V247</f>
        <v>0</v>
      </c>
      <c r="X247" s="141"/>
      <c r="Y247" s="121" t="s">
        <v>293</v>
      </c>
      <c r="Z247" s="146">
        <f>VLOOKUP(Takeoffs!Y247,Sheet1!$B$6:$C$124,2,FALSE)</f>
        <v>0</v>
      </c>
      <c r="AA247" s="146">
        <f t="shared" si="97"/>
        <v>0</v>
      </c>
      <c r="AB247" s="143">
        <f t="shared" si="98"/>
        <v>1</v>
      </c>
      <c r="AC247" s="133">
        <f t="shared" si="99"/>
        <v>1</v>
      </c>
      <c r="AD247" s="142">
        <v>1</v>
      </c>
      <c r="AE247" s="141"/>
      <c r="AF247" s="121" t="s">
        <v>293</v>
      </c>
      <c r="AG247" s="146">
        <f>VLOOKUP(Takeoffs!AF247,Sheet1!$B$6:$C$124,2,FALSE)</f>
        <v>0</v>
      </c>
      <c r="AH247" s="146">
        <f t="shared" si="100"/>
        <v>0</v>
      </c>
      <c r="AI247" s="143">
        <f t="shared" si="101"/>
        <v>0</v>
      </c>
      <c r="AJ247" s="133">
        <f t="shared" si="102"/>
        <v>1</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1</v>
      </c>
      <c r="T248" s="120"/>
      <c r="U248" s="121" t="s">
        <v>293</v>
      </c>
      <c r="V248" s="133">
        <f t="shared" si="96"/>
        <v>1</v>
      </c>
      <c r="W248" s="133">
        <f>VLOOKUP(U248,Sheet1!$B$6:$C$45,2,FALSE)*V248</f>
        <v>0</v>
      </c>
      <c r="X248" s="141"/>
      <c r="Y248" s="121" t="s">
        <v>293</v>
      </c>
      <c r="Z248" s="146">
        <f>VLOOKUP(Takeoffs!Y248,Sheet1!$B$6:$C$124,2,FALSE)</f>
        <v>0</v>
      </c>
      <c r="AA248" s="146">
        <f t="shared" si="97"/>
        <v>0</v>
      </c>
      <c r="AB248" s="143">
        <f t="shared" si="98"/>
        <v>1</v>
      </c>
      <c r="AC248" s="133">
        <f t="shared" si="99"/>
        <v>1</v>
      </c>
      <c r="AD248" s="142">
        <v>1</v>
      </c>
      <c r="AE248" s="141"/>
      <c r="AF248" s="144" t="s">
        <v>269</v>
      </c>
      <c r="AG248" s="146">
        <f>VLOOKUP(Takeoffs!AF248,Sheet1!$B$6:$C$124,2,FALSE)</f>
        <v>1.056</v>
      </c>
      <c r="AH248" s="146">
        <f t="shared" si="100"/>
        <v>31.68</v>
      </c>
      <c r="AI248" s="143">
        <f t="shared" si="101"/>
        <v>30</v>
      </c>
      <c r="AJ248" s="133">
        <f t="shared" si="102"/>
        <v>1</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1</v>
      </c>
      <c r="T249" s="120"/>
      <c r="U249" s="121" t="s">
        <v>232</v>
      </c>
      <c r="V249" s="133">
        <f t="shared" si="96"/>
        <v>1</v>
      </c>
      <c r="W249" s="133">
        <f>VLOOKUP(U249,Sheet1!$B$6:$C$45,2,FALSE)*V249</f>
        <v>1</v>
      </c>
      <c r="X249" s="141"/>
      <c r="Y249" s="122" t="s">
        <v>281</v>
      </c>
      <c r="Z249" s="146">
        <f>VLOOKUP(Takeoffs!Y249,Sheet1!$B$6:$C$124,2,FALSE)</f>
        <v>109.25999999999999</v>
      </c>
      <c r="AA249" s="146">
        <f t="shared" si="97"/>
        <v>109.25999999999999</v>
      </c>
      <c r="AB249" s="143">
        <f t="shared" si="98"/>
        <v>1</v>
      </c>
      <c r="AC249" s="133">
        <f t="shared" si="99"/>
        <v>1</v>
      </c>
      <c r="AD249" s="142">
        <v>1</v>
      </c>
      <c r="AE249" s="141"/>
      <c r="AF249" s="121" t="s">
        <v>293</v>
      </c>
      <c r="AG249" s="146">
        <f>VLOOKUP(Takeoffs!AF249,Sheet1!$B$6:$C$124,2,FALSE)</f>
        <v>0</v>
      </c>
      <c r="AH249" s="146">
        <f t="shared" si="100"/>
        <v>0</v>
      </c>
      <c r="AI249" s="143">
        <f t="shared" si="101"/>
        <v>0</v>
      </c>
      <c r="AJ249" s="133">
        <f t="shared" si="102"/>
        <v>1</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1</v>
      </c>
      <c r="T250" s="120"/>
      <c r="U250" s="121" t="s">
        <v>293</v>
      </c>
      <c r="V250" s="133">
        <f t="shared" si="96"/>
        <v>1</v>
      </c>
      <c r="W250" s="133">
        <f>VLOOKUP(U250,Sheet1!$B$6:$C$45,2,FALSE)*V250</f>
        <v>0</v>
      </c>
      <c r="X250" s="141"/>
      <c r="Y250" s="121" t="s">
        <v>293</v>
      </c>
      <c r="Z250" s="146">
        <f>VLOOKUP(Takeoffs!Y250,Sheet1!$B$6:$C$124,2,FALSE)</f>
        <v>0</v>
      </c>
      <c r="AA250" s="146">
        <f t="shared" si="97"/>
        <v>0</v>
      </c>
      <c r="AB250" s="143">
        <f t="shared" si="98"/>
        <v>1</v>
      </c>
      <c r="AC250" s="133">
        <f t="shared" si="99"/>
        <v>1</v>
      </c>
      <c r="AD250" s="142">
        <v>1</v>
      </c>
      <c r="AE250" s="141"/>
      <c r="AF250" s="121" t="s">
        <v>293</v>
      </c>
      <c r="AG250" s="146">
        <f>VLOOKUP(Takeoffs!AF250,Sheet1!$B$6:$C$124,2,FALSE)</f>
        <v>0</v>
      </c>
      <c r="AH250" s="146">
        <f t="shared" si="100"/>
        <v>0</v>
      </c>
      <c r="AI250" s="143">
        <f t="shared" si="101"/>
        <v>0</v>
      </c>
      <c r="AJ250" s="133">
        <f t="shared" si="102"/>
        <v>1</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339</v>
      </c>
      <c r="P251" s="121"/>
      <c r="Q251" s="66"/>
      <c r="R251" s="121" t="s">
        <v>333</v>
      </c>
      <c r="S251" s="133">
        <f>M236</f>
        <v>1</v>
      </c>
      <c r="T251" s="120"/>
      <c r="U251" s="121" t="s">
        <v>293</v>
      </c>
      <c r="V251" s="133">
        <f t="shared" si="96"/>
        <v>1</v>
      </c>
      <c r="W251" s="133">
        <f>VLOOKUP(U251,Sheet1!$B$6:$C$45,2,FALSE)*V251</f>
        <v>0</v>
      </c>
      <c r="X251" s="141"/>
      <c r="Y251" s="122" t="s">
        <v>280</v>
      </c>
      <c r="Z251" s="146">
        <f>VLOOKUP(Takeoffs!Y251,Sheet1!$B$6:$C$124,2,FALSE)</f>
        <v>19.2</v>
      </c>
      <c r="AA251" s="146">
        <f t="shared" si="97"/>
        <v>38.4</v>
      </c>
      <c r="AB251" s="143">
        <f t="shared" si="98"/>
        <v>2</v>
      </c>
      <c r="AC251" s="133">
        <f t="shared" si="99"/>
        <v>1</v>
      </c>
      <c r="AD251" s="142">
        <v>2</v>
      </c>
      <c r="AE251" s="141"/>
      <c r="AF251" s="121" t="s">
        <v>293</v>
      </c>
      <c r="AG251" s="146">
        <f>VLOOKUP(Takeoffs!AF251,Sheet1!$B$6:$C$124,2,FALSE)</f>
        <v>0</v>
      </c>
      <c r="AH251" s="146">
        <f t="shared" si="100"/>
        <v>0</v>
      </c>
      <c r="AI251" s="143">
        <f t="shared" si="101"/>
        <v>0</v>
      </c>
      <c r="AJ251" s="133">
        <f t="shared" si="102"/>
        <v>1</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1</v>
      </c>
      <c r="T252" s="120"/>
      <c r="U252" s="121" t="s">
        <v>293</v>
      </c>
      <c r="V252" s="133">
        <f t="shared" si="96"/>
        <v>1</v>
      </c>
      <c r="W252" s="133">
        <f>VLOOKUP(U252,Sheet1!$B$6:$C$45,2,FALSE)*V252</f>
        <v>0</v>
      </c>
      <c r="X252" s="141"/>
      <c r="Y252" s="121" t="s">
        <v>293</v>
      </c>
      <c r="Z252" s="146">
        <f>VLOOKUP(Takeoffs!Y252,Sheet1!$B$6:$C$124,2,FALSE)</f>
        <v>0</v>
      </c>
      <c r="AA252" s="146">
        <f t="shared" si="97"/>
        <v>0</v>
      </c>
      <c r="AB252" s="143">
        <f t="shared" si="98"/>
        <v>1</v>
      </c>
      <c r="AC252" s="133">
        <f t="shared" si="99"/>
        <v>1</v>
      </c>
      <c r="AD252" s="142">
        <v>1</v>
      </c>
      <c r="AE252" s="141"/>
      <c r="AF252" s="121" t="s">
        <v>293</v>
      </c>
      <c r="AG252" s="146">
        <f>VLOOKUP(Takeoffs!AF252,Sheet1!$B$6:$C$124,2,FALSE)</f>
        <v>0</v>
      </c>
      <c r="AH252" s="146">
        <f t="shared" si="100"/>
        <v>0</v>
      </c>
      <c r="AI252" s="143">
        <f t="shared" si="101"/>
        <v>0</v>
      </c>
      <c r="AJ252" s="133">
        <f t="shared" si="102"/>
        <v>1</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331</v>
      </c>
      <c r="P253" s="121"/>
      <c r="Q253" s="66"/>
      <c r="R253" s="121" t="s">
        <v>305</v>
      </c>
      <c r="S253" s="133">
        <f>M236</f>
        <v>1</v>
      </c>
      <c r="T253" s="120"/>
      <c r="U253" s="121" t="s">
        <v>293</v>
      </c>
      <c r="V253" s="133">
        <f t="shared" si="96"/>
        <v>1</v>
      </c>
      <c r="W253" s="133">
        <f>VLOOKUP(U253,Sheet1!$B$6:$C$45,2,FALSE)*V253</f>
        <v>0</v>
      </c>
      <c r="X253" s="141"/>
      <c r="Y253" s="122" t="s">
        <v>277</v>
      </c>
      <c r="Z253" s="146">
        <f>VLOOKUP(Takeoffs!Y253,Sheet1!$B$6:$C$124,2,FALSE)</f>
        <v>69.540000000000006</v>
      </c>
      <c r="AA253" s="146">
        <f t="shared" si="97"/>
        <v>69.540000000000006</v>
      </c>
      <c r="AB253" s="143">
        <f t="shared" si="98"/>
        <v>1</v>
      </c>
      <c r="AC253" s="133">
        <f t="shared" si="99"/>
        <v>1</v>
      </c>
      <c r="AD253" s="142">
        <v>1</v>
      </c>
      <c r="AE253" s="141"/>
      <c r="AF253" s="121" t="s">
        <v>293</v>
      </c>
      <c r="AG253" s="146">
        <f>VLOOKUP(Takeoffs!AF253,Sheet1!$B$6:$C$124,2,FALSE)</f>
        <v>0</v>
      </c>
      <c r="AH253" s="146">
        <f t="shared" si="100"/>
        <v>0</v>
      </c>
      <c r="AI253" s="143">
        <f t="shared" si="101"/>
        <v>0</v>
      </c>
      <c r="AJ253" s="133">
        <f t="shared" si="102"/>
        <v>1</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340</v>
      </c>
      <c r="P254" s="121"/>
      <c r="Q254" s="66"/>
      <c r="R254" s="121"/>
      <c r="S254" s="133">
        <f>M236</f>
        <v>1</v>
      </c>
      <c r="T254" s="120"/>
      <c r="U254" s="121" t="s">
        <v>293</v>
      </c>
      <c r="V254" s="133">
        <f t="shared" si="96"/>
        <v>1</v>
      </c>
      <c r="W254" s="133">
        <f>VLOOKUP(U254,Sheet1!$B$6:$C$45,2,FALSE)*V254</f>
        <v>0</v>
      </c>
      <c r="X254" s="141"/>
      <c r="Y254" s="122" t="s">
        <v>335</v>
      </c>
      <c r="Z254" s="146">
        <f>VLOOKUP(Takeoffs!Y254,Sheet1!$B$6:$C$124,2,FALSE)</f>
        <v>60</v>
      </c>
      <c r="AA254" s="146">
        <f t="shared" si="97"/>
        <v>60</v>
      </c>
      <c r="AB254" s="143">
        <f t="shared" si="98"/>
        <v>1</v>
      </c>
      <c r="AC254" s="133">
        <f t="shared" si="99"/>
        <v>1</v>
      </c>
      <c r="AD254" s="142">
        <v>1</v>
      </c>
      <c r="AE254" s="141"/>
      <c r="AF254" s="121" t="s">
        <v>293</v>
      </c>
      <c r="AG254" s="146">
        <f>VLOOKUP(Takeoffs!AF254,Sheet1!$B$6:$C$124,2,FALSE)</f>
        <v>0</v>
      </c>
      <c r="AH254" s="146">
        <f t="shared" si="100"/>
        <v>0</v>
      </c>
      <c r="AI254" s="143">
        <f t="shared" si="101"/>
        <v>0</v>
      </c>
      <c r="AJ254" s="133">
        <f t="shared" si="102"/>
        <v>1</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404</v>
      </c>
      <c r="P255" s="121"/>
      <c r="Q255" s="66"/>
      <c r="R255" s="121"/>
      <c r="S255" s="133">
        <f>M236</f>
        <v>1</v>
      </c>
      <c r="T255" s="120"/>
      <c r="U255" s="121" t="s">
        <v>293</v>
      </c>
      <c r="V255" s="133">
        <f t="shared" si="96"/>
        <v>1</v>
      </c>
      <c r="W255" s="133">
        <f>VLOOKUP(U255,Sheet1!$B$6:$C$45,2,FALSE)*V255</f>
        <v>0</v>
      </c>
      <c r="X255" s="141"/>
      <c r="Y255" s="122" t="s">
        <v>336</v>
      </c>
      <c r="Z255" s="146">
        <f>VLOOKUP(Takeoffs!Y255,Sheet1!$B$6:$C$124,2,FALSE)</f>
        <v>56.4</v>
      </c>
      <c r="AA255" s="146">
        <f t="shared" si="97"/>
        <v>56.4</v>
      </c>
      <c r="AB255" s="143">
        <f t="shared" si="98"/>
        <v>1</v>
      </c>
      <c r="AC255" s="133">
        <f t="shared" si="99"/>
        <v>1</v>
      </c>
      <c r="AD255" s="142">
        <v>1</v>
      </c>
      <c r="AE255" s="141"/>
      <c r="AF255" s="121" t="s">
        <v>293</v>
      </c>
      <c r="AG255" s="146">
        <f>VLOOKUP(Takeoffs!AF255,Sheet1!$B$6:$C$124,2,FALSE)</f>
        <v>0</v>
      </c>
      <c r="AH255" s="146">
        <f t="shared" si="100"/>
        <v>0</v>
      </c>
      <c r="AI255" s="143">
        <f t="shared" si="101"/>
        <v>0</v>
      </c>
      <c r="AJ255" s="133">
        <f t="shared" si="102"/>
        <v>1</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410</v>
      </c>
      <c r="P256" s="121"/>
      <c r="Q256" s="66"/>
      <c r="R256" s="121"/>
      <c r="S256" s="133">
        <f>M236</f>
        <v>1</v>
      </c>
      <c r="T256" s="120"/>
      <c r="U256" s="121" t="s">
        <v>364</v>
      </c>
      <c r="V256" s="133">
        <f t="shared" si="96"/>
        <v>1</v>
      </c>
      <c r="W256" s="133">
        <f>VLOOKUP(U256,Sheet1!$B$6:$C$45,2,FALSE)*V256</f>
        <v>1</v>
      </c>
      <c r="X256" s="141"/>
      <c r="Y256" s="121" t="s">
        <v>293</v>
      </c>
      <c r="Z256" s="146">
        <f>VLOOKUP(Takeoffs!Y256,Sheet1!$B$6:$C$124,2,FALSE)</f>
        <v>0</v>
      </c>
      <c r="AA256" s="146">
        <f t="shared" si="97"/>
        <v>0</v>
      </c>
      <c r="AB256" s="143">
        <f t="shared" si="98"/>
        <v>1</v>
      </c>
      <c r="AC256" s="133">
        <f t="shared" si="99"/>
        <v>1</v>
      </c>
      <c r="AD256" s="142">
        <v>1</v>
      </c>
      <c r="AE256" s="141"/>
      <c r="AF256" s="121" t="s">
        <v>293</v>
      </c>
      <c r="AG256" s="146">
        <f>VLOOKUP(Takeoffs!AF256,Sheet1!$B$6:$C$124,2,FALSE)</f>
        <v>0</v>
      </c>
      <c r="AH256" s="146">
        <f t="shared" si="100"/>
        <v>0</v>
      </c>
      <c r="AI256" s="143">
        <f t="shared" si="101"/>
        <v>0</v>
      </c>
      <c r="AJ256" s="133">
        <f t="shared" si="102"/>
        <v>1</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379</v>
      </c>
      <c r="L257" s="128" t="s">
        <v>380</v>
      </c>
      <c r="N257" s="129"/>
      <c r="O257" s="130" t="s">
        <v>359</v>
      </c>
      <c r="P257" s="171">
        <f>V257+AA257+AH257</f>
        <v>1085.1439999999998</v>
      </c>
      <c r="Q257" s="131"/>
      <c r="R257" s="131"/>
      <c r="S257" s="130"/>
      <c r="T257" s="127"/>
      <c r="U257" s="126" t="s">
        <v>353</v>
      </c>
      <c r="V257" s="127">
        <f>W257*80</f>
        <v>560</v>
      </c>
      <c r="W257" s="147">
        <f>SUM(W236:W256)</f>
        <v>7</v>
      </c>
      <c r="X257" s="148"/>
      <c r="Y257" s="127" t="s">
        <v>354</v>
      </c>
      <c r="Z257" s="116"/>
      <c r="AA257" s="116">
        <f>SUM(AA236:AA256)</f>
        <v>476.06399999999996</v>
      </c>
      <c r="AB257" s="149"/>
      <c r="AC257" s="149"/>
      <c r="AD257" s="149"/>
      <c r="AE257" s="149"/>
      <c r="AF257" s="127" t="s">
        <v>358</v>
      </c>
      <c r="AG257" s="116"/>
      <c r="AH257" s="116">
        <f>SUM(AH236:AH256)</f>
        <v>49.08</v>
      </c>
      <c r="AI257" s="149"/>
      <c r="AJ257" s="149"/>
      <c r="AK257" s="149"/>
      <c r="AL257" s="149"/>
      <c r="AM257" s="150">
        <f>P257</f>
        <v>1085.1439999999998</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494</v>
      </c>
      <c r="C258" s="217" t="str">
        <f>N236</f>
        <v>timeclock controlled DOL fan - from local power supply</v>
      </c>
      <c r="D258" s="260" t="str">
        <f>IF(B258="Shopping List",IF(ISNUMBER(SEARCH("MSSB",C258)),"MSSB",IF(ISNUMBER(SEARCH("local",C258)),"LOCAL","")))</f>
        <v>LOCAL</v>
      </c>
      <c r="E258" s="238"/>
      <c r="F258" s="217"/>
      <c r="G258" s="139"/>
      <c r="H258" s="245"/>
      <c r="I258" s="270">
        <v>1</v>
      </c>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one (1)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1085.1439999999998</v>
      </c>
      <c r="L258" s="234" t="str">
        <f>CONCATENATE(Q237,Q238,Q239,Q240,Q241,Q242,Q243,Q244,Q245,Q246,Q247,Q248,Q249,Q250,Q251,Q252,Q253,Q254,Q255,Q256,)</f>
        <v xml:space="preserve">local power supply </v>
      </c>
      <c r="M258" s="166" t="s">
        <v>369</v>
      </c>
      <c r="N258" s="160" t="str">
        <f>N236</f>
        <v>timeclock controlled DOL fan - from local power supply</v>
      </c>
      <c r="O258" s="160" t="s">
        <v>367</v>
      </c>
      <c r="P258" s="171">
        <f>P257/M236</f>
        <v>1085.1439999999998</v>
      </c>
      <c r="Q258" s="161"/>
      <c r="R258" s="161"/>
      <c r="S258" s="160"/>
      <c r="T258" s="161"/>
      <c r="U258" s="327" t="s">
        <v>368</v>
      </c>
      <c r="V258" s="327"/>
      <c r="W258" s="162">
        <f>W257/M236</f>
        <v>7</v>
      </c>
      <c r="X258" s="163"/>
      <c r="Y258" s="325" t="s">
        <v>367</v>
      </c>
      <c r="Z258" s="325"/>
      <c r="AA258" s="164">
        <f>AA257/M236</f>
        <v>476.06399999999996</v>
      </c>
      <c r="AB258" s="161"/>
      <c r="AC258" s="161"/>
      <c r="AD258" s="161"/>
      <c r="AE258" s="161"/>
      <c r="AF258" s="325" t="s">
        <v>367</v>
      </c>
      <c r="AG258" s="325"/>
      <c r="AH258" s="164">
        <f>AH257/M236</f>
        <v>49.08</v>
      </c>
      <c r="AI258" s="161"/>
      <c r="AJ258" s="161"/>
      <c r="AK258" s="161"/>
      <c r="AL258" s="247"/>
      <c r="AM258" s="64">
        <f>K258*1.25</f>
        <v>1356.4299999999998</v>
      </c>
      <c r="AN258" s="236">
        <f>K258*$D$9</f>
        <v>271.28599999999994</v>
      </c>
      <c r="AO258" s="286"/>
      <c r="AP258" s="284">
        <f t="shared" si="80"/>
        <v>1085.1439999999998</v>
      </c>
      <c r="AQ258" s="281">
        <f t="shared" si="81"/>
        <v>560</v>
      </c>
      <c r="AR258" s="284">
        <f t="shared" si="82"/>
        <v>476.06399999999996</v>
      </c>
      <c r="AS258" s="281">
        <f t="shared" si="83"/>
        <v>49.08</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454</v>
      </c>
      <c r="M259" s="2" t="s">
        <v>107</v>
      </c>
      <c r="N259" s="2" t="s">
        <v>108</v>
      </c>
      <c r="O259" s="97" t="s">
        <v>388</v>
      </c>
      <c r="P259" s="326" t="s">
        <v>377</v>
      </c>
      <c r="Q259" s="326"/>
      <c r="R259" s="101" t="s">
        <v>454</v>
      </c>
      <c r="S259" s="2" t="s">
        <v>0</v>
      </c>
      <c r="T259" s="9"/>
      <c r="U259" s="2" t="s">
        <v>288</v>
      </c>
      <c r="V259" s="2" t="s">
        <v>289</v>
      </c>
      <c r="W259" s="2" t="s">
        <v>292</v>
      </c>
      <c r="X259" s="58"/>
      <c r="Y259" s="2" t="s">
        <v>290</v>
      </c>
      <c r="Z259" s="2" t="s">
        <v>356</v>
      </c>
      <c r="AA259" s="2" t="s">
        <v>357</v>
      </c>
      <c r="AB259" s="2" t="s">
        <v>319</v>
      </c>
      <c r="AC259" s="2" t="s">
        <v>320</v>
      </c>
      <c r="AD259" s="2" t="s">
        <v>318</v>
      </c>
      <c r="AE259" s="58"/>
      <c r="AF259" s="2" t="s">
        <v>294</v>
      </c>
      <c r="AG259" s="2" t="s">
        <v>356</v>
      </c>
      <c r="AH259" s="2" t="s">
        <v>357</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one</v>
      </c>
      <c r="M260" s="121">
        <f>I282</f>
        <v>1</v>
      </c>
      <c r="N260" s="27" t="s">
        <v>337</v>
      </c>
      <c r="O260" s="12" t="s">
        <v>349</v>
      </c>
      <c r="P260" s="96" t="s">
        <v>381</v>
      </c>
      <c r="Q260" s="96" t="s">
        <v>377</v>
      </c>
      <c r="R260" s="96"/>
      <c r="S260" s="28">
        <f>M260</f>
        <v>1</v>
      </c>
      <c r="T260" s="10"/>
      <c r="U260" s="12" t="s">
        <v>293</v>
      </c>
      <c r="V260" s="28">
        <f>S260</f>
        <v>1</v>
      </c>
      <c r="W260" s="28">
        <f>VLOOKUP(U260,Sheet1!$B$6:$C$45,2,FALSE)*V260</f>
        <v>0</v>
      </c>
      <c r="X260" s="59"/>
      <c r="Y260" s="12" t="s">
        <v>293</v>
      </c>
      <c r="Z260" s="68">
        <f>VLOOKUP(Takeoffs!Y260,Sheet1!$B$6:$C$124,2,FALSE)</f>
        <v>0</v>
      </c>
      <c r="AA260" s="68">
        <f>Z260*AB260</f>
        <v>0</v>
      </c>
      <c r="AB260" s="63">
        <f>AD260*AC260</f>
        <v>1</v>
      </c>
      <c r="AC260" s="28">
        <f>S260</f>
        <v>1</v>
      </c>
      <c r="AD260" s="61">
        <v>1</v>
      </c>
      <c r="AE260" s="59"/>
      <c r="AF260" s="12" t="s">
        <v>293</v>
      </c>
      <c r="AG260" s="68">
        <f>VLOOKUP(Takeoffs!AF260,Sheet1!$B$6:$C$124,2,FALSE)</f>
        <v>0</v>
      </c>
      <c r="AH260" s="68">
        <f>AG260*AI260</f>
        <v>0</v>
      </c>
      <c r="AI260" s="63">
        <f>AK260*AJ260</f>
        <v>0</v>
      </c>
      <c r="AJ260" s="28">
        <f>S260</f>
        <v>1</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342</v>
      </c>
      <c r="P261" s="12"/>
      <c r="Q261" s="66"/>
      <c r="R261" s="12"/>
      <c r="S261" s="28">
        <f>M260</f>
        <v>1</v>
      </c>
      <c r="T261" s="11"/>
      <c r="U261" s="12" t="s">
        <v>233</v>
      </c>
      <c r="V261" s="28">
        <f t="shared" ref="V261:V280" si="106">S261</f>
        <v>1</v>
      </c>
      <c r="W261" s="28">
        <f>VLOOKUP(U261,Sheet1!$B$6:$C$45,2,FALSE)*V261</f>
        <v>1</v>
      </c>
      <c r="X261" s="59"/>
      <c r="Y261" s="12" t="s">
        <v>293</v>
      </c>
      <c r="Z261" s="68">
        <f>VLOOKUP(Takeoffs!Y261,Sheet1!$B$6:$C$124,2,FALSE)</f>
        <v>0</v>
      </c>
      <c r="AA261" s="68">
        <f t="shared" ref="AA261:AA280" si="107">Z261*AB261</f>
        <v>0</v>
      </c>
      <c r="AB261" s="63">
        <f t="shared" ref="AB261:AB280" si="108">AD261*AC261</f>
        <v>1</v>
      </c>
      <c r="AC261" s="28">
        <f>S261</f>
        <v>1</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1</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443</v>
      </c>
      <c r="P262" s="121" t="s">
        <v>542</v>
      </c>
      <c r="Q262" s="66" t="s">
        <v>690</v>
      </c>
      <c r="R262" s="12"/>
      <c r="S262" s="28">
        <f>M260</f>
        <v>1</v>
      </c>
      <c r="T262" s="11"/>
      <c r="U262" s="12" t="s">
        <v>363</v>
      </c>
      <c r="V262" s="28">
        <f t="shared" si="106"/>
        <v>1</v>
      </c>
      <c r="W262" s="28">
        <f>VLOOKUP(U262,Sheet1!$B$6:$C$45,2,FALSE)*V262</f>
        <v>1</v>
      </c>
      <c r="X262" s="59"/>
      <c r="Y262" s="12" t="s">
        <v>293</v>
      </c>
      <c r="Z262" s="68">
        <f>VLOOKUP(Takeoffs!Y262,Sheet1!$B$6:$C$124,2,FALSE)</f>
        <v>0</v>
      </c>
      <c r="AA262" s="68">
        <f t="shared" si="107"/>
        <v>0</v>
      </c>
      <c r="AB262" s="63">
        <f t="shared" si="108"/>
        <v>1</v>
      </c>
      <c r="AC262" s="28">
        <f>S262</f>
        <v>1</v>
      </c>
      <c r="AD262" s="61">
        <v>1</v>
      </c>
      <c r="AE262" s="59"/>
      <c r="AF262" s="13" t="s">
        <v>267</v>
      </c>
      <c r="AG262" s="68">
        <f>VLOOKUP(Takeoffs!AF262,Sheet1!$B$6:$C$124,2,FALSE)</f>
        <v>3.48</v>
      </c>
      <c r="AH262" s="68">
        <f t="shared" si="109"/>
        <v>17.399999999999999</v>
      </c>
      <c r="AI262" s="63">
        <f t="shared" si="110"/>
        <v>5</v>
      </c>
      <c r="AJ262" s="28">
        <f t="shared" si="111"/>
        <v>1</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408</v>
      </c>
      <c r="P263" s="12"/>
      <c r="Q263" s="66"/>
      <c r="R263" s="12"/>
      <c r="S263" s="28">
        <f>M260</f>
        <v>1</v>
      </c>
      <c r="T263" s="11"/>
      <c r="U263" s="12" t="s">
        <v>293</v>
      </c>
      <c r="V263" s="28">
        <f t="shared" si="106"/>
        <v>1</v>
      </c>
      <c r="W263" s="28">
        <f>VLOOKUP(U263,Sheet1!$B$6:$C$45,2,FALSE)*V263</f>
        <v>0</v>
      </c>
      <c r="X263" s="59"/>
      <c r="Y263" s="13" t="s">
        <v>245</v>
      </c>
      <c r="Z263" s="68">
        <f>VLOOKUP(Takeoffs!Y263,Sheet1!$B$6:$C$124,2,FALSE)</f>
        <v>46.463999999999999</v>
      </c>
      <c r="AA263" s="68">
        <f t="shared" si="107"/>
        <v>46.463999999999999</v>
      </c>
      <c r="AB263" s="63">
        <f t="shared" si="108"/>
        <v>1</v>
      </c>
      <c r="AC263" s="28">
        <f t="shared" ref="AC263:AC280" si="113">S263</f>
        <v>1</v>
      </c>
      <c r="AD263" s="61">
        <v>1</v>
      </c>
      <c r="AE263" s="59"/>
      <c r="AF263" s="12" t="s">
        <v>293</v>
      </c>
      <c r="AG263" s="68">
        <f>VLOOKUP(Takeoffs!AF263,Sheet1!$B$6:$C$124,2,FALSE)</f>
        <v>0</v>
      </c>
      <c r="AH263" s="68">
        <f t="shared" si="109"/>
        <v>0</v>
      </c>
      <c r="AI263" s="63">
        <f t="shared" si="110"/>
        <v>0</v>
      </c>
      <c r="AJ263" s="28">
        <f t="shared" si="111"/>
        <v>1</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1</v>
      </c>
      <c r="T264" s="11"/>
      <c r="U264" s="12" t="s">
        <v>293</v>
      </c>
      <c r="V264" s="28">
        <f t="shared" si="106"/>
        <v>1</v>
      </c>
      <c r="W264" s="28">
        <f>VLOOKUP(U264,Sheet1!$B$6:$C$45,2,FALSE)*V264</f>
        <v>0</v>
      </c>
      <c r="X264" s="59"/>
      <c r="Y264" s="12" t="s">
        <v>293</v>
      </c>
      <c r="Z264" s="68">
        <f>VLOOKUP(Takeoffs!Y264,Sheet1!$B$6:$C$124,2,FALSE)</f>
        <v>0</v>
      </c>
      <c r="AA264" s="68">
        <f t="shared" si="107"/>
        <v>0</v>
      </c>
      <c r="AB264" s="63">
        <f t="shared" si="108"/>
        <v>1</v>
      </c>
      <c r="AC264" s="28">
        <f t="shared" si="113"/>
        <v>1</v>
      </c>
      <c r="AD264" s="61">
        <v>1</v>
      </c>
      <c r="AE264" s="59"/>
      <c r="AF264" s="12" t="s">
        <v>293</v>
      </c>
      <c r="AG264" s="68">
        <f>VLOOKUP(Takeoffs!AF264,Sheet1!$B$6:$C$124,2,FALSE)</f>
        <v>0</v>
      </c>
      <c r="AH264" s="68">
        <f t="shared" si="109"/>
        <v>0</v>
      </c>
      <c r="AI264" s="63">
        <f t="shared" si="110"/>
        <v>0</v>
      </c>
      <c r="AJ264" s="28">
        <f t="shared" si="111"/>
        <v>1</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1</v>
      </c>
      <c r="T265" s="11"/>
      <c r="U265" s="12" t="s">
        <v>293</v>
      </c>
      <c r="V265" s="28">
        <f t="shared" si="106"/>
        <v>1</v>
      </c>
      <c r="W265" s="28">
        <f>VLOOKUP(U265,Sheet1!$B$6:$C$45,2,FALSE)*V265</f>
        <v>0</v>
      </c>
      <c r="X265" s="59"/>
      <c r="Y265" s="12" t="s">
        <v>293</v>
      </c>
      <c r="Z265" s="68">
        <f>VLOOKUP(Takeoffs!Y265,Sheet1!$B$6:$C$124,2,FALSE)</f>
        <v>0</v>
      </c>
      <c r="AA265" s="68">
        <f t="shared" si="107"/>
        <v>0</v>
      </c>
      <c r="AB265" s="63">
        <f t="shared" si="108"/>
        <v>1</v>
      </c>
      <c r="AC265" s="28">
        <f t="shared" si="113"/>
        <v>1</v>
      </c>
      <c r="AD265" s="61">
        <v>1</v>
      </c>
      <c r="AE265" s="59"/>
      <c r="AF265" s="12" t="s">
        <v>293</v>
      </c>
      <c r="AG265" s="68">
        <f>VLOOKUP(Takeoffs!AF265,Sheet1!$B$6:$C$124,2,FALSE)</f>
        <v>0</v>
      </c>
      <c r="AH265" s="68">
        <f t="shared" si="109"/>
        <v>0</v>
      </c>
      <c r="AI265" s="63">
        <f t="shared" si="110"/>
        <v>0</v>
      </c>
      <c r="AJ265" s="28">
        <f t="shared" si="111"/>
        <v>1</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1</v>
      </c>
      <c r="T266" s="11"/>
      <c r="U266" s="12" t="s">
        <v>293</v>
      </c>
      <c r="V266" s="28">
        <f t="shared" si="106"/>
        <v>1</v>
      </c>
      <c r="W266" s="28">
        <f>VLOOKUP(U266,Sheet1!$B$6:$C$45,2,FALSE)*V266</f>
        <v>0</v>
      </c>
      <c r="X266" s="59"/>
      <c r="Y266" s="12" t="s">
        <v>293</v>
      </c>
      <c r="Z266" s="68">
        <f>VLOOKUP(Takeoffs!Y266,Sheet1!$B$6:$C$124,2,FALSE)</f>
        <v>0</v>
      </c>
      <c r="AA266" s="68">
        <f t="shared" si="107"/>
        <v>0</v>
      </c>
      <c r="AB266" s="63">
        <f t="shared" si="108"/>
        <v>1</v>
      </c>
      <c r="AC266" s="28">
        <f t="shared" si="113"/>
        <v>1</v>
      </c>
      <c r="AD266" s="61">
        <v>1</v>
      </c>
      <c r="AE266" s="59"/>
      <c r="AF266" s="12" t="s">
        <v>293</v>
      </c>
      <c r="AG266" s="68">
        <f>VLOOKUP(Takeoffs!AF266,Sheet1!$B$6:$C$124,2,FALSE)</f>
        <v>0</v>
      </c>
      <c r="AH266" s="68">
        <f t="shared" si="109"/>
        <v>0</v>
      </c>
      <c r="AI266" s="63">
        <f t="shared" si="110"/>
        <v>0</v>
      </c>
      <c r="AJ266" s="28">
        <f t="shared" si="111"/>
        <v>1</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1</v>
      </c>
      <c r="T267" s="11"/>
      <c r="U267" s="12" t="s">
        <v>293</v>
      </c>
      <c r="V267" s="28">
        <f t="shared" si="106"/>
        <v>1</v>
      </c>
      <c r="W267" s="28">
        <f>VLOOKUP(U267,Sheet1!$B$6:$C$45,2,FALSE)*V267</f>
        <v>0</v>
      </c>
      <c r="X267" s="59"/>
      <c r="Y267" s="12" t="s">
        <v>293</v>
      </c>
      <c r="Z267" s="68">
        <f>VLOOKUP(Takeoffs!Y267,Sheet1!$B$6:$C$124,2,FALSE)</f>
        <v>0</v>
      </c>
      <c r="AA267" s="68">
        <f t="shared" si="107"/>
        <v>0</v>
      </c>
      <c r="AB267" s="63">
        <f t="shared" si="108"/>
        <v>1</v>
      </c>
      <c r="AC267" s="28">
        <f t="shared" si="113"/>
        <v>1</v>
      </c>
      <c r="AD267" s="61">
        <v>1</v>
      </c>
      <c r="AE267" s="59"/>
      <c r="AF267" s="12" t="s">
        <v>293</v>
      </c>
      <c r="AG267" s="68">
        <f>VLOOKUP(Takeoffs!AF267,Sheet1!$B$6:$C$124,2,FALSE)</f>
        <v>0</v>
      </c>
      <c r="AH267" s="68">
        <f t="shared" si="109"/>
        <v>0</v>
      </c>
      <c r="AI267" s="63">
        <f t="shared" si="110"/>
        <v>0</v>
      </c>
      <c r="AJ267" s="28">
        <f t="shared" si="111"/>
        <v>1</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330</v>
      </c>
      <c r="P268" s="12"/>
      <c r="Q268" s="66"/>
      <c r="R268" s="12"/>
      <c r="S268" s="28">
        <f>M260</f>
        <v>1</v>
      </c>
      <c r="T268" s="11"/>
      <c r="U268" s="12" t="s">
        <v>242</v>
      </c>
      <c r="V268" s="28">
        <f t="shared" si="106"/>
        <v>1</v>
      </c>
      <c r="W268" s="28">
        <f>VLOOKUP(U268,Sheet1!$B$6:$C$45,2,FALSE)*V268</f>
        <v>2</v>
      </c>
      <c r="X268" s="59"/>
      <c r="Y268" s="12" t="s">
        <v>293</v>
      </c>
      <c r="Z268" s="68">
        <f>VLOOKUP(Takeoffs!Y268,Sheet1!$B$6:$C$124,2,FALSE)</f>
        <v>0</v>
      </c>
      <c r="AA268" s="68">
        <f t="shared" si="107"/>
        <v>0</v>
      </c>
      <c r="AB268" s="63">
        <f t="shared" si="108"/>
        <v>1</v>
      </c>
      <c r="AC268" s="28">
        <f t="shared" si="113"/>
        <v>1</v>
      </c>
      <c r="AD268" s="61">
        <v>1</v>
      </c>
      <c r="AE268" s="59"/>
      <c r="AF268" s="12" t="s">
        <v>293</v>
      </c>
      <c r="AG268" s="68">
        <f>VLOOKUP(Takeoffs!AF268,Sheet1!$B$6:$C$124,2,FALSE)</f>
        <v>0</v>
      </c>
      <c r="AH268" s="68">
        <f t="shared" si="109"/>
        <v>0</v>
      </c>
      <c r="AI268" s="63">
        <f t="shared" si="110"/>
        <v>0</v>
      </c>
      <c r="AJ268" s="28">
        <f t="shared" si="111"/>
        <v>1</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1</v>
      </c>
      <c r="T269" s="11"/>
      <c r="U269" s="12" t="s">
        <v>293</v>
      </c>
      <c r="V269" s="28">
        <f t="shared" si="106"/>
        <v>1</v>
      </c>
      <c r="W269" s="28">
        <f>VLOOKUP(U269,Sheet1!$B$6:$C$45,2,FALSE)*V269</f>
        <v>0</v>
      </c>
      <c r="X269" s="59"/>
      <c r="Y269" s="12" t="s">
        <v>293</v>
      </c>
      <c r="Z269" s="68">
        <f>VLOOKUP(Takeoffs!Y269,Sheet1!$B$6:$C$124,2,FALSE)</f>
        <v>0</v>
      </c>
      <c r="AA269" s="68">
        <f t="shared" si="107"/>
        <v>0</v>
      </c>
      <c r="AB269" s="63">
        <f t="shared" si="108"/>
        <v>1</v>
      </c>
      <c r="AC269" s="28">
        <f t="shared" si="113"/>
        <v>1</v>
      </c>
      <c r="AD269" s="61">
        <v>1</v>
      </c>
      <c r="AE269" s="59"/>
      <c r="AF269" s="12" t="s">
        <v>293</v>
      </c>
      <c r="AG269" s="68">
        <f>VLOOKUP(Takeoffs!AF269,Sheet1!$B$6:$C$124,2,FALSE)</f>
        <v>0</v>
      </c>
      <c r="AH269" s="68">
        <f t="shared" si="109"/>
        <v>0</v>
      </c>
      <c r="AI269" s="63">
        <f t="shared" si="110"/>
        <v>0</v>
      </c>
      <c r="AJ269" s="28">
        <f t="shared" si="111"/>
        <v>1</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338</v>
      </c>
      <c r="P270" s="12"/>
      <c r="Q270" s="66"/>
      <c r="R270" s="12"/>
      <c r="S270" s="28">
        <f>M260</f>
        <v>1</v>
      </c>
      <c r="T270" s="11"/>
      <c r="U270" s="12" t="s">
        <v>365</v>
      </c>
      <c r="V270" s="28">
        <f t="shared" si="106"/>
        <v>1</v>
      </c>
      <c r="W270" s="28">
        <f>VLOOKUP(U270,Sheet1!$B$6:$C$45,2,FALSE)*V270</f>
        <v>1</v>
      </c>
      <c r="X270" s="59"/>
      <c r="Y270" s="13" t="s">
        <v>273</v>
      </c>
      <c r="Z270" s="68">
        <f>VLOOKUP(Takeoffs!Y270,Sheet1!$B$6:$C$124,2,FALSE)</f>
        <v>307.2</v>
      </c>
      <c r="AA270" s="68">
        <f t="shared" si="107"/>
        <v>307.2</v>
      </c>
      <c r="AB270" s="63">
        <f t="shared" si="108"/>
        <v>1</v>
      </c>
      <c r="AC270" s="28">
        <f t="shared" si="113"/>
        <v>1</v>
      </c>
      <c r="AD270" s="61">
        <v>1</v>
      </c>
      <c r="AE270" s="59"/>
      <c r="AF270" s="12" t="s">
        <v>293</v>
      </c>
      <c r="AG270" s="68">
        <f>VLOOKUP(Takeoffs!AF270,Sheet1!$B$6:$C$124,2,FALSE)</f>
        <v>0</v>
      </c>
      <c r="AH270" s="68">
        <f t="shared" si="109"/>
        <v>0</v>
      </c>
      <c r="AI270" s="63">
        <f t="shared" si="110"/>
        <v>0</v>
      </c>
      <c r="AJ270" s="28">
        <f t="shared" si="111"/>
        <v>1</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1</v>
      </c>
      <c r="T271" s="11"/>
      <c r="U271" s="12" t="s">
        <v>293</v>
      </c>
      <c r="V271" s="28">
        <f t="shared" si="106"/>
        <v>1</v>
      </c>
      <c r="W271" s="28">
        <f>VLOOKUP(U271,Sheet1!$B$6:$C$45,2,FALSE)*V271</f>
        <v>0</v>
      </c>
      <c r="X271" s="59"/>
      <c r="Y271" s="12" t="s">
        <v>293</v>
      </c>
      <c r="Z271" s="68">
        <f>VLOOKUP(Takeoffs!Y271,Sheet1!$B$6:$C$124,2,FALSE)</f>
        <v>0</v>
      </c>
      <c r="AA271" s="68">
        <f t="shared" si="107"/>
        <v>0</v>
      </c>
      <c r="AB271" s="63">
        <f t="shared" si="108"/>
        <v>1</v>
      </c>
      <c r="AC271" s="28">
        <f t="shared" si="113"/>
        <v>1</v>
      </c>
      <c r="AD271" s="61">
        <v>1</v>
      </c>
      <c r="AE271" s="59"/>
      <c r="AF271" s="12" t="s">
        <v>293</v>
      </c>
      <c r="AG271" s="68">
        <f>VLOOKUP(Takeoffs!AF271,Sheet1!$B$6:$C$124,2,FALSE)</f>
        <v>0</v>
      </c>
      <c r="AH271" s="68">
        <f t="shared" si="109"/>
        <v>0</v>
      </c>
      <c r="AI271" s="63">
        <f t="shared" si="110"/>
        <v>0</v>
      </c>
      <c r="AJ271" s="28">
        <f t="shared" si="111"/>
        <v>1</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1</v>
      </c>
      <c r="T272" s="11"/>
      <c r="U272" s="12" t="s">
        <v>293</v>
      </c>
      <c r="V272" s="28">
        <f t="shared" si="106"/>
        <v>1</v>
      </c>
      <c r="W272" s="28">
        <f>VLOOKUP(U272,Sheet1!$B$6:$C$45,2,FALSE)*V272</f>
        <v>0</v>
      </c>
      <c r="X272" s="59"/>
      <c r="Y272" s="12" t="s">
        <v>293</v>
      </c>
      <c r="Z272" s="68">
        <f>VLOOKUP(Takeoffs!Y272,Sheet1!$B$6:$C$124,2,FALSE)</f>
        <v>0</v>
      </c>
      <c r="AA272" s="68">
        <f t="shared" si="107"/>
        <v>0</v>
      </c>
      <c r="AB272" s="63">
        <f t="shared" si="108"/>
        <v>1</v>
      </c>
      <c r="AC272" s="28">
        <f t="shared" si="113"/>
        <v>1</v>
      </c>
      <c r="AD272" s="61">
        <v>1</v>
      </c>
      <c r="AE272" s="59"/>
      <c r="AF272" s="65" t="s">
        <v>269</v>
      </c>
      <c r="AG272" s="68">
        <f>VLOOKUP(Takeoffs!AF272,Sheet1!$B$6:$C$124,2,FALSE)</f>
        <v>1.056</v>
      </c>
      <c r="AH272" s="68">
        <f t="shared" si="109"/>
        <v>31.68</v>
      </c>
      <c r="AI272" s="63">
        <f t="shared" si="110"/>
        <v>30</v>
      </c>
      <c r="AJ272" s="28">
        <f t="shared" si="111"/>
        <v>1</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1</v>
      </c>
      <c r="T273" s="11"/>
      <c r="U273" s="12" t="s">
        <v>232</v>
      </c>
      <c r="V273" s="28">
        <f t="shared" si="106"/>
        <v>1</v>
      </c>
      <c r="W273" s="28">
        <f>VLOOKUP(U273,Sheet1!$B$6:$C$45,2,FALSE)*V273</f>
        <v>1</v>
      </c>
      <c r="X273" s="59"/>
      <c r="Y273" s="13" t="s">
        <v>281</v>
      </c>
      <c r="Z273" s="68">
        <f>VLOOKUP(Takeoffs!Y273,Sheet1!$B$6:$C$124,2,FALSE)</f>
        <v>109.25999999999999</v>
      </c>
      <c r="AA273" s="68">
        <f t="shared" si="107"/>
        <v>109.25999999999999</v>
      </c>
      <c r="AB273" s="63">
        <f t="shared" si="108"/>
        <v>1</v>
      </c>
      <c r="AC273" s="28">
        <f t="shared" si="113"/>
        <v>1</v>
      </c>
      <c r="AD273" s="61">
        <v>1</v>
      </c>
      <c r="AE273" s="59"/>
      <c r="AF273" s="12" t="s">
        <v>293</v>
      </c>
      <c r="AG273" s="68">
        <f>VLOOKUP(Takeoffs!AF273,Sheet1!$B$6:$C$124,2,FALSE)</f>
        <v>0</v>
      </c>
      <c r="AH273" s="68">
        <f t="shared" si="109"/>
        <v>0</v>
      </c>
      <c r="AI273" s="63">
        <f t="shared" si="110"/>
        <v>0</v>
      </c>
      <c r="AJ273" s="28">
        <f t="shared" si="111"/>
        <v>1</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1</v>
      </c>
      <c r="T274" s="11"/>
      <c r="U274" s="12" t="s">
        <v>293</v>
      </c>
      <c r="V274" s="28">
        <f t="shared" si="106"/>
        <v>1</v>
      </c>
      <c r="W274" s="28">
        <f>VLOOKUP(U274,Sheet1!$B$6:$C$45,2,FALSE)*V274</f>
        <v>0</v>
      </c>
      <c r="X274" s="59"/>
      <c r="Y274" s="12" t="s">
        <v>293</v>
      </c>
      <c r="Z274" s="68">
        <f>VLOOKUP(Takeoffs!Y274,Sheet1!$B$6:$C$124,2,FALSE)</f>
        <v>0</v>
      </c>
      <c r="AA274" s="68">
        <f t="shared" si="107"/>
        <v>0</v>
      </c>
      <c r="AB274" s="63">
        <f t="shared" si="108"/>
        <v>1</v>
      </c>
      <c r="AC274" s="28">
        <f t="shared" si="113"/>
        <v>1</v>
      </c>
      <c r="AD274" s="61">
        <v>1</v>
      </c>
      <c r="AE274" s="59"/>
      <c r="AF274" s="12" t="s">
        <v>293</v>
      </c>
      <c r="AG274" s="68">
        <f>VLOOKUP(Takeoffs!AF274,Sheet1!$B$6:$C$124,2,FALSE)</f>
        <v>0</v>
      </c>
      <c r="AH274" s="68">
        <f t="shared" si="109"/>
        <v>0</v>
      </c>
      <c r="AI274" s="63">
        <f t="shared" si="110"/>
        <v>0</v>
      </c>
      <c r="AJ274" s="28">
        <f t="shared" si="111"/>
        <v>1</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339</v>
      </c>
      <c r="P275" s="12"/>
      <c r="Q275" s="66"/>
      <c r="R275" s="12" t="s">
        <v>333</v>
      </c>
      <c r="S275" s="28">
        <f>M260</f>
        <v>1</v>
      </c>
      <c r="T275" s="11"/>
      <c r="U275" s="12" t="s">
        <v>293</v>
      </c>
      <c r="V275" s="28">
        <f t="shared" si="106"/>
        <v>1</v>
      </c>
      <c r="W275" s="28">
        <f>VLOOKUP(U275,Sheet1!$B$6:$C$45,2,FALSE)*V275</f>
        <v>0</v>
      </c>
      <c r="X275" s="59"/>
      <c r="Y275" s="13" t="s">
        <v>280</v>
      </c>
      <c r="Z275" s="68">
        <f>VLOOKUP(Takeoffs!Y275,Sheet1!$B$6:$C$124,2,FALSE)</f>
        <v>19.2</v>
      </c>
      <c r="AA275" s="68">
        <f t="shared" si="107"/>
        <v>38.4</v>
      </c>
      <c r="AB275" s="63">
        <f t="shared" si="108"/>
        <v>2</v>
      </c>
      <c r="AC275" s="28">
        <f t="shared" si="113"/>
        <v>1</v>
      </c>
      <c r="AD275" s="61">
        <v>2</v>
      </c>
      <c r="AE275" s="59"/>
      <c r="AF275" s="12" t="s">
        <v>293</v>
      </c>
      <c r="AG275" s="68">
        <f>VLOOKUP(Takeoffs!AF275,Sheet1!$B$6:$C$124,2,FALSE)</f>
        <v>0</v>
      </c>
      <c r="AH275" s="68">
        <f t="shared" si="109"/>
        <v>0</v>
      </c>
      <c r="AI275" s="63">
        <f t="shared" si="110"/>
        <v>0</v>
      </c>
      <c r="AJ275" s="28">
        <f t="shared" si="111"/>
        <v>1</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1</v>
      </c>
      <c r="T276" s="11"/>
      <c r="U276" s="12" t="s">
        <v>293</v>
      </c>
      <c r="V276" s="28">
        <f t="shared" si="106"/>
        <v>1</v>
      </c>
      <c r="W276" s="28">
        <f>VLOOKUP(U276,Sheet1!$B$6:$C$45,2,FALSE)*V276</f>
        <v>0</v>
      </c>
      <c r="X276" s="59"/>
      <c r="Y276" s="12" t="s">
        <v>293</v>
      </c>
      <c r="Z276" s="68">
        <f>VLOOKUP(Takeoffs!Y276,Sheet1!$B$6:$C$124,2,FALSE)</f>
        <v>0</v>
      </c>
      <c r="AA276" s="68">
        <f t="shared" si="107"/>
        <v>0</v>
      </c>
      <c r="AB276" s="63">
        <f t="shared" si="108"/>
        <v>1</v>
      </c>
      <c r="AC276" s="28">
        <f t="shared" si="113"/>
        <v>1</v>
      </c>
      <c r="AD276" s="61">
        <v>1</v>
      </c>
      <c r="AE276" s="59"/>
      <c r="AF276" s="12" t="s">
        <v>293</v>
      </c>
      <c r="AG276" s="68">
        <f>VLOOKUP(Takeoffs!AF276,Sheet1!$B$6:$C$124,2,FALSE)</f>
        <v>0</v>
      </c>
      <c r="AH276" s="68">
        <f t="shared" si="109"/>
        <v>0</v>
      </c>
      <c r="AI276" s="63">
        <f t="shared" si="110"/>
        <v>0</v>
      </c>
      <c r="AJ276" s="28">
        <f t="shared" si="111"/>
        <v>1</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331</v>
      </c>
      <c r="P277" s="12"/>
      <c r="Q277" s="66"/>
      <c r="R277" s="12" t="s">
        <v>305</v>
      </c>
      <c r="S277" s="28">
        <f>M260</f>
        <v>1</v>
      </c>
      <c r="T277" s="11"/>
      <c r="U277" s="12" t="s">
        <v>293</v>
      </c>
      <c r="V277" s="28">
        <f t="shared" si="106"/>
        <v>1</v>
      </c>
      <c r="W277" s="28">
        <f>VLOOKUP(U277,Sheet1!$B$6:$C$45,2,FALSE)*V277</f>
        <v>0</v>
      </c>
      <c r="X277" s="59"/>
      <c r="Y277" s="13" t="s">
        <v>277</v>
      </c>
      <c r="Z277" s="68">
        <f>VLOOKUP(Takeoffs!Y277,Sheet1!$B$6:$C$124,2,FALSE)</f>
        <v>69.540000000000006</v>
      </c>
      <c r="AA277" s="68">
        <f t="shared" si="107"/>
        <v>69.540000000000006</v>
      </c>
      <c r="AB277" s="63">
        <f t="shared" si="108"/>
        <v>1</v>
      </c>
      <c r="AC277" s="28">
        <f t="shared" si="113"/>
        <v>1</v>
      </c>
      <c r="AD277" s="61">
        <v>1</v>
      </c>
      <c r="AE277" s="59"/>
      <c r="AF277" s="12" t="s">
        <v>293</v>
      </c>
      <c r="AG277" s="68">
        <f>VLOOKUP(Takeoffs!AF277,Sheet1!$B$6:$C$124,2,FALSE)</f>
        <v>0</v>
      </c>
      <c r="AH277" s="68">
        <f t="shared" si="109"/>
        <v>0</v>
      </c>
      <c r="AI277" s="63">
        <f t="shared" si="110"/>
        <v>0</v>
      </c>
      <c r="AJ277" s="28">
        <f t="shared" si="111"/>
        <v>1</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340</v>
      </c>
      <c r="P278" s="12"/>
      <c r="Q278" s="66"/>
      <c r="R278" s="12"/>
      <c r="S278" s="28">
        <f>M260</f>
        <v>1</v>
      </c>
      <c r="T278" s="11"/>
      <c r="U278" s="12" t="s">
        <v>293</v>
      </c>
      <c r="V278" s="28">
        <f t="shared" si="106"/>
        <v>1</v>
      </c>
      <c r="W278" s="28">
        <f>VLOOKUP(U278,Sheet1!$B$6:$C$45,2,FALSE)*V278</f>
        <v>0</v>
      </c>
      <c r="X278" s="59"/>
      <c r="Y278" s="13" t="s">
        <v>335</v>
      </c>
      <c r="Z278" s="68">
        <f>VLOOKUP(Takeoffs!Y278,Sheet1!$B$6:$C$124,2,FALSE)</f>
        <v>60</v>
      </c>
      <c r="AA278" s="68">
        <f t="shared" si="107"/>
        <v>60</v>
      </c>
      <c r="AB278" s="63">
        <f t="shared" si="108"/>
        <v>1</v>
      </c>
      <c r="AC278" s="28">
        <f t="shared" si="113"/>
        <v>1</v>
      </c>
      <c r="AD278" s="61">
        <v>1</v>
      </c>
      <c r="AE278" s="59"/>
      <c r="AF278" s="12" t="s">
        <v>293</v>
      </c>
      <c r="AG278" s="68">
        <f>VLOOKUP(Takeoffs!AF278,Sheet1!$B$6:$C$124,2,FALSE)</f>
        <v>0</v>
      </c>
      <c r="AH278" s="68">
        <f t="shared" si="109"/>
        <v>0</v>
      </c>
      <c r="AI278" s="63">
        <f t="shared" si="110"/>
        <v>0</v>
      </c>
      <c r="AJ278" s="28">
        <f t="shared" si="111"/>
        <v>1</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404</v>
      </c>
      <c r="P279" s="12"/>
      <c r="Q279" s="66"/>
      <c r="R279" s="12"/>
      <c r="S279" s="28">
        <f>M260</f>
        <v>1</v>
      </c>
      <c r="T279" s="11"/>
      <c r="U279" s="12" t="s">
        <v>293</v>
      </c>
      <c r="V279" s="28">
        <f t="shared" si="106"/>
        <v>1</v>
      </c>
      <c r="W279" s="28">
        <f>VLOOKUP(U279,Sheet1!$B$6:$C$45,2,FALSE)*V279</f>
        <v>0</v>
      </c>
      <c r="X279" s="59"/>
      <c r="Y279" s="13" t="s">
        <v>336</v>
      </c>
      <c r="Z279" s="68">
        <f>VLOOKUP(Takeoffs!Y279,Sheet1!$B$6:$C$124,2,FALSE)</f>
        <v>56.4</v>
      </c>
      <c r="AA279" s="68">
        <f t="shared" si="107"/>
        <v>56.4</v>
      </c>
      <c r="AB279" s="63">
        <f t="shared" si="108"/>
        <v>1</v>
      </c>
      <c r="AC279" s="28">
        <f t="shared" si="113"/>
        <v>1</v>
      </c>
      <c r="AD279" s="61">
        <v>1</v>
      </c>
      <c r="AE279" s="59"/>
      <c r="AF279" s="12" t="s">
        <v>293</v>
      </c>
      <c r="AG279" s="68">
        <f>VLOOKUP(Takeoffs!AF279,Sheet1!$B$6:$C$124,2,FALSE)</f>
        <v>0</v>
      </c>
      <c r="AH279" s="68">
        <f t="shared" si="109"/>
        <v>0</v>
      </c>
      <c r="AI279" s="63">
        <f t="shared" si="110"/>
        <v>0</v>
      </c>
      <c r="AJ279" s="28">
        <f t="shared" si="111"/>
        <v>1</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410</v>
      </c>
      <c r="P280" s="12"/>
      <c r="Q280" s="66"/>
      <c r="R280" s="12"/>
      <c r="S280" s="28">
        <f>M260</f>
        <v>1</v>
      </c>
      <c r="T280" s="11"/>
      <c r="U280" s="12" t="s">
        <v>364</v>
      </c>
      <c r="V280" s="28">
        <f t="shared" si="106"/>
        <v>1</v>
      </c>
      <c r="W280" s="28">
        <f>VLOOKUP(U280,Sheet1!$B$6:$C$45,2,FALSE)*V280</f>
        <v>1</v>
      </c>
      <c r="X280" s="59"/>
      <c r="Y280" s="12" t="s">
        <v>293</v>
      </c>
      <c r="Z280" s="68">
        <f>VLOOKUP(Takeoffs!Y280,Sheet1!$B$6:$C$124,2,FALSE)</f>
        <v>0</v>
      </c>
      <c r="AA280" s="68">
        <f t="shared" si="107"/>
        <v>0</v>
      </c>
      <c r="AB280" s="63">
        <f t="shared" si="108"/>
        <v>1</v>
      </c>
      <c r="AC280" s="28">
        <f t="shared" si="113"/>
        <v>1</v>
      </c>
      <c r="AD280" s="61">
        <v>1</v>
      </c>
      <c r="AE280" s="59"/>
      <c r="AF280" s="12" t="s">
        <v>293</v>
      </c>
      <c r="AG280" s="68">
        <f>VLOOKUP(Takeoffs!AF280,Sheet1!$B$6:$C$124,2,FALSE)</f>
        <v>0</v>
      </c>
      <c r="AH280" s="68">
        <f t="shared" si="109"/>
        <v>0</v>
      </c>
      <c r="AI280" s="63">
        <f t="shared" si="110"/>
        <v>0</v>
      </c>
      <c r="AJ280" s="28">
        <f t="shared" si="111"/>
        <v>1</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379</v>
      </c>
      <c r="L281" s="21" t="s">
        <v>380</v>
      </c>
      <c r="N281" s="22"/>
      <c r="O281" s="23" t="s">
        <v>359</v>
      </c>
      <c r="P281" s="98">
        <f>V281+AA281+AH281</f>
        <v>1296.3439999999998</v>
      </c>
      <c r="Q281" s="24"/>
      <c r="R281" s="24"/>
      <c r="S281" s="23"/>
      <c r="T281" s="20"/>
      <c r="U281" s="19" t="s">
        <v>353</v>
      </c>
      <c r="V281" s="20">
        <f>W281*80</f>
        <v>560</v>
      </c>
      <c r="W281" s="69">
        <f>SUM(W260:W280)</f>
        <v>7</v>
      </c>
      <c r="X281" s="70"/>
      <c r="Y281" s="20" t="s">
        <v>354</v>
      </c>
      <c r="Z281" s="2"/>
      <c r="AA281" s="2">
        <f>SUM(AA260:AA280)</f>
        <v>687.2639999999999</v>
      </c>
      <c r="AB281" s="71"/>
      <c r="AC281" s="71"/>
      <c r="AD281" s="71"/>
      <c r="AE281" s="71"/>
      <c r="AF281" s="20" t="s">
        <v>358</v>
      </c>
      <c r="AG281" s="2"/>
      <c r="AH281" s="2">
        <f>SUM(AH260:AH280)</f>
        <v>49.08</v>
      </c>
      <c r="AI281" s="71"/>
      <c r="AJ281" s="71"/>
      <c r="AK281" s="71"/>
      <c r="AL281" s="71"/>
      <c r="AM281" s="150">
        <f>P281</f>
        <v>1296.3439999999998</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494</v>
      </c>
      <c r="C282" s="217" t="str">
        <f>N260</f>
        <v>temperature controlled fan - from local power supply</v>
      </c>
      <c r="D282" s="260" t="str">
        <f>IF(B282="Shopping List",IF(ISNUMBER(SEARCH("MSSB",C282)),"MSSB",IF(ISNUMBER(SEARCH("local",C282)),"LOCAL","")))</f>
        <v>LOCAL</v>
      </c>
      <c r="E282" s="238"/>
      <c r="F282" s="217"/>
      <c r="G282" s="217"/>
      <c r="H282" s="245"/>
      <c r="I282" s="270">
        <v>1</v>
      </c>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one (1)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1296.3439999999998</v>
      </c>
      <c r="L282" s="234" t="str">
        <f>CONCATENATE(Q261,Q262,Q263,Q264,Q265,Q266,Q267,Q268,Q269,Q270,Q271,Q272,Q273,Q274,Q275,Q276,Q277,Q278,Q279,Q280,)</f>
        <v xml:space="preserve">local power supply </v>
      </c>
      <c r="M282" s="91" t="s">
        <v>369</v>
      </c>
      <c r="N282" s="83" t="str">
        <f>N260</f>
        <v>temperature controlled fan - from local power supply</v>
      </c>
      <c r="O282" s="83" t="s">
        <v>367</v>
      </c>
      <c r="P282" s="84">
        <f>P281/M260</f>
        <v>1296.3439999999998</v>
      </c>
      <c r="Q282" s="84"/>
      <c r="R282" s="84"/>
      <c r="S282" s="83"/>
      <c r="T282" s="84"/>
      <c r="U282" s="327" t="s">
        <v>368</v>
      </c>
      <c r="V282" s="327"/>
      <c r="W282" s="85">
        <f>W281/M260</f>
        <v>7</v>
      </c>
      <c r="X282" s="86"/>
      <c r="Y282" s="325" t="s">
        <v>367</v>
      </c>
      <c r="Z282" s="325"/>
      <c r="AA282" s="87">
        <f>AA281/M260</f>
        <v>687.2639999999999</v>
      </c>
      <c r="AB282" s="84"/>
      <c r="AC282" s="84"/>
      <c r="AD282" s="84"/>
      <c r="AE282" s="84"/>
      <c r="AF282" s="325" t="s">
        <v>367</v>
      </c>
      <c r="AG282" s="325"/>
      <c r="AH282" s="87">
        <f>AH281/M260</f>
        <v>49.08</v>
      </c>
      <c r="AI282" s="84"/>
      <c r="AJ282" s="84"/>
      <c r="AK282" s="84"/>
      <c r="AL282" s="247"/>
      <c r="AM282" s="257"/>
      <c r="AN282" s="236">
        <f>K282*$D$9</f>
        <v>324.08599999999996</v>
      </c>
      <c r="AO282" s="286"/>
      <c r="AP282" s="284">
        <f t="shared" si="116"/>
        <v>1296.3439999999998</v>
      </c>
      <c r="AQ282" s="281">
        <f t="shared" si="117"/>
        <v>560</v>
      </c>
      <c r="AR282" s="284">
        <f t="shared" si="118"/>
        <v>687.2639999999999</v>
      </c>
      <c r="AS282" s="281">
        <f t="shared" si="119"/>
        <v>49.08</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454</v>
      </c>
      <c r="M283" s="116" t="s">
        <v>107</v>
      </c>
      <c r="N283" s="116" t="s">
        <v>108</v>
      </c>
      <c r="O283" s="170" t="s">
        <v>388</v>
      </c>
      <c r="P283" s="326" t="s">
        <v>377</v>
      </c>
      <c r="Q283" s="326"/>
      <c r="R283" s="101" t="s">
        <v>454</v>
      </c>
      <c r="S283" s="116" t="s">
        <v>0</v>
      </c>
      <c r="T283" s="118"/>
      <c r="U283" s="116" t="s">
        <v>288</v>
      </c>
      <c r="V283" s="116" t="s">
        <v>289</v>
      </c>
      <c r="W283" s="116" t="s">
        <v>292</v>
      </c>
      <c r="X283" s="140"/>
      <c r="Y283" s="116" t="s">
        <v>290</v>
      </c>
      <c r="Z283" s="116" t="s">
        <v>356</v>
      </c>
      <c r="AA283" s="116" t="s">
        <v>357</v>
      </c>
      <c r="AB283" s="116" t="s">
        <v>319</v>
      </c>
      <c r="AC283" s="116" t="s">
        <v>320</v>
      </c>
      <c r="AD283" s="116" t="s">
        <v>318</v>
      </c>
      <c r="AE283" s="140"/>
      <c r="AF283" s="116" t="s">
        <v>294</v>
      </c>
      <c r="AG283" s="116" t="s">
        <v>356</v>
      </c>
      <c r="AH283" s="116" t="s">
        <v>357</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one</v>
      </c>
      <c r="M284" s="121">
        <f>I306</f>
        <v>1</v>
      </c>
      <c r="N284" s="132" t="s">
        <v>573</v>
      </c>
      <c r="O284" s="121" t="s">
        <v>349</v>
      </c>
      <c r="P284" s="169" t="s">
        <v>381</v>
      </c>
      <c r="Q284" s="169" t="s">
        <v>377</v>
      </c>
      <c r="R284" s="169"/>
      <c r="S284" s="133">
        <f>M284</f>
        <v>1</v>
      </c>
      <c r="T284" s="119"/>
      <c r="U284" s="153" t="s">
        <v>293</v>
      </c>
      <c r="V284" s="133">
        <f>S284</f>
        <v>1</v>
      </c>
      <c r="W284" s="133">
        <f>VLOOKUP(U284,Sheet1!$B$6:$C$45,2,FALSE)*V284</f>
        <v>0</v>
      </c>
      <c r="X284" s="141"/>
      <c r="Y284" s="121" t="s">
        <v>293</v>
      </c>
      <c r="Z284" s="146">
        <f>VLOOKUP(Takeoffs!Y284,Sheet1!$B$6:$C$124,2,FALSE)</f>
        <v>0</v>
      </c>
      <c r="AA284" s="146">
        <f>Z284*AB284</f>
        <v>0</v>
      </c>
      <c r="AB284" s="143">
        <f>AD284*AC284</f>
        <v>1</v>
      </c>
      <c r="AC284" s="133">
        <f>S284</f>
        <v>1</v>
      </c>
      <c r="AD284" s="142">
        <v>1</v>
      </c>
      <c r="AE284" s="141"/>
      <c r="AF284" s="121" t="s">
        <v>293</v>
      </c>
      <c r="AG284" s="146">
        <f>VLOOKUP(Takeoffs!AF284,Sheet1!$B$6:$C$124,2,FALSE)</f>
        <v>0</v>
      </c>
      <c r="AH284" s="146">
        <f>AG284*AI284</f>
        <v>0</v>
      </c>
      <c r="AI284" s="143">
        <f>AK284*AJ284</f>
        <v>0</v>
      </c>
      <c r="AJ284" s="133">
        <f>S284</f>
        <v>1</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413</v>
      </c>
      <c r="P285" s="121"/>
      <c r="Q285" s="121"/>
      <c r="R285" s="121"/>
      <c r="S285" s="133">
        <f>M284</f>
        <v>1</v>
      </c>
      <c r="T285" s="120"/>
      <c r="U285" s="121" t="s">
        <v>235</v>
      </c>
      <c r="V285" s="133">
        <f t="shared" ref="V285:V304" si="121">S285</f>
        <v>1</v>
      </c>
      <c r="W285" s="133">
        <f>VLOOKUP(U285,Sheet1!$B$6:$C$45,2,FALSE)*V285</f>
        <v>1.5</v>
      </c>
      <c r="X285" s="141"/>
      <c r="Y285" s="121" t="s">
        <v>293</v>
      </c>
      <c r="Z285" s="146">
        <f>VLOOKUP(Takeoffs!Y285,Sheet1!$B$6:$C$124,2,FALSE)</f>
        <v>0</v>
      </c>
      <c r="AA285" s="146">
        <f t="shared" ref="AA285:AA304" si="122">Z285*AB285</f>
        <v>0</v>
      </c>
      <c r="AB285" s="143">
        <f t="shared" ref="AB285:AB304" si="123">AD285*AC285</f>
        <v>1</v>
      </c>
      <c r="AC285" s="133">
        <f t="shared" ref="AC285:AC304" si="124">S285</f>
        <v>1</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1</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1</v>
      </c>
      <c r="T286" s="120"/>
      <c r="U286" s="121" t="s">
        <v>293</v>
      </c>
      <c r="V286" s="133">
        <f t="shared" si="121"/>
        <v>1</v>
      </c>
      <c r="W286" s="133">
        <f>VLOOKUP(U286,Sheet1!$B$6:$C$45,2,FALSE)*V286</f>
        <v>0</v>
      </c>
      <c r="X286" s="141"/>
      <c r="Y286" s="122" t="s">
        <v>252</v>
      </c>
      <c r="Z286" s="146">
        <f>VLOOKUP(Takeoffs!Y286,Sheet1!$B$6:$C$124,2,FALSE)</f>
        <v>43.440000000000005</v>
      </c>
      <c r="AA286" s="146">
        <f t="shared" si="122"/>
        <v>43.440000000000005</v>
      </c>
      <c r="AB286" s="143">
        <f t="shared" si="123"/>
        <v>1</v>
      </c>
      <c r="AC286" s="133">
        <f t="shared" si="124"/>
        <v>1</v>
      </c>
      <c r="AD286" s="142">
        <v>1</v>
      </c>
      <c r="AE286" s="141"/>
      <c r="AF286" s="121" t="s">
        <v>293</v>
      </c>
      <c r="AG286" s="146">
        <f>VLOOKUP(Takeoffs!AF286,Sheet1!$B$6:$C$124,2,FALSE)</f>
        <v>0</v>
      </c>
      <c r="AH286" s="146">
        <f t="shared" si="125"/>
        <v>0</v>
      </c>
      <c r="AI286" s="143">
        <f t="shared" si="126"/>
        <v>0</v>
      </c>
      <c r="AJ286" s="133">
        <f t="shared" si="127"/>
        <v>1</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1</v>
      </c>
      <c r="T287" s="120"/>
      <c r="U287" s="121" t="s">
        <v>363</v>
      </c>
      <c r="V287" s="133">
        <f t="shared" si="121"/>
        <v>1</v>
      </c>
      <c r="W287" s="133">
        <f>VLOOKUP(U287,Sheet1!$B$6:$C$45,2,FALSE)*V287</f>
        <v>1</v>
      </c>
      <c r="X287" s="141"/>
      <c r="Y287" s="121" t="s">
        <v>293</v>
      </c>
      <c r="Z287" s="146">
        <f>VLOOKUP(Takeoffs!Y287,Sheet1!$B$6:$C$124,2,FALSE)</f>
        <v>0</v>
      </c>
      <c r="AA287" s="146">
        <f t="shared" si="122"/>
        <v>0</v>
      </c>
      <c r="AB287" s="143">
        <f t="shared" si="123"/>
        <v>1</v>
      </c>
      <c r="AC287" s="133">
        <f t="shared" si="124"/>
        <v>1</v>
      </c>
      <c r="AD287" s="142">
        <v>1</v>
      </c>
      <c r="AE287" s="141"/>
      <c r="AF287" s="122" t="s">
        <v>267</v>
      </c>
      <c r="AG287" s="146">
        <f>VLOOKUP(Takeoffs!AF287,Sheet1!$B$6:$C$124,2,FALSE)</f>
        <v>3.48</v>
      </c>
      <c r="AH287" s="146">
        <f t="shared" si="125"/>
        <v>5.22</v>
      </c>
      <c r="AI287" s="143">
        <f t="shared" si="126"/>
        <v>1.5</v>
      </c>
      <c r="AJ287" s="133">
        <f t="shared" si="127"/>
        <v>1</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393</v>
      </c>
      <c r="P288" s="121"/>
      <c r="Q288" s="121"/>
      <c r="R288" s="121"/>
      <c r="S288" s="133">
        <f>M284</f>
        <v>1</v>
      </c>
      <c r="T288" s="120"/>
      <c r="U288" s="121" t="s">
        <v>293</v>
      </c>
      <c r="V288" s="133">
        <f t="shared" si="121"/>
        <v>1</v>
      </c>
      <c r="W288" s="133">
        <f>VLOOKUP(U288,Sheet1!$B$6:$C$45,2,FALSE)*V288</f>
        <v>0</v>
      </c>
      <c r="X288" s="141"/>
      <c r="Y288" s="135" t="s">
        <v>548</v>
      </c>
      <c r="Z288" s="146">
        <f>VLOOKUP(Takeoffs!Y288,Sheet1!$B$6:$C$124,2,FALSE)</f>
        <v>971.52</v>
      </c>
      <c r="AA288" s="146">
        <f t="shared" si="122"/>
        <v>971.52</v>
      </c>
      <c r="AB288" s="143">
        <f t="shared" si="123"/>
        <v>1</v>
      </c>
      <c r="AC288" s="133">
        <f t="shared" si="124"/>
        <v>1</v>
      </c>
      <c r="AD288" s="142">
        <v>1</v>
      </c>
      <c r="AE288" s="141"/>
      <c r="AF288" s="121" t="s">
        <v>293</v>
      </c>
      <c r="AG288" s="146">
        <f>VLOOKUP(Takeoffs!AF288,Sheet1!$B$6:$C$124,2,FALSE)</f>
        <v>0</v>
      </c>
      <c r="AH288" s="146">
        <f t="shared" si="125"/>
        <v>0</v>
      </c>
      <c r="AI288" s="143">
        <f t="shared" si="126"/>
        <v>0</v>
      </c>
      <c r="AJ288" s="133">
        <f t="shared" si="127"/>
        <v>1</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392</v>
      </c>
      <c r="P289" s="121"/>
      <c r="Q289" s="121"/>
      <c r="R289" s="121"/>
      <c r="S289" s="133">
        <f>M284</f>
        <v>1</v>
      </c>
      <c r="T289" s="120"/>
      <c r="U289" s="121" t="s">
        <v>293</v>
      </c>
      <c r="V289" s="133">
        <f t="shared" si="121"/>
        <v>1</v>
      </c>
      <c r="W289" s="133">
        <f>VLOOKUP(U289,Sheet1!$B$6:$C$45,2,FALSE)*V289</f>
        <v>0</v>
      </c>
      <c r="X289" s="141"/>
      <c r="Y289" s="121" t="s">
        <v>293</v>
      </c>
      <c r="Z289" s="146">
        <f>VLOOKUP(Takeoffs!Y289,Sheet1!$B$6:$C$124,2,FALSE)</f>
        <v>0</v>
      </c>
      <c r="AA289" s="146">
        <f t="shared" si="122"/>
        <v>0</v>
      </c>
      <c r="AB289" s="143">
        <f t="shared" si="123"/>
        <v>1</v>
      </c>
      <c r="AC289" s="133">
        <f t="shared" si="124"/>
        <v>1</v>
      </c>
      <c r="AD289" s="142">
        <v>1</v>
      </c>
      <c r="AE289" s="141"/>
      <c r="AF289" s="122" t="s">
        <v>270</v>
      </c>
      <c r="AG289" s="146">
        <f>VLOOKUP(Takeoffs!AF289,Sheet1!$B$6:$C$124,2,FALSE)</f>
        <v>5.7960000000000003</v>
      </c>
      <c r="AH289" s="146">
        <f t="shared" si="125"/>
        <v>86.94</v>
      </c>
      <c r="AI289" s="143">
        <f t="shared" si="126"/>
        <v>15</v>
      </c>
      <c r="AJ289" s="133">
        <f t="shared" si="127"/>
        <v>1</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1</v>
      </c>
      <c r="T290" s="120"/>
      <c r="U290" s="121" t="s">
        <v>293</v>
      </c>
      <c r="V290" s="133">
        <f t="shared" si="121"/>
        <v>1</v>
      </c>
      <c r="W290" s="133">
        <f>VLOOKUP(U290,Sheet1!$B$6:$C$45,2,FALSE)*V290</f>
        <v>0</v>
      </c>
      <c r="X290" s="141"/>
      <c r="Y290" s="122" t="s">
        <v>245</v>
      </c>
      <c r="Z290" s="146">
        <f>VLOOKUP(Takeoffs!Y290,Sheet1!$B$6:$C$124,2,FALSE)</f>
        <v>46.463999999999999</v>
      </c>
      <c r="AA290" s="146">
        <f t="shared" si="122"/>
        <v>46.463999999999999</v>
      </c>
      <c r="AB290" s="143">
        <f t="shared" si="123"/>
        <v>1</v>
      </c>
      <c r="AC290" s="133">
        <f t="shared" si="124"/>
        <v>1</v>
      </c>
      <c r="AD290" s="142">
        <v>1</v>
      </c>
      <c r="AE290" s="141"/>
      <c r="AF290" s="121" t="s">
        <v>293</v>
      </c>
      <c r="AG290" s="146">
        <f>VLOOKUP(Takeoffs!AF290,Sheet1!$B$6:$C$124,2,FALSE)</f>
        <v>0</v>
      </c>
      <c r="AH290" s="146">
        <f t="shared" si="125"/>
        <v>0</v>
      </c>
      <c r="AI290" s="143">
        <f t="shared" si="126"/>
        <v>0</v>
      </c>
      <c r="AJ290" s="133">
        <f t="shared" si="127"/>
        <v>1</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1</v>
      </c>
      <c r="T291" s="120"/>
      <c r="U291" s="121" t="s">
        <v>293</v>
      </c>
      <c r="V291" s="133">
        <f t="shared" si="121"/>
        <v>1</v>
      </c>
      <c r="W291" s="133">
        <f>VLOOKUP(U291,Sheet1!$B$6:$C$45,2,FALSE)*V291</f>
        <v>0</v>
      </c>
      <c r="X291" s="141"/>
      <c r="Y291" s="122" t="s">
        <v>278</v>
      </c>
      <c r="Z291" s="146">
        <f>VLOOKUP(Takeoffs!Y291,Sheet1!$B$6:$C$124,2,FALSE)</f>
        <v>36</v>
      </c>
      <c r="AA291" s="146">
        <f t="shared" si="122"/>
        <v>36</v>
      </c>
      <c r="AB291" s="143">
        <f t="shared" si="123"/>
        <v>1</v>
      </c>
      <c r="AC291" s="133">
        <f t="shared" si="124"/>
        <v>1</v>
      </c>
      <c r="AD291" s="142">
        <v>1</v>
      </c>
      <c r="AE291" s="141"/>
      <c r="AF291" s="121" t="s">
        <v>293</v>
      </c>
      <c r="AG291" s="146">
        <f>VLOOKUP(Takeoffs!AF291,Sheet1!$B$6:$C$124,2,FALSE)</f>
        <v>0</v>
      </c>
      <c r="AH291" s="146">
        <f t="shared" si="125"/>
        <v>0</v>
      </c>
      <c r="AI291" s="143">
        <f t="shared" si="126"/>
        <v>0</v>
      </c>
      <c r="AJ291" s="133">
        <f t="shared" si="127"/>
        <v>1</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712</v>
      </c>
      <c r="P292" s="121"/>
      <c r="Q292" s="121"/>
      <c r="R292" s="121"/>
      <c r="S292" s="133">
        <f>M284</f>
        <v>1</v>
      </c>
      <c r="T292" s="120"/>
      <c r="U292" s="121" t="s">
        <v>293</v>
      </c>
      <c r="V292" s="133">
        <f t="shared" si="121"/>
        <v>1</v>
      </c>
      <c r="W292" s="133">
        <f>VLOOKUP(U292,Sheet1!$B$6:$C$45,2,FALSE)*V292</f>
        <v>0</v>
      </c>
      <c r="X292" s="141"/>
      <c r="Y292" s="122" t="s">
        <v>274</v>
      </c>
      <c r="Z292" s="146">
        <f>VLOOKUP(Takeoffs!Y292,Sheet1!$B$6:$C$124,2,FALSE)</f>
        <v>360</v>
      </c>
      <c r="AA292" s="146">
        <f t="shared" si="122"/>
        <v>360</v>
      </c>
      <c r="AB292" s="143">
        <f t="shared" si="123"/>
        <v>1</v>
      </c>
      <c r="AC292" s="133">
        <f t="shared" si="124"/>
        <v>1</v>
      </c>
      <c r="AD292" s="142">
        <v>1</v>
      </c>
      <c r="AE292" s="141"/>
      <c r="AF292" s="121" t="s">
        <v>293</v>
      </c>
      <c r="AG292" s="146">
        <f>VLOOKUP(Takeoffs!AF292,Sheet1!$B$6:$C$124,2,FALSE)</f>
        <v>0</v>
      </c>
      <c r="AH292" s="146">
        <f t="shared" si="125"/>
        <v>0</v>
      </c>
      <c r="AI292" s="143">
        <f t="shared" si="126"/>
        <v>0</v>
      </c>
      <c r="AJ292" s="133">
        <f t="shared" si="127"/>
        <v>1</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1</v>
      </c>
      <c r="T293" s="120"/>
      <c r="U293" s="121" t="s">
        <v>366</v>
      </c>
      <c r="V293" s="133">
        <f t="shared" si="121"/>
        <v>1</v>
      </c>
      <c r="W293" s="133">
        <f>VLOOKUP(U293,Sheet1!$B$6:$C$45,2,FALSE)*V293</f>
        <v>2</v>
      </c>
      <c r="X293" s="141"/>
      <c r="Y293" s="121" t="s">
        <v>293</v>
      </c>
      <c r="Z293" s="146">
        <f>VLOOKUP(Takeoffs!Y293,Sheet1!$B$6:$C$124,2,FALSE)</f>
        <v>0</v>
      </c>
      <c r="AA293" s="146">
        <f t="shared" si="122"/>
        <v>0</v>
      </c>
      <c r="AB293" s="143">
        <f t="shared" si="123"/>
        <v>1</v>
      </c>
      <c r="AC293" s="133">
        <f t="shared" si="124"/>
        <v>1</v>
      </c>
      <c r="AD293" s="142">
        <v>1</v>
      </c>
      <c r="AE293" s="141"/>
      <c r="AF293" s="122" t="s">
        <v>270</v>
      </c>
      <c r="AG293" s="146">
        <f>VLOOKUP(Takeoffs!AF293,Sheet1!$B$6:$C$124,2,FALSE)</f>
        <v>5.7960000000000003</v>
      </c>
      <c r="AH293" s="146">
        <f t="shared" si="125"/>
        <v>115.92</v>
      </c>
      <c r="AI293" s="143">
        <f t="shared" si="126"/>
        <v>20</v>
      </c>
      <c r="AJ293" s="133">
        <f t="shared" si="127"/>
        <v>1</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1</v>
      </c>
      <c r="T294" s="120"/>
      <c r="U294" s="121" t="s">
        <v>293</v>
      </c>
      <c r="V294" s="133">
        <f t="shared" si="121"/>
        <v>1</v>
      </c>
      <c r="W294" s="133">
        <f>VLOOKUP(U294,Sheet1!$B$6:$C$45,2,FALSE)*V294</f>
        <v>0</v>
      </c>
      <c r="X294" s="141"/>
      <c r="Y294" s="121" t="s">
        <v>293</v>
      </c>
      <c r="Z294" s="146">
        <f>VLOOKUP(Takeoffs!Y294,Sheet1!$B$6:$C$124,2,FALSE)</f>
        <v>0</v>
      </c>
      <c r="AA294" s="146">
        <f t="shared" si="122"/>
        <v>0</v>
      </c>
      <c r="AB294" s="143">
        <f t="shared" si="123"/>
        <v>2</v>
      </c>
      <c r="AC294" s="133">
        <f t="shared" si="124"/>
        <v>1</v>
      </c>
      <c r="AD294" s="142">
        <v>2</v>
      </c>
      <c r="AE294" s="141"/>
      <c r="AF294" s="121" t="s">
        <v>293</v>
      </c>
      <c r="AG294" s="146">
        <f>VLOOKUP(Takeoffs!AF294,Sheet1!$B$6:$C$124,2,FALSE)</f>
        <v>0</v>
      </c>
      <c r="AH294" s="146">
        <f t="shared" si="125"/>
        <v>0</v>
      </c>
      <c r="AI294" s="143">
        <f t="shared" si="126"/>
        <v>0</v>
      </c>
      <c r="AJ294" s="133">
        <f t="shared" si="127"/>
        <v>1</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1</v>
      </c>
      <c r="T295" s="120"/>
      <c r="U295" s="121" t="s">
        <v>293</v>
      </c>
      <c r="V295" s="133">
        <f t="shared" si="121"/>
        <v>1</v>
      </c>
      <c r="W295" s="133">
        <f>VLOOKUP(U295,Sheet1!$B$6:$C$45,2,FALSE)*V295</f>
        <v>0</v>
      </c>
      <c r="X295" s="141"/>
      <c r="Y295" s="121" t="s">
        <v>293</v>
      </c>
      <c r="Z295" s="146">
        <f>VLOOKUP(Takeoffs!Y295,Sheet1!$B$6:$C$124,2,FALSE)</f>
        <v>0</v>
      </c>
      <c r="AA295" s="146">
        <f t="shared" si="122"/>
        <v>0</v>
      </c>
      <c r="AB295" s="143">
        <f t="shared" si="123"/>
        <v>1</v>
      </c>
      <c r="AC295" s="133">
        <f t="shared" si="124"/>
        <v>1</v>
      </c>
      <c r="AD295" s="142">
        <v>1</v>
      </c>
      <c r="AE295" s="141"/>
      <c r="AF295" s="121" t="s">
        <v>293</v>
      </c>
      <c r="AG295" s="146">
        <f>VLOOKUP(Takeoffs!AF295,Sheet1!$B$6:$C$124,2,FALSE)</f>
        <v>0</v>
      </c>
      <c r="AH295" s="146">
        <f t="shared" si="125"/>
        <v>0</v>
      </c>
      <c r="AI295" s="143">
        <f t="shared" si="126"/>
        <v>0</v>
      </c>
      <c r="AJ295" s="133">
        <f t="shared" si="127"/>
        <v>1</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1</v>
      </c>
      <c r="T296" s="120"/>
      <c r="U296" s="121" t="s">
        <v>366</v>
      </c>
      <c r="V296" s="133">
        <f t="shared" si="121"/>
        <v>1</v>
      </c>
      <c r="W296" s="133">
        <f>VLOOKUP(U296,Sheet1!$B$6:$C$45,2,FALSE)*V296</f>
        <v>2</v>
      </c>
      <c r="X296" s="141"/>
      <c r="Y296" s="121" t="s">
        <v>293</v>
      </c>
      <c r="Z296" s="146">
        <f>VLOOKUP(Takeoffs!Y296,Sheet1!$B$6:$C$124,2,FALSE)</f>
        <v>0</v>
      </c>
      <c r="AA296" s="146">
        <f t="shared" si="122"/>
        <v>0</v>
      </c>
      <c r="AB296" s="143">
        <f t="shared" si="123"/>
        <v>1</v>
      </c>
      <c r="AC296" s="133">
        <f t="shared" si="124"/>
        <v>1</v>
      </c>
      <c r="AD296" s="142">
        <v>1</v>
      </c>
      <c r="AE296" s="141"/>
      <c r="AF296" s="121" t="s">
        <v>293</v>
      </c>
      <c r="AG296" s="146">
        <f>VLOOKUP(Takeoffs!AF296,Sheet1!$B$6:$C$124,2,FALSE)</f>
        <v>0</v>
      </c>
      <c r="AH296" s="146">
        <f t="shared" si="125"/>
        <v>0</v>
      </c>
      <c r="AI296" s="143">
        <f t="shared" si="126"/>
        <v>0</v>
      </c>
      <c r="AJ296" s="133">
        <f t="shared" si="127"/>
        <v>1</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1</v>
      </c>
      <c r="T297" s="120"/>
      <c r="U297" s="121" t="s">
        <v>232</v>
      </c>
      <c r="V297" s="133">
        <f t="shared" si="121"/>
        <v>1</v>
      </c>
      <c r="W297" s="133">
        <f>VLOOKUP(U297,Sheet1!$B$6:$C$45,2,FALSE)*V297</f>
        <v>1</v>
      </c>
      <c r="X297" s="141"/>
      <c r="Y297" s="122" t="s">
        <v>281</v>
      </c>
      <c r="Z297" s="146">
        <f>VLOOKUP(Takeoffs!Y297,Sheet1!$B$6:$C$124,2,FALSE)</f>
        <v>109.25999999999999</v>
      </c>
      <c r="AA297" s="146">
        <f t="shared" si="122"/>
        <v>109.25999999999999</v>
      </c>
      <c r="AB297" s="143">
        <f t="shared" si="123"/>
        <v>1</v>
      </c>
      <c r="AC297" s="133">
        <f t="shared" si="124"/>
        <v>1</v>
      </c>
      <c r="AD297" s="142">
        <v>1</v>
      </c>
      <c r="AE297" s="141"/>
      <c r="AF297" s="121" t="s">
        <v>293</v>
      </c>
      <c r="AG297" s="146">
        <f>VLOOKUP(Takeoffs!AF297,Sheet1!$B$6:$C$124,2,FALSE)</f>
        <v>0</v>
      </c>
      <c r="AH297" s="146">
        <f t="shared" si="125"/>
        <v>0</v>
      </c>
      <c r="AI297" s="143">
        <f t="shared" si="126"/>
        <v>0</v>
      </c>
      <c r="AJ297" s="133">
        <f t="shared" si="127"/>
        <v>1</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1</v>
      </c>
      <c r="T298" s="120"/>
      <c r="U298" s="121" t="s">
        <v>365</v>
      </c>
      <c r="V298" s="133">
        <f t="shared" si="121"/>
        <v>1</v>
      </c>
      <c r="W298" s="133">
        <f>VLOOKUP(U298,Sheet1!$B$6:$C$45,2,FALSE)*V298</f>
        <v>1</v>
      </c>
      <c r="X298" s="141"/>
      <c r="Y298" s="122" t="s">
        <v>323</v>
      </c>
      <c r="Z298" s="146">
        <f>VLOOKUP(Takeoffs!Y298,Sheet1!$B$6:$C$124,2,FALSE)</f>
        <v>60</v>
      </c>
      <c r="AA298" s="146">
        <f t="shared" si="122"/>
        <v>60</v>
      </c>
      <c r="AB298" s="143">
        <f t="shared" si="123"/>
        <v>1</v>
      </c>
      <c r="AC298" s="133">
        <f t="shared" si="124"/>
        <v>1</v>
      </c>
      <c r="AD298" s="142">
        <v>1</v>
      </c>
      <c r="AE298" s="141"/>
      <c r="AF298" s="121" t="s">
        <v>293</v>
      </c>
      <c r="AG298" s="146">
        <f>VLOOKUP(Takeoffs!AF298,Sheet1!$B$6:$C$124,2,FALSE)</f>
        <v>0</v>
      </c>
      <c r="AH298" s="146">
        <f t="shared" si="125"/>
        <v>0</v>
      </c>
      <c r="AI298" s="143">
        <f t="shared" si="126"/>
        <v>0</v>
      </c>
      <c r="AJ298" s="133">
        <f t="shared" si="127"/>
        <v>1</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458</v>
      </c>
      <c r="S299" s="133">
        <f>M284</f>
        <v>1</v>
      </c>
      <c r="T299" s="120"/>
      <c r="U299" s="121" t="s">
        <v>293</v>
      </c>
      <c r="V299" s="133">
        <f t="shared" si="121"/>
        <v>1</v>
      </c>
      <c r="W299" s="133">
        <f>VLOOKUP(U299,Sheet1!$B$6:$C$45,2,FALSE)*V299</f>
        <v>0</v>
      </c>
      <c r="X299" s="141"/>
      <c r="Y299" s="122" t="s">
        <v>280</v>
      </c>
      <c r="Z299" s="146">
        <f>VLOOKUP(Takeoffs!Y299,Sheet1!$B$6:$C$124,2,FALSE)</f>
        <v>19.2</v>
      </c>
      <c r="AA299" s="146">
        <f t="shared" si="122"/>
        <v>19.2</v>
      </c>
      <c r="AB299" s="143">
        <f t="shared" si="123"/>
        <v>1</v>
      </c>
      <c r="AC299" s="133">
        <f t="shared" si="124"/>
        <v>1</v>
      </c>
      <c r="AD299" s="142">
        <v>1</v>
      </c>
      <c r="AE299" s="141"/>
      <c r="AF299" s="121" t="s">
        <v>293</v>
      </c>
      <c r="AG299" s="146">
        <f>VLOOKUP(Takeoffs!AF299,Sheet1!$B$6:$C$124,2,FALSE)</f>
        <v>0</v>
      </c>
      <c r="AH299" s="146">
        <f t="shared" si="125"/>
        <v>0</v>
      </c>
      <c r="AI299" s="143">
        <f t="shared" si="126"/>
        <v>0</v>
      </c>
      <c r="AJ299" s="133">
        <f t="shared" si="127"/>
        <v>1</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1</v>
      </c>
      <c r="T300" s="120"/>
      <c r="U300" s="121" t="s">
        <v>293</v>
      </c>
      <c r="V300" s="133">
        <f t="shared" si="121"/>
        <v>1</v>
      </c>
      <c r="W300" s="133">
        <f>VLOOKUP(U300,Sheet1!$B$6:$C$45,2,FALSE)*V300</f>
        <v>0</v>
      </c>
      <c r="X300" s="141"/>
      <c r="Y300" s="122" t="s">
        <v>280</v>
      </c>
      <c r="Z300" s="146">
        <f>VLOOKUP(Takeoffs!Y300,Sheet1!$B$6:$C$124,2,FALSE)</f>
        <v>19.2</v>
      </c>
      <c r="AA300" s="146">
        <f t="shared" si="122"/>
        <v>19.2</v>
      </c>
      <c r="AB300" s="143">
        <f t="shared" si="123"/>
        <v>1</v>
      </c>
      <c r="AC300" s="133">
        <f t="shared" si="124"/>
        <v>1</v>
      </c>
      <c r="AD300" s="142">
        <v>1</v>
      </c>
      <c r="AE300" s="141"/>
      <c r="AF300" s="121" t="s">
        <v>293</v>
      </c>
      <c r="AG300" s="146">
        <f>VLOOKUP(Takeoffs!AF300,Sheet1!$B$6:$C$124,2,FALSE)</f>
        <v>0</v>
      </c>
      <c r="AH300" s="146">
        <f t="shared" si="125"/>
        <v>0</v>
      </c>
      <c r="AI300" s="143">
        <f t="shared" si="126"/>
        <v>0</v>
      </c>
      <c r="AJ300" s="133">
        <f t="shared" si="127"/>
        <v>1</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331</v>
      </c>
      <c r="P301" s="121"/>
      <c r="Q301" s="121"/>
      <c r="R301" s="121" t="s">
        <v>305</v>
      </c>
      <c r="S301" s="133">
        <f>M284</f>
        <v>1</v>
      </c>
      <c r="T301" s="120"/>
      <c r="U301" s="121" t="s">
        <v>293</v>
      </c>
      <c r="V301" s="133">
        <f t="shared" si="121"/>
        <v>1</v>
      </c>
      <c r="W301" s="133">
        <f>VLOOKUP(U301,Sheet1!$B$6:$C$45,2,FALSE)*V301</f>
        <v>0</v>
      </c>
      <c r="X301" s="141"/>
      <c r="Y301" s="122" t="s">
        <v>277</v>
      </c>
      <c r="Z301" s="146">
        <f>VLOOKUP(Takeoffs!Y301,Sheet1!$B$6:$C$124,2,FALSE)</f>
        <v>69.540000000000006</v>
      </c>
      <c r="AA301" s="146">
        <f t="shared" si="122"/>
        <v>69.540000000000006</v>
      </c>
      <c r="AB301" s="143">
        <f t="shared" si="123"/>
        <v>1</v>
      </c>
      <c r="AC301" s="133">
        <f t="shared" si="124"/>
        <v>1</v>
      </c>
      <c r="AD301" s="142">
        <v>1</v>
      </c>
      <c r="AE301" s="141"/>
      <c r="AF301" s="121" t="s">
        <v>293</v>
      </c>
      <c r="AG301" s="146">
        <f>VLOOKUP(Takeoffs!AF301,Sheet1!$B$6:$C$124,2,FALSE)</f>
        <v>0</v>
      </c>
      <c r="AH301" s="146">
        <f t="shared" si="125"/>
        <v>0</v>
      </c>
      <c r="AI301" s="143">
        <f t="shared" si="126"/>
        <v>0</v>
      </c>
      <c r="AJ301" s="133">
        <f t="shared" si="127"/>
        <v>1</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1</v>
      </c>
      <c r="T302" s="120"/>
      <c r="U302" s="121" t="s">
        <v>293</v>
      </c>
      <c r="V302" s="133">
        <f t="shared" si="121"/>
        <v>1</v>
      </c>
      <c r="W302" s="133">
        <f>VLOOKUP(U302,Sheet1!$B$6:$C$45,2,FALSE)*V302</f>
        <v>0</v>
      </c>
      <c r="X302" s="141"/>
      <c r="Y302" s="121" t="s">
        <v>293</v>
      </c>
      <c r="Z302" s="146">
        <f>VLOOKUP(Takeoffs!Y302,Sheet1!$B$6:$C$124,2,FALSE)</f>
        <v>0</v>
      </c>
      <c r="AA302" s="146">
        <f t="shared" si="122"/>
        <v>0</v>
      </c>
      <c r="AB302" s="143">
        <f t="shared" si="123"/>
        <v>1</v>
      </c>
      <c r="AC302" s="133">
        <f t="shared" si="124"/>
        <v>1</v>
      </c>
      <c r="AD302" s="142">
        <v>1</v>
      </c>
      <c r="AE302" s="141"/>
      <c r="AF302" s="121" t="s">
        <v>293</v>
      </c>
      <c r="AG302" s="146">
        <f>VLOOKUP(Takeoffs!AF302,Sheet1!$B$6:$C$124,2,FALSE)</f>
        <v>0</v>
      </c>
      <c r="AH302" s="146">
        <f t="shared" si="125"/>
        <v>0</v>
      </c>
      <c r="AI302" s="143">
        <f t="shared" si="126"/>
        <v>0</v>
      </c>
      <c r="AJ302" s="133">
        <f t="shared" si="127"/>
        <v>1</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711</v>
      </c>
      <c r="P303" s="121" t="s">
        <v>382</v>
      </c>
      <c r="Q303" s="121" t="s">
        <v>386</v>
      </c>
      <c r="R303" s="121"/>
      <c r="S303" s="133">
        <f>M284</f>
        <v>1</v>
      </c>
      <c r="T303" s="120"/>
      <c r="U303" s="121" t="s">
        <v>293</v>
      </c>
      <c r="V303" s="133">
        <f t="shared" si="121"/>
        <v>1</v>
      </c>
      <c r="W303" s="133">
        <f>VLOOKUP(U303,Sheet1!$B$6:$C$45,2,FALSE)*V303</f>
        <v>0</v>
      </c>
      <c r="X303" s="141"/>
      <c r="Y303" s="122" t="s">
        <v>324</v>
      </c>
      <c r="Z303" s="146">
        <f>VLOOKUP(Takeoffs!Y303,Sheet1!$B$6:$C$124,2,FALSE)</f>
        <v>48</v>
      </c>
      <c r="AA303" s="146">
        <f t="shared" si="122"/>
        <v>48</v>
      </c>
      <c r="AB303" s="143">
        <f t="shared" si="123"/>
        <v>1</v>
      </c>
      <c r="AC303" s="133">
        <f t="shared" si="124"/>
        <v>1</v>
      </c>
      <c r="AD303" s="142">
        <v>1</v>
      </c>
      <c r="AE303" s="141"/>
      <c r="AF303" s="121" t="s">
        <v>293</v>
      </c>
      <c r="AG303" s="146">
        <f>VLOOKUP(Takeoffs!AF303,Sheet1!$B$6:$C$124,2,FALSE)</f>
        <v>0</v>
      </c>
      <c r="AH303" s="146">
        <f t="shared" si="125"/>
        <v>0</v>
      </c>
      <c r="AI303" s="143">
        <f t="shared" si="126"/>
        <v>0</v>
      </c>
      <c r="AJ303" s="133">
        <f t="shared" si="127"/>
        <v>1</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410</v>
      </c>
      <c r="P304" s="121"/>
      <c r="Q304" s="121"/>
      <c r="R304" s="121"/>
      <c r="S304" s="133">
        <f>M284</f>
        <v>1</v>
      </c>
      <c r="T304" s="120"/>
      <c r="U304" s="121" t="s">
        <v>366</v>
      </c>
      <c r="V304" s="133">
        <f t="shared" si="121"/>
        <v>1</v>
      </c>
      <c r="W304" s="133">
        <f>VLOOKUP(U304,Sheet1!$B$6:$C$45,2,FALSE)*V304</f>
        <v>2</v>
      </c>
      <c r="X304" s="141"/>
      <c r="Y304" s="121" t="s">
        <v>293</v>
      </c>
      <c r="Z304" s="146">
        <f>VLOOKUP(Takeoffs!Y304,Sheet1!$B$6:$C$124,2,FALSE)</f>
        <v>0</v>
      </c>
      <c r="AA304" s="146">
        <f t="shared" si="122"/>
        <v>0</v>
      </c>
      <c r="AB304" s="143">
        <f t="shared" si="123"/>
        <v>1</v>
      </c>
      <c r="AC304" s="133">
        <f t="shared" si="124"/>
        <v>1</v>
      </c>
      <c r="AD304" s="142">
        <v>1</v>
      </c>
      <c r="AE304" s="141"/>
      <c r="AF304" s="121" t="s">
        <v>293</v>
      </c>
      <c r="AG304" s="146">
        <f>VLOOKUP(Takeoffs!AF304,Sheet1!$B$6:$C$124,2,FALSE)</f>
        <v>0</v>
      </c>
      <c r="AH304" s="146">
        <f t="shared" si="125"/>
        <v>0</v>
      </c>
      <c r="AI304" s="143">
        <f t="shared" si="126"/>
        <v>0</v>
      </c>
      <c r="AJ304" s="133">
        <f t="shared" si="127"/>
        <v>1</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379</v>
      </c>
      <c r="L305" s="128" t="s">
        <v>380</v>
      </c>
      <c r="N305" s="129"/>
      <c r="O305" s="130" t="s">
        <v>359</v>
      </c>
      <c r="P305" s="131">
        <f>V305+AA305+AH305</f>
        <v>2830.7039999999997</v>
      </c>
      <c r="Q305" s="131"/>
      <c r="R305" s="131"/>
      <c r="S305" s="130"/>
      <c r="T305" s="127"/>
      <c r="U305" s="126" t="s">
        <v>353</v>
      </c>
      <c r="V305" s="127">
        <f>W305*80</f>
        <v>840</v>
      </c>
      <c r="W305" s="147">
        <f>SUM(W284:W304)</f>
        <v>10.5</v>
      </c>
      <c r="X305" s="148"/>
      <c r="Y305" s="127" t="s">
        <v>354</v>
      </c>
      <c r="Z305" s="116"/>
      <c r="AA305" s="116">
        <f>SUM(AA284:AA304)</f>
        <v>1782.624</v>
      </c>
      <c r="AB305" s="149"/>
      <c r="AC305" s="149"/>
      <c r="AD305" s="149"/>
      <c r="AE305" s="149"/>
      <c r="AF305" s="127" t="s">
        <v>358</v>
      </c>
      <c r="AG305" s="116"/>
      <c r="AH305" s="116">
        <f>SUM(AH284:AH304)</f>
        <v>208.07999999999998</v>
      </c>
      <c r="AI305" s="149"/>
      <c r="AJ305" s="149"/>
      <c r="AK305" s="149"/>
      <c r="AL305" s="149"/>
      <c r="AM305" s="150">
        <f>P305</f>
        <v>2830.7039999999997</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494</v>
      </c>
      <c r="C306" s="217" t="str">
        <f>N284</f>
        <v>carpark fan ( excluding controls)</v>
      </c>
      <c r="D306" s="260" t="s">
        <v>680</v>
      </c>
      <c r="E306" s="238"/>
      <c r="F306" s="217"/>
      <c r="G306" s="217"/>
      <c r="H306" s="245"/>
      <c r="I306" s="270">
        <v>1</v>
      </c>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one (1)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2830.7039999999997</v>
      </c>
      <c r="L306" s="234" t="str">
        <f>CONCATENATE(Q285,Q286,Q287,Q288,Q289,Q290,Q291,Q292,Q293,Q294,Q295,Q296,Q297,Q298,Q299,Q300,Q301,Q302,Q303,Q304,)</f>
        <v>fire cabling from FIP.</v>
      </c>
      <c r="M306" s="166" t="s">
        <v>369</v>
      </c>
      <c r="N306" s="160" t="str">
        <f>N284</f>
        <v>carpark fan ( excluding controls)</v>
      </c>
      <c r="O306" s="160" t="s">
        <v>367</v>
      </c>
      <c r="P306" s="64">
        <f>P305/M284</f>
        <v>2830.7039999999997</v>
      </c>
      <c r="Q306" s="161"/>
      <c r="R306" s="161"/>
      <c r="S306" s="160"/>
      <c r="T306" s="161"/>
      <c r="U306" s="327" t="s">
        <v>368</v>
      </c>
      <c r="V306" s="327"/>
      <c r="W306" s="162">
        <f>W305/M284</f>
        <v>10.5</v>
      </c>
      <c r="X306" s="163"/>
      <c r="Y306" s="325" t="s">
        <v>367</v>
      </c>
      <c r="Z306" s="325"/>
      <c r="AA306" s="164">
        <f>AA305/M284</f>
        <v>1782.624</v>
      </c>
      <c r="AB306" s="161"/>
      <c r="AC306" s="161"/>
      <c r="AD306" s="161"/>
      <c r="AE306" s="161"/>
      <c r="AF306" s="325" t="s">
        <v>367</v>
      </c>
      <c r="AG306" s="325"/>
      <c r="AH306" s="164">
        <f>AH305/M284</f>
        <v>208.07999999999998</v>
      </c>
      <c r="AI306" s="161"/>
      <c r="AJ306" s="161"/>
      <c r="AK306" s="161"/>
      <c r="AL306" s="247"/>
      <c r="AM306" s="257"/>
      <c r="AN306" s="236">
        <f>K306*$D$9</f>
        <v>707.67599999999993</v>
      </c>
      <c r="AO306" s="286"/>
      <c r="AP306" s="284">
        <f t="shared" si="116"/>
        <v>2830.7039999999997</v>
      </c>
      <c r="AQ306" s="281">
        <f t="shared" si="117"/>
        <v>840</v>
      </c>
      <c r="AR306" s="284">
        <f t="shared" si="118"/>
        <v>1782.624</v>
      </c>
      <c r="AS306" s="281">
        <f t="shared" si="119"/>
        <v>208.07999999999998</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454</v>
      </c>
      <c r="M307" s="2" t="s">
        <v>107</v>
      </c>
      <c r="N307" s="2" t="s">
        <v>108</v>
      </c>
      <c r="O307" s="97" t="s">
        <v>388</v>
      </c>
      <c r="P307" s="326" t="s">
        <v>377</v>
      </c>
      <c r="Q307" s="326"/>
      <c r="R307" s="101" t="s">
        <v>454</v>
      </c>
      <c r="S307" s="2" t="s">
        <v>0</v>
      </c>
      <c r="T307" s="9"/>
      <c r="U307" s="2" t="s">
        <v>288</v>
      </c>
      <c r="V307" s="2" t="s">
        <v>289</v>
      </c>
      <c r="W307" s="2" t="s">
        <v>292</v>
      </c>
      <c r="X307" s="58"/>
      <c r="Y307" s="2" t="s">
        <v>290</v>
      </c>
      <c r="Z307" s="2" t="s">
        <v>356</v>
      </c>
      <c r="AA307" s="2" t="s">
        <v>357</v>
      </c>
      <c r="AB307" s="2" t="s">
        <v>319</v>
      </c>
      <c r="AC307" s="2" t="s">
        <v>320</v>
      </c>
      <c r="AD307" s="2" t="s">
        <v>318</v>
      </c>
      <c r="AE307" s="58"/>
      <c r="AF307" s="2" t="s">
        <v>294</v>
      </c>
      <c r="AG307" s="2" t="s">
        <v>356</v>
      </c>
      <c r="AH307" s="2" t="s">
        <v>357</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one</v>
      </c>
      <c r="M308" s="121">
        <f>I330</f>
        <v>1</v>
      </c>
      <c r="N308" s="27" t="s">
        <v>444</v>
      </c>
      <c r="O308" s="12" t="s">
        <v>349</v>
      </c>
      <c r="P308" s="96" t="s">
        <v>381</v>
      </c>
      <c r="Q308" s="96" t="s">
        <v>377</v>
      </c>
      <c r="R308" s="96"/>
      <c r="S308" s="28">
        <f>M308</f>
        <v>1</v>
      </c>
      <c r="T308" s="10"/>
      <c r="U308" s="12" t="s">
        <v>293</v>
      </c>
      <c r="V308" s="28">
        <f>S308</f>
        <v>1</v>
      </c>
      <c r="W308" s="28">
        <f>VLOOKUP(U308,Sheet1!$B$6:$C$45,2,FALSE)*V308</f>
        <v>0</v>
      </c>
      <c r="X308" s="59"/>
      <c r="Y308" s="12" t="s">
        <v>293</v>
      </c>
      <c r="Z308" s="68">
        <f>VLOOKUP(Takeoffs!Y308,Sheet1!$B$6:$C$124,2,FALSE)</f>
        <v>0</v>
      </c>
      <c r="AA308" s="68">
        <f>Z308*AB308</f>
        <v>0</v>
      </c>
      <c r="AB308" s="63">
        <f>AD308*AC308</f>
        <v>1</v>
      </c>
      <c r="AC308" s="28">
        <f>S308</f>
        <v>1</v>
      </c>
      <c r="AD308" s="61">
        <v>1</v>
      </c>
      <c r="AE308" s="59"/>
      <c r="AF308" s="12" t="s">
        <v>293</v>
      </c>
      <c r="AG308" s="68">
        <f>VLOOKUP(Takeoffs!AF308,Sheet1!$B$6:$C$124,2,FALSE)</f>
        <v>0</v>
      </c>
      <c r="AH308" s="68">
        <f>AG308*AI308</f>
        <v>0</v>
      </c>
      <c r="AI308" s="63">
        <f>AK308*AJ308</f>
        <v>0</v>
      </c>
      <c r="AJ308" s="28">
        <f>S308</f>
        <v>1</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342</v>
      </c>
      <c r="P309" s="12"/>
      <c r="Q309" s="66"/>
      <c r="R309" s="12"/>
      <c r="S309" s="28">
        <f>M308</f>
        <v>1</v>
      </c>
      <c r="T309" s="11"/>
      <c r="U309" s="12" t="s">
        <v>233</v>
      </c>
      <c r="V309" s="28">
        <f t="shared" ref="V309:V328" si="130">S309</f>
        <v>1</v>
      </c>
      <c r="W309" s="28">
        <f>VLOOKUP(U309,Sheet1!$B$6:$C$45,2,FALSE)*V309</f>
        <v>1</v>
      </c>
      <c r="X309" s="59"/>
      <c r="Y309" s="12" t="s">
        <v>293</v>
      </c>
      <c r="Z309" s="68">
        <f>VLOOKUP(Takeoffs!Y309,Sheet1!$B$6:$C$124,2,FALSE)</f>
        <v>0</v>
      </c>
      <c r="AA309" s="68">
        <f t="shared" ref="AA309:AA328" si="131">Z309*AB309</f>
        <v>0</v>
      </c>
      <c r="AB309" s="63">
        <f t="shared" ref="AB309:AB328" si="132">AD309*AC309</f>
        <v>1</v>
      </c>
      <c r="AC309" s="28">
        <f>S309</f>
        <v>1</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1</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443</v>
      </c>
      <c r="P310" s="12" t="s">
        <v>422</v>
      </c>
      <c r="Q310" s="66" t="s">
        <v>445</v>
      </c>
      <c r="R310" s="12"/>
      <c r="S310" s="28">
        <f>M308</f>
        <v>1</v>
      </c>
      <c r="T310" s="11"/>
      <c r="U310" s="12" t="s">
        <v>363</v>
      </c>
      <c r="V310" s="28">
        <f t="shared" si="130"/>
        <v>1</v>
      </c>
      <c r="W310" s="28">
        <f>VLOOKUP(U310,Sheet1!$B$6:$C$45,2,FALSE)*V310</f>
        <v>1</v>
      </c>
      <c r="X310" s="59"/>
      <c r="Y310" s="12" t="s">
        <v>293</v>
      </c>
      <c r="Z310" s="68">
        <f>VLOOKUP(Takeoffs!Y310,Sheet1!$B$6:$C$124,2,FALSE)</f>
        <v>0</v>
      </c>
      <c r="AA310" s="68">
        <f t="shared" si="131"/>
        <v>0</v>
      </c>
      <c r="AB310" s="63">
        <f t="shared" si="132"/>
        <v>1</v>
      </c>
      <c r="AC310" s="28">
        <f>S310</f>
        <v>1</v>
      </c>
      <c r="AD310" s="61">
        <v>1</v>
      </c>
      <c r="AE310" s="59"/>
      <c r="AF310" s="13" t="s">
        <v>267</v>
      </c>
      <c r="AG310" s="68">
        <f>VLOOKUP(Takeoffs!AF310,Sheet1!$B$6:$C$124,2,FALSE)</f>
        <v>3.48</v>
      </c>
      <c r="AH310" s="68">
        <f t="shared" si="133"/>
        <v>17.399999999999999</v>
      </c>
      <c r="AI310" s="63">
        <f t="shared" si="134"/>
        <v>5</v>
      </c>
      <c r="AJ310" s="28">
        <f t="shared" si="135"/>
        <v>1</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408</v>
      </c>
      <c r="P311" s="12"/>
      <c r="Q311" s="66"/>
      <c r="R311" s="12"/>
      <c r="S311" s="28">
        <f>M308</f>
        <v>1</v>
      </c>
      <c r="T311" s="11"/>
      <c r="U311" s="12" t="s">
        <v>293</v>
      </c>
      <c r="V311" s="28">
        <f t="shared" si="130"/>
        <v>1</v>
      </c>
      <c r="W311" s="28">
        <f>VLOOKUP(U311,Sheet1!$B$6:$C$45,2,FALSE)*V311</f>
        <v>0</v>
      </c>
      <c r="X311" s="59"/>
      <c r="Y311" s="13" t="s">
        <v>245</v>
      </c>
      <c r="Z311" s="68">
        <f>VLOOKUP(Takeoffs!Y311,Sheet1!$B$6:$C$124,2,FALSE)</f>
        <v>46.463999999999999</v>
      </c>
      <c r="AA311" s="68">
        <f t="shared" si="131"/>
        <v>46.463999999999999</v>
      </c>
      <c r="AB311" s="63">
        <f t="shared" si="132"/>
        <v>1</v>
      </c>
      <c r="AC311" s="28">
        <f t="shared" ref="AC311:AC328" si="138">S311</f>
        <v>1</v>
      </c>
      <c r="AD311" s="61">
        <v>1</v>
      </c>
      <c r="AE311" s="59"/>
      <c r="AF311" s="12" t="s">
        <v>293</v>
      </c>
      <c r="AG311" s="68">
        <f>VLOOKUP(Takeoffs!AF311,Sheet1!$B$6:$C$124,2,FALSE)</f>
        <v>0</v>
      </c>
      <c r="AH311" s="68">
        <f t="shared" si="133"/>
        <v>0</v>
      </c>
      <c r="AI311" s="63">
        <f t="shared" si="134"/>
        <v>0</v>
      </c>
      <c r="AJ311" s="28">
        <f t="shared" si="135"/>
        <v>1</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1</v>
      </c>
      <c r="T312" s="11"/>
      <c r="U312" s="12" t="s">
        <v>293</v>
      </c>
      <c r="V312" s="28">
        <f t="shared" si="130"/>
        <v>1</v>
      </c>
      <c r="W312" s="28">
        <f>VLOOKUP(U312,Sheet1!$B$6:$C$45,2,FALSE)*V312</f>
        <v>0</v>
      </c>
      <c r="X312" s="59"/>
      <c r="Y312" s="12" t="s">
        <v>293</v>
      </c>
      <c r="Z312" s="68">
        <f>VLOOKUP(Takeoffs!Y312,Sheet1!$B$6:$C$124,2,FALSE)</f>
        <v>0</v>
      </c>
      <c r="AA312" s="68">
        <f t="shared" si="131"/>
        <v>0</v>
      </c>
      <c r="AB312" s="63">
        <f t="shared" si="132"/>
        <v>1</v>
      </c>
      <c r="AC312" s="28">
        <f t="shared" si="138"/>
        <v>1</v>
      </c>
      <c r="AD312" s="61">
        <v>1</v>
      </c>
      <c r="AE312" s="59"/>
      <c r="AF312" s="12" t="s">
        <v>293</v>
      </c>
      <c r="AG312" s="68">
        <f>VLOOKUP(Takeoffs!AF312,Sheet1!$B$6:$C$124,2,FALSE)</f>
        <v>0</v>
      </c>
      <c r="AH312" s="68">
        <f t="shared" si="133"/>
        <v>0</v>
      </c>
      <c r="AI312" s="63">
        <f t="shared" si="134"/>
        <v>0</v>
      </c>
      <c r="AJ312" s="28">
        <f t="shared" si="135"/>
        <v>1</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1</v>
      </c>
      <c r="T313" s="11"/>
      <c r="U313" s="12" t="s">
        <v>293</v>
      </c>
      <c r="V313" s="28">
        <f t="shared" si="130"/>
        <v>1</v>
      </c>
      <c r="W313" s="28">
        <f>VLOOKUP(U313,Sheet1!$B$6:$C$45,2,FALSE)*V313</f>
        <v>0</v>
      </c>
      <c r="X313" s="59"/>
      <c r="Y313" s="12" t="s">
        <v>293</v>
      </c>
      <c r="Z313" s="68">
        <f>VLOOKUP(Takeoffs!Y313,Sheet1!$B$6:$C$124,2,FALSE)</f>
        <v>0</v>
      </c>
      <c r="AA313" s="68">
        <f t="shared" si="131"/>
        <v>0</v>
      </c>
      <c r="AB313" s="63">
        <f t="shared" si="132"/>
        <v>1</v>
      </c>
      <c r="AC313" s="28">
        <f t="shared" si="138"/>
        <v>1</v>
      </c>
      <c r="AD313" s="61">
        <v>1</v>
      </c>
      <c r="AE313" s="59"/>
      <c r="AF313" s="12" t="s">
        <v>293</v>
      </c>
      <c r="AG313" s="68">
        <f>VLOOKUP(Takeoffs!AF313,Sheet1!$B$6:$C$124,2,FALSE)</f>
        <v>0</v>
      </c>
      <c r="AH313" s="68">
        <f t="shared" si="133"/>
        <v>0</v>
      </c>
      <c r="AI313" s="63">
        <f t="shared" si="134"/>
        <v>0</v>
      </c>
      <c r="AJ313" s="28">
        <f t="shared" si="135"/>
        <v>1</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1</v>
      </c>
      <c r="T314" s="11"/>
      <c r="U314" s="12" t="s">
        <v>293</v>
      </c>
      <c r="V314" s="28">
        <f t="shared" si="130"/>
        <v>1</v>
      </c>
      <c r="W314" s="28">
        <f>VLOOKUP(U314,Sheet1!$B$6:$C$45,2,FALSE)*V314</f>
        <v>0</v>
      </c>
      <c r="X314" s="59"/>
      <c r="Y314" s="12" t="s">
        <v>293</v>
      </c>
      <c r="Z314" s="68">
        <f>VLOOKUP(Takeoffs!Y314,Sheet1!$B$6:$C$124,2,FALSE)</f>
        <v>0</v>
      </c>
      <c r="AA314" s="68">
        <f t="shared" si="131"/>
        <v>0</v>
      </c>
      <c r="AB314" s="63">
        <f t="shared" si="132"/>
        <v>1</v>
      </c>
      <c r="AC314" s="28">
        <f t="shared" si="138"/>
        <v>1</v>
      </c>
      <c r="AD314" s="61">
        <v>1</v>
      </c>
      <c r="AE314" s="59"/>
      <c r="AF314" s="12" t="s">
        <v>293</v>
      </c>
      <c r="AG314" s="68">
        <f>VLOOKUP(Takeoffs!AF314,Sheet1!$B$6:$C$124,2,FALSE)</f>
        <v>0</v>
      </c>
      <c r="AH314" s="68">
        <f t="shared" si="133"/>
        <v>0</v>
      </c>
      <c r="AI314" s="63">
        <f t="shared" si="134"/>
        <v>0</v>
      </c>
      <c r="AJ314" s="28">
        <f t="shared" si="135"/>
        <v>1</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1</v>
      </c>
      <c r="T315" s="11"/>
      <c r="U315" s="12" t="s">
        <v>293</v>
      </c>
      <c r="V315" s="28">
        <f t="shared" si="130"/>
        <v>1</v>
      </c>
      <c r="W315" s="28">
        <f>VLOOKUP(U315,Sheet1!$B$6:$C$45,2,FALSE)*V315</f>
        <v>0</v>
      </c>
      <c r="X315" s="59"/>
      <c r="Y315" s="12" t="s">
        <v>293</v>
      </c>
      <c r="Z315" s="68">
        <f>VLOOKUP(Takeoffs!Y315,Sheet1!$B$6:$C$124,2,FALSE)</f>
        <v>0</v>
      </c>
      <c r="AA315" s="68">
        <f t="shared" si="131"/>
        <v>0</v>
      </c>
      <c r="AB315" s="63">
        <f t="shared" si="132"/>
        <v>1</v>
      </c>
      <c r="AC315" s="28">
        <f t="shared" si="138"/>
        <v>1</v>
      </c>
      <c r="AD315" s="61">
        <v>1</v>
      </c>
      <c r="AE315" s="59"/>
      <c r="AF315" s="12" t="s">
        <v>293</v>
      </c>
      <c r="AG315" s="68">
        <f>VLOOKUP(Takeoffs!AF315,Sheet1!$B$6:$C$124,2,FALSE)</f>
        <v>0</v>
      </c>
      <c r="AH315" s="68">
        <f t="shared" si="133"/>
        <v>0</v>
      </c>
      <c r="AI315" s="63">
        <f t="shared" si="134"/>
        <v>0</v>
      </c>
      <c r="AJ315" s="28">
        <f t="shared" si="135"/>
        <v>1</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330</v>
      </c>
      <c r="P316" s="12"/>
      <c r="Q316" s="66"/>
      <c r="R316" s="12"/>
      <c r="S316" s="28">
        <f>M308</f>
        <v>1</v>
      </c>
      <c r="T316" s="11"/>
      <c r="U316" s="12" t="s">
        <v>242</v>
      </c>
      <c r="V316" s="28">
        <f t="shared" si="130"/>
        <v>1</v>
      </c>
      <c r="W316" s="28">
        <f>VLOOKUP(U316,Sheet1!$B$6:$C$45,2,FALSE)*V316</f>
        <v>2</v>
      </c>
      <c r="X316" s="59"/>
      <c r="Y316" s="12" t="s">
        <v>293</v>
      </c>
      <c r="Z316" s="68">
        <f>VLOOKUP(Takeoffs!Y316,Sheet1!$B$6:$C$124,2,FALSE)</f>
        <v>0</v>
      </c>
      <c r="AA316" s="68">
        <f t="shared" si="131"/>
        <v>0</v>
      </c>
      <c r="AB316" s="63">
        <f t="shared" si="132"/>
        <v>1</v>
      </c>
      <c r="AC316" s="28">
        <f t="shared" si="138"/>
        <v>1</v>
      </c>
      <c r="AD316" s="61">
        <v>1</v>
      </c>
      <c r="AE316" s="59"/>
      <c r="AF316" s="12" t="s">
        <v>293</v>
      </c>
      <c r="AG316" s="68">
        <f>VLOOKUP(Takeoffs!AF316,Sheet1!$B$6:$C$124,2,FALSE)</f>
        <v>0</v>
      </c>
      <c r="AH316" s="68">
        <f t="shared" si="133"/>
        <v>0</v>
      </c>
      <c r="AI316" s="63">
        <f t="shared" si="134"/>
        <v>0</v>
      </c>
      <c r="AJ316" s="28">
        <f t="shared" si="135"/>
        <v>1</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343</v>
      </c>
      <c r="P317" s="12"/>
      <c r="Q317" s="66"/>
      <c r="R317" s="12" t="s">
        <v>455</v>
      </c>
      <c r="S317" s="28">
        <f>M308</f>
        <v>1</v>
      </c>
      <c r="T317" s="11"/>
      <c r="U317" s="12" t="s">
        <v>293</v>
      </c>
      <c r="V317" s="28">
        <f t="shared" si="130"/>
        <v>1</v>
      </c>
      <c r="W317" s="28">
        <f>VLOOKUP(U317,Sheet1!$B$6:$C$45,2,FALSE)*V317</f>
        <v>0</v>
      </c>
      <c r="X317" s="59"/>
      <c r="Y317" s="12" t="s">
        <v>293</v>
      </c>
      <c r="Z317" s="68">
        <f>VLOOKUP(Takeoffs!Y317,Sheet1!$B$6:$C$124,2,FALSE)</f>
        <v>0</v>
      </c>
      <c r="AA317" s="68">
        <f t="shared" si="131"/>
        <v>0</v>
      </c>
      <c r="AB317" s="63">
        <f t="shared" si="132"/>
        <v>1</v>
      </c>
      <c r="AC317" s="28">
        <f t="shared" si="138"/>
        <v>1</v>
      </c>
      <c r="AD317" s="61">
        <v>1</v>
      </c>
      <c r="AE317" s="59"/>
      <c r="AF317" s="12" t="s">
        <v>293</v>
      </c>
      <c r="AG317" s="68">
        <f>VLOOKUP(Takeoffs!AF317,Sheet1!$B$6:$C$124,2,FALSE)</f>
        <v>0</v>
      </c>
      <c r="AH317" s="68">
        <f t="shared" si="133"/>
        <v>0</v>
      </c>
      <c r="AI317" s="63">
        <f t="shared" si="134"/>
        <v>0</v>
      </c>
      <c r="AJ317" s="28">
        <f t="shared" si="135"/>
        <v>1</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338</v>
      </c>
      <c r="P318" s="12"/>
      <c r="Q318" s="66"/>
      <c r="R318" s="12"/>
      <c r="S318" s="28">
        <f>M308</f>
        <v>1</v>
      </c>
      <c r="T318" s="11"/>
      <c r="U318" s="12" t="s">
        <v>365</v>
      </c>
      <c r="V318" s="28">
        <f t="shared" si="130"/>
        <v>1</v>
      </c>
      <c r="W318" s="28">
        <f>VLOOKUP(U318,Sheet1!$B$6:$C$45,2,FALSE)*V318</f>
        <v>1</v>
      </c>
      <c r="X318" s="59"/>
      <c r="Y318" s="13" t="s">
        <v>273</v>
      </c>
      <c r="Z318" s="68">
        <f>VLOOKUP(Takeoffs!Y318,Sheet1!$B$6:$C$124,2,FALSE)</f>
        <v>307.2</v>
      </c>
      <c r="AA318" s="68">
        <f t="shared" si="131"/>
        <v>307.2</v>
      </c>
      <c r="AB318" s="63">
        <f t="shared" si="132"/>
        <v>1</v>
      </c>
      <c r="AC318" s="28">
        <f t="shared" si="138"/>
        <v>1</v>
      </c>
      <c r="AD318" s="61">
        <v>1</v>
      </c>
      <c r="AE318" s="59"/>
      <c r="AF318" s="12" t="s">
        <v>293</v>
      </c>
      <c r="AG318" s="68">
        <f>VLOOKUP(Takeoffs!AF318,Sheet1!$B$6:$C$124,2,FALSE)</f>
        <v>0</v>
      </c>
      <c r="AH318" s="68">
        <f t="shared" si="133"/>
        <v>0</v>
      </c>
      <c r="AI318" s="63">
        <f t="shared" si="134"/>
        <v>0</v>
      </c>
      <c r="AJ318" s="28">
        <f t="shared" si="135"/>
        <v>1</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344</v>
      </c>
      <c r="P319" s="12"/>
      <c r="Q319" s="66"/>
      <c r="R319" s="12"/>
      <c r="S319" s="28">
        <f>M308</f>
        <v>1</v>
      </c>
      <c r="T319" s="11"/>
      <c r="U319" s="12" t="s">
        <v>365</v>
      </c>
      <c r="V319" s="28">
        <f t="shared" si="130"/>
        <v>1</v>
      </c>
      <c r="W319" s="28">
        <f>VLOOKUP(U319,Sheet1!$B$6:$C$45,2,FALSE)*V319</f>
        <v>1</v>
      </c>
      <c r="X319" s="59"/>
      <c r="Y319" s="13" t="s">
        <v>273</v>
      </c>
      <c r="Z319" s="68">
        <f>VLOOKUP(Takeoffs!Y319,Sheet1!$B$6:$C$124,2,FALSE)</f>
        <v>307.2</v>
      </c>
      <c r="AA319" s="68">
        <f t="shared" si="131"/>
        <v>307.2</v>
      </c>
      <c r="AB319" s="63">
        <f t="shared" si="132"/>
        <v>1</v>
      </c>
      <c r="AC319" s="28">
        <f t="shared" si="138"/>
        <v>1</v>
      </c>
      <c r="AD319" s="61">
        <v>1</v>
      </c>
      <c r="AE319" s="59"/>
      <c r="AF319" s="12" t="s">
        <v>293</v>
      </c>
      <c r="AG319" s="68">
        <f>VLOOKUP(Takeoffs!AF319,Sheet1!$B$6:$C$124,2,FALSE)</f>
        <v>0</v>
      </c>
      <c r="AH319" s="68">
        <f t="shared" si="133"/>
        <v>0</v>
      </c>
      <c r="AI319" s="63">
        <f t="shared" si="134"/>
        <v>0</v>
      </c>
      <c r="AJ319" s="28">
        <f t="shared" si="135"/>
        <v>1</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1</v>
      </c>
      <c r="T320" s="11"/>
      <c r="U320" s="12" t="s">
        <v>293</v>
      </c>
      <c r="V320" s="28">
        <f t="shared" si="130"/>
        <v>1</v>
      </c>
      <c r="W320" s="28">
        <f>VLOOKUP(U320,Sheet1!$B$6:$C$45,2,FALSE)*V320</f>
        <v>0</v>
      </c>
      <c r="X320" s="59"/>
      <c r="Y320" s="12" t="s">
        <v>293</v>
      </c>
      <c r="Z320" s="68">
        <f>VLOOKUP(Takeoffs!Y320,Sheet1!$B$6:$C$124,2,FALSE)</f>
        <v>0</v>
      </c>
      <c r="AA320" s="68">
        <f t="shared" si="131"/>
        <v>0</v>
      </c>
      <c r="AB320" s="63">
        <f t="shared" si="132"/>
        <v>1</v>
      </c>
      <c r="AC320" s="28">
        <f t="shared" si="138"/>
        <v>1</v>
      </c>
      <c r="AD320" s="61">
        <v>1</v>
      </c>
      <c r="AE320" s="59"/>
      <c r="AF320" s="13" t="s">
        <v>269</v>
      </c>
      <c r="AG320" s="68">
        <f>VLOOKUP(Takeoffs!AF320,Sheet1!$B$6:$C$124,2,FALSE)</f>
        <v>1.056</v>
      </c>
      <c r="AH320" s="68">
        <f t="shared" si="133"/>
        <v>31.68</v>
      </c>
      <c r="AI320" s="63">
        <f t="shared" si="134"/>
        <v>30</v>
      </c>
      <c r="AJ320" s="28">
        <f t="shared" si="135"/>
        <v>1</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1</v>
      </c>
      <c r="T321" s="11"/>
      <c r="U321" s="12" t="s">
        <v>232</v>
      </c>
      <c r="V321" s="28">
        <f t="shared" si="130"/>
        <v>1</v>
      </c>
      <c r="W321" s="28">
        <f>VLOOKUP(U321,Sheet1!$B$6:$C$45,2,FALSE)*V321</f>
        <v>1</v>
      </c>
      <c r="X321" s="59"/>
      <c r="Y321" s="13" t="s">
        <v>281</v>
      </c>
      <c r="Z321" s="68">
        <f>VLOOKUP(Takeoffs!Y321,Sheet1!$B$6:$C$124,2,FALSE)</f>
        <v>109.25999999999999</v>
      </c>
      <c r="AA321" s="68">
        <f t="shared" si="131"/>
        <v>327.78</v>
      </c>
      <c r="AB321" s="63">
        <f t="shared" si="132"/>
        <v>3</v>
      </c>
      <c r="AC321" s="28">
        <f t="shared" si="138"/>
        <v>1</v>
      </c>
      <c r="AD321" s="61">
        <v>3</v>
      </c>
      <c r="AE321" s="59"/>
      <c r="AF321" s="12" t="s">
        <v>293</v>
      </c>
      <c r="AG321" s="68">
        <f>VLOOKUP(Takeoffs!AF321,Sheet1!$B$6:$C$124,2,FALSE)</f>
        <v>0</v>
      </c>
      <c r="AH321" s="68">
        <f t="shared" si="133"/>
        <v>0</v>
      </c>
      <c r="AI321" s="63">
        <f t="shared" si="134"/>
        <v>0</v>
      </c>
      <c r="AJ321" s="28">
        <f t="shared" si="135"/>
        <v>1</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332</v>
      </c>
      <c r="P322" s="12"/>
      <c r="Q322" s="66"/>
      <c r="R322" s="12"/>
      <c r="S322" s="28">
        <f>M308</f>
        <v>1</v>
      </c>
      <c r="T322" s="11"/>
      <c r="U322" s="12" t="s">
        <v>293</v>
      </c>
      <c r="V322" s="28">
        <f t="shared" si="130"/>
        <v>1</v>
      </c>
      <c r="W322" s="28">
        <f>VLOOKUP(U322,Sheet1!$B$6:$C$45,2,FALSE)*V322</f>
        <v>0</v>
      </c>
      <c r="X322" s="59"/>
      <c r="Y322" s="13" t="s">
        <v>323</v>
      </c>
      <c r="Z322" s="68">
        <f>VLOOKUP(Takeoffs!Y322,Sheet1!$B$6:$C$124,2,FALSE)</f>
        <v>60</v>
      </c>
      <c r="AA322" s="68">
        <f t="shared" si="131"/>
        <v>60</v>
      </c>
      <c r="AB322" s="63">
        <f t="shared" si="132"/>
        <v>1</v>
      </c>
      <c r="AC322" s="28">
        <f t="shared" si="138"/>
        <v>1</v>
      </c>
      <c r="AD322" s="61">
        <v>1</v>
      </c>
      <c r="AE322" s="59"/>
      <c r="AF322" s="12" t="s">
        <v>293</v>
      </c>
      <c r="AG322" s="68">
        <f>VLOOKUP(Takeoffs!AF322,Sheet1!$B$6:$C$124,2,FALSE)</f>
        <v>0</v>
      </c>
      <c r="AH322" s="68">
        <f t="shared" si="133"/>
        <v>0</v>
      </c>
      <c r="AI322" s="63">
        <f t="shared" si="134"/>
        <v>0</v>
      </c>
      <c r="AJ322" s="28">
        <f t="shared" si="135"/>
        <v>1</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339</v>
      </c>
      <c r="P323" s="12"/>
      <c r="Q323" s="66"/>
      <c r="R323" s="12" t="s">
        <v>333</v>
      </c>
      <c r="S323" s="28">
        <f>M308</f>
        <v>1</v>
      </c>
      <c r="T323" s="11"/>
      <c r="U323" s="12" t="s">
        <v>293</v>
      </c>
      <c r="V323" s="28">
        <f t="shared" si="130"/>
        <v>1</v>
      </c>
      <c r="W323" s="28">
        <f>VLOOKUP(U323,Sheet1!$B$6:$C$45,2,FALSE)*V323</f>
        <v>0</v>
      </c>
      <c r="X323" s="59"/>
      <c r="Y323" s="13" t="s">
        <v>280</v>
      </c>
      <c r="Z323" s="68">
        <f>VLOOKUP(Takeoffs!Y323,Sheet1!$B$6:$C$124,2,FALSE)</f>
        <v>19.2</v>
      </c>
      <c r="AA323" s="68">
        <f t="shared" si="131"/>
        <v>38.4</v>
      </c>
      <c r="AB323" s="63">
        <f t="shared" si="132"/>
        <v>2</v>
      </c>
      <c r="AC323" s="28">
        <f t="shared" si="138"/>
        <v>1</v>
      </c>
      <c r="AD323" s="61">
        <v>2</v>
      </c>
      <c r="AE323" s="59"/>
      <c r="AF323" s="12" t="s">
        <v>293</v>
      </c>
      <c r="AG323" s="68">
        <f>VLOOKUP(Takeoffs!AF323,Sheet1!$B$6:$C$124,2,FALSE)</f>
        <v>0</v>
      </c>
      <c r="AH323" s="68">
        <f t="shared" si="133"/>
        <v>0</v>
      </c>
      <c r="AI323" s="63">
        <f t="shared" si="134"/>
        <v>0</v>
      </c>
      <c r="AJ323" s="28">
        <f t="shared" si="135"/>
        <v>1</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345</v>
      </c>
      <c r="P324" s="12"/>
      <c r="Q324" s="66"/>
      <c r="R324" s="12"/>
      <c r="S324" s="28">
        <f>M308</f>
        <v>1</v>
      </c>
      <c r="T324" s="11"/>
      <c r="U324" s="12" t="s">
        <v>365</v>
      </c>
      <c r="V324" s="28">
        <f t="shared" si="130"/>
        <v>1</v>
      </c>
      <c r="W324" s="28">
        <f>3*M308</f>
        <v>3</v>
      </c>
      <c r="X324" s="59"/>
      <c r="Y324" s="13" t="s">
        <v>334</v>
      </c>
      <c r="Z324" s="68">
        <f>VLOOKUP(Takeoffs!Y324,Sheet1!$B$6:$C$124,2,FALSE)</f>
        <v>127.19999999999999</v>
      </c>
      <c r="AA324" s="68">
        <f t="shared" si="131"/>
        <v>127.19999999999999</v>
      </c>
      <c r="AB324" s="63">
        <f t="shared" si="132"/>
        <v>1</v>
      </c>
      <c r="AC324" s="28">
        <f t="shared" si="138"/>
        <v>1</v>
      </c>
      <c r="AD324" s="61">
        <v>1</v>
      </c>
      <c r="AE324" s="59"/>
      <c r="AF324" s="13" t="s">
        <v>267</v>
      </c>
      <c r="AG324" s="68">
        <f>VLOOKUP(Takeoffs!AF324,Sheet1!$B$6:$C$124,2,FALSE)</f>
        <v>3.48</v>
      </c>
      <c r="AH324" s="68">
        <f t="shared" si="133"/>
        <v>69.599999999999994</v>
      </c>
      <c r="AI324" s="63">
        <f t="shared" si="134"/>
        <v>20</v>
      </c>
      <c r="AJ324" s="28">
        <f t="shared" si="135"/>
        <v>1</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331</v>
      </c>
      <c r="P325" s="12"/>
      <c r="Q325" s="66"/>
      <c r="R325" s="12" t="s">
        <v>305</v>
      </c>
      <c r="S325" s="28">
        <f>M308</f>
        <v>1</v>
      </c>
      <c r="T325" s="11"/>
      <c r="U325" s="12" t="s">
        <v>293</v>
      </c>
      <c r="V325" s="28">
        <f t="shared" si="130"/>
        <v>1</v>
      </c>
      <c r="W325" s="28">
        <f>VLOOKUP(U325,Sheet1!$B$6:$C$45,2,FALSE)*V325</f>
        <v>0</v>
      </c>
      <c r="X325" s="59"/>
      <c r="Y325" s="13" t="s">
        <v>277</v>
      </c>
      <c r="Z325" s="68">
        <f>VLOOKUP(Takeoffs!Y325,Sheet1!$B$6:$C$124,2,FALSE)</f>
        <v>69.540000000000006</v>
      </c>
      <c r="AA325" s="68">
        <f t="shared" si="131"/>
        <v>69.540000000000006</v>
      </c>
      <c r="AB325" s="63">
        <f t="shared" si="132"/>
        <v>1</v>
      </c>
      <c r="AC325" s="28">
        <f t="shared" si="138"/>
        <v>1</v>
      </c>
      <c r="AD325" s="61">
        <v>1</v>
      </c>
      <c r="AE325" s="59"/>
      <c r="AF325" s="12" t="s">
        <v>293</v>
      </c>
      <c r="AG325" s="68">
        <f>VLOOKUP(Takeoffs!AF325,Sheet1!$B$6:$C$124,2,FALSE)</f>
        <v>0</v>
      </c>
      <c r="AH325" s="68">
        <f t="shared" si="133"/>
        <v>0</v>
      </c>
      <c r="AI325" s="63">
        <f t="shared" si="134"/>
        <v>0</v>
      </c>
      <c r="AJ325" s="28">
        <f t="shared" si="135"/>
        <v>1</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340</v>
      </c>
      <c r="P326" s="12"/>
      <c r="Q326" s="66"/>
      <c r="R326" s="12"/>
      <c r="S326" s="28">
        <f>M308</f>
        <v>1</v>
      </c>
      <c r="T326" s="11"/>
      <c r="U326" s="12" t="s">
        <v>293</v>
      </c>
      <c r="V326" s="28">
        <f t="shared" si="130"/>
        <v>1</v>
      </c>
      <c r="W326" s="28">
        <f>VLOOKUP(U326,Sheet1!$B$6:$C$45,2,FALSE)*V326</f>
        <v>0</v>
      </c>
      <c r="X326" s="59"/>
      <c r="Y326" s="13" t="s">
        <v>335</v>
      </c>
      <c r="Z326" s="68">
        <f>VLOOKUP(Takeoffs!Y326,Sheet1!$B$6:$C$124,2,FALSE)</f>
        <v>60</v>
      </c>
      <c r="AA326" s="68">
        <f t="shared" si="131"/>
        <v>60</v>
      </c>
      <c r="AB326" s="63">
        <f t="shared" si="132"/>
        <v>1</v>
      </c>
      <c r="AC326" s="28">
        <f t="shared" si="138"/>
        <v>1</v>
      </c>
      <c r="AD326" s="61">
        <v>1</v>
      </c>
      <c r="AE326" s="59"/>
      <c r="AF326" s="12" t="s">
        <v>293</v>
      </c>
      <c r="AG326" s="68">
        <f>VLOOKUP(Takeoffs!AF326,Sheet1!$B$6:$C$124,2,FALSE)</f>
        <v>0</v>
      </c>
      <c r="AH326" s="68">
        <f t="shared" si="133"/>
        <v>0</v>
      </c>
      <c r="AI326" s="63">
        <f t="shared" si="134"/>
        <v>0</v>
      </c>
      <c r="AJ326" s="28">
        <f t="shared" si="135"/>
        <v>1</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341</v>
      </c>
      <c r="P327" s="12"/>
      <c r="Q327" s="66"/>
      <c r="R327" s="12"/>
      <c r="S327" s="28">
        <f>M308</f>
        <v>1</v>
      </c>
      <c r="T327" s="11"/>
      <c r="U327" s="12" t="s">
        <v>293</v>
      </c>
      <c r="V327" s="28">
        <f t="shared" si="130"/>
        <v>1</v>
      </c>
      <c r="W327" s="28">
        <f>VLOOKUP(U327,Sheet1!$B$6:$C$45,2,FALSE)*V327</f>
        <v>0</v>
      </c>
      <c r="X327" s="59"/>
      <c r="Y327" s="13" t="s">
        <v>336</v>
      </c>
      <c r="Z327" s="68">
        <f>VLOOKUP(Takeoffs!Y327,Sheet1!$B$6:$C$124,2,FALSE)</f>
        <v>56.4</v>
      </c>
      <c r="AA327" s="68">
        <f t="shared" si="131"/>
        <v>56.4</v>
      </c>
      <c r="AB327" s="63">
        <f t="shared" si="132"/>
        <v>1</v>
      </c>
      <c r="AC327" s="28">
        <f t="shared" si="138"/>
        <v>1</v>
      </c>
      <c r="AD327" s="61">
        <v>1</v>
      </c>
      <c r="AE327" s="59"/>
      <c r="AF327" s="12" t="s">
        <v>293</v>
      </c>
      <c r="AG327" s="68">
        <f>VLOOKUP(Takeoffs!AF327,Sheet1!$B$6:$C$124,2,FALSE)</f>
        <v>0</v>
      </c>
      <c r="AH327" s="68">
        <f t="shared" si="133"/>
        <v>0</v>
      </c>
      <c r="AI327" s="63">
        <f t="shared" si="134"/>
        <v>0</v>
      </c>
      <c r="AJ327" s="28">
        <f t="shared" si="135"/>
        <v>1</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410</v>
      </c>
      <c r="P328" s="12"/>
      <c r="Q328" s="66"/>
      <c r="R328" s="12"/>
      <c r="S328" s="28">
        <f>M308</f>
        <v>1</v>
      </c>
      <c r="T328" s="11"/>
      <c r="U328" s="12" t="s">
        <v>364</v>
      </c>
      <c r="V328" s="28">
        <f t="shared" si="130"/>
        <v>1</v>
      </c>
      <c r="W328" s="28">
        <f>VLOOKUP(U328,Sheet1!$B$6:$C$45,2,FALSE)*V328</f>
        <v>1</v>
      </c>
      <c r="X328" s="59"/>
      <c r="Y328" s="12" t="s">
        <v>293</v>
      </c>
      <c r="Z328" s="68">
        <f>VLOOKUP(Takeoffs!Y328,Sheet1!$B$6:$C$124,2,FALSE)</f>
        <v>0</v>
      </c>
      <c r="AA328" s="68">
        <f t="shared" si="131"/>
        <v>0</v>
      </c>
      <c r="AB328" s="63">
        <f t="shared" si="132"/>
        <v>1</v>
      </c>
      <c r="AC328" s="28">
        <f t="shared" si="138"/>
        <v>1</v>
      </c>
      <c r="AD328" s="61">
        <v>1</v>
      </c>
      <c r="AE328" s="59"/>
      <c r="AF328" s="12" t="s">
        <v>293</v>
      </c>
      <c r="AG328" s="68">
        <f>VLOOKUP(Takeoffs!AF328,Sheet1!$B$6:$C$124,2,FALSE)</f>
        <v>0</v>
      </c>
      <c r="AH328" s="68">
        <f t="shared" si="133"/>
        <v>0</v>
      </c>
      <c r="AI328" s="63">
        <f t="shared" si="134"/>
        <v>0</v>
      </c>
      <c r="AJ328" s="28">
        <f t="shared" si="135"/>
        <v>1</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379</v>
      </c>
      <c r="L329" s="21" t="s">
        <v>380</v>
      </c>
      <c r="N329" s="22"/>
      <c r="O329" s="23" t="s">
        <v>359</v>
      </c>
      <c r="P329" s="98">
        <f>V329+AA329+AH329</f>
        <v>2398.864</v>
      </c>
      <c r="Q329" s="65"/>
      <c r="R329" s="65"/>
      <c r="S329" s="23"/>
      <c r="T329" s="20"/>
      <c r="U329" s="19" t="s">
        <v>353</v>
      </c>
      <c r="V329" s="20">
        <f>W329*80</f>
        <v>880</v>
      </c>
      <c r="W329" s="69">
        <f>SUM(W308:W328)</f>
        <v>11</v>
      </c>
      <c r="X329" s="70"/>
      <c r="Y329" s="20" t="s">
        <v>354</v>
      </c>
      <c r="Z329" s="2"/>
      <c r="AA329" s="2">
        <f>SUM(AA308:AA328)</f>
        <v>1400.1840000000002</v>
      </c>
      <c r="AB329" s="71"/>
      <c r="AC329" s="71"/>
      <c r="AD329" s="71"/>
      <c r="AE329" s="71"/>
      <c r="AF329" s="20" t="s">
        <v>358</v>
      </c>
      <c r="AG329" s="2"/>
      <c r="AH329" s="2">
        <f>SUM(AH308:AH328)</f>
        <v>118.67999999999999</v>
      </c>
      <c r="AI329" s="71"/>
      <c r="AJ329" s="71"/>
      <c r="AK329" s="71"/>
      <c r="AL329" s="71"/>
      <c r="AM329" s="150">
        <f>P329</f>
        <v>2398.864</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494</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v>1</v>
      </c>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one (1)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2398.864</v>
      </c>
      <c r="L330" s="234" t="str">
        <f>CONCATENATE(Q309,Q310,Q311,Q312,Q313,Q314,Q315,Q316,Q317,Q318,Q319,Q320,Q321,Q322,Q323,Q324,Q325,Q326,Q327,Q328,)</f>
        <v>substation ventilation  power supply (including isolator)</v>
      </c>
      <c r="M330" s="91" t="s">
        <v>369</v>
      </c>
      <c r="N330" s="83" t="str">
        <f>N308</f>
        <v>substation ventilation system (Including temperature control and alarm) - From local power supply</v>
      </c>
      <c r="O330" s="83" t="s">
        <v>367</v>
      </c>
      <c r="P330" s="84">
        <f>P329/M308</f>
        <v>2398.864</v>
      </c>
      <c r="Q330" s="84"/>
      <c r="R330" s="84"/>
      <c r="S330" s="83"/>
      <c r="T330" s="84"/>
      <c r="U330" s="327" t="s">
        <v>368</v>
      </c>
      <c r="V330" s="327"/>
      <c r="W330" s="85">
        <f>W329/M308</f>
        <v>11</v>
      </c>
      <c r="X330" s="86"/>
      <c r="Y330" s="325" t="s">
        <v>367</v>
      </c>
      <c r="Z330" s="325"/>
      <c r="AA330" s="87">
        <f>AA329/M308</f>
        <v>1400.1840000000002</v>
      </c>
      <c r="AB330" s="84"/>
      <c r="AC330" s="84"/>
      <c r="AD330" s="84"/>
      <c r="AE330" s="84"/>
      <c r="AF330" s="325" t="s">
        <v>367</v>
      </c>
      <c r="AG330" s="325"/>
      <c r="AH330" s="87">
        <f>AH329/M308</f>
        <v>118.67999999999999</v>
      </c>
      <c r="AI330" s="84"/>
      <c r="AJ330" s="84"/>
      <c r="AK330" s="84"/>
      <c r="AL330" s="247"/>
      <c r="AM330" s="257"/>
      <c r="AN330" s="236">
        <f>K330*$D$9</f>
        <v>599.71600000000001</v>
      </c>
      <c r="AO330" s="286"/>
      <c r="AP330" s="284">
        <f t="shared" si="116"/>
        <v>2398.864</v>
      </c>
      <c r="AQ330" s="281">
        <f t="shared" si="117"/>
        <v>880</v>
      </c>
      <c r="AR330" s="284">
        <f t="shared" si="118"/>
        <v>1400.1840000000002</v>
      </c>
      <c r="AS330" s="281">
        <f t="shared" si="119"/>
        <v>118.67999999999999</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454</v>
      </c>
      <c r="M331" s="116" t="s">
        <v>107</v>
      </c>
      <c r="N331" s="116" t="s">
        <v>108</v>
      </c>
      <c r="O331" s="170" t="s">
        <v>388</v>
      </c>
      <c r="P331" s="326" t="s">
        <v>377</v>
      </c>
      <c r="Q331" s="326"/>
      <c r="R331" s="101" t="s">
        <v>454</v>
      </c>
      <c r="S331" s="116" t="s">
        <v>0</v>
      </c>
      <c r="T331" s="118"/>
      <c r="U331" s="116" t="s">
        <v>288</v>
      </c>
      <c r="V331" s="116" t="s">
        <v>289</v>
      </c>
      <c r="W331" s="116" t="s">
        <v>292</v>
      </c>
      <c r="X331" s="140"/>
      <c r="Y331" s="116" t="s">
        <v>290</v>
      </c>
      <c r="Z331" s="116" t="s">
        <v>356</v>
      </c>
      <c r="AA331" s="116" t="s">
        <v>357</v>
      </c>
      <c r="AB331" s="116" t="s">
        <v>319</v>
      </c>
      <c r="AC331" s="116" t="s">
        <v>320</v>
      </c>
      <c r="AD331" s="116" t="s">
        <v>318</v>
      </c>
      <c r="AE331" s="140"/>
      <c r="AF331" s="116" t="s">
        <v>294</v>
      </c>
      <c r="AG331" s="116" t="s">
        <v>356</v>
      </c>
      <c r="AH331" s="116" t="s">
        <v>357</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one</v>
      </c>
      <c r="M332" s="121">
        <f>I354</f>
        <v>1</v>
      </c>
      <c r="N332" s="132" t="s">
        <v>664</v>
      </c>
      <c r="O332" s="121" t="s">
        <v>349</v>
      </c>
      <c r="P332" s="169" t="s">
        <v>381</v>
      </c>
      <c r="Q332" s="169" t="s">
        <v>377</v>
      </c>
      <c r="R332" s="169"/>
      <c r="S332" s="133">
        <f>M332</f>
        <v>1</v>
      </c>
      <c r="T332" s="119"/>
      <c r="U332" s="121" t="s">
        <v>293</v>
      </c>
      <c r="V332" s="133">
        <f>S332</f>
        <v>1</v>
      </c>
      <c r="W332" s="133">
        <f>VLOOKUP(U332,Sheet1!$B$6:$C$45,2,FALSE)*V332</f>
        <v>0</v>
      </c>
      <c r="X332" s="141"/>
      <c r="Y332" s="121" t="s">
        <v>293</v>
      </c>
      <c r="Z332" s="146">
        <f>VLOOKUP(Takeoffs!Y332,Sheet1!$B$6:$C$124,2,FALSE)</f>
        <v>0</v>
      </c>
      <c r="AA332" s="146">
        <f>Z332*AB332</f>
        <v>0</v>
      </c>
      <c r="AB332" s="143">
        <f>AD332*AC332</f>
        <v>1</v>
      </c>
      <c r="AC332" s="133">
        <f>S332</f>
        <v>1</v>
      </c>
      <c r="AD332" s="142">
        <v>1</v>
      </c>
      <c r="AE332" s="141"/>
      <c r="AF332" s="121" t="s">
        <v>293</v>
      </c>
      <c r="AG332" s="146">
        <f>VLOOKUP(Takeoffs!AF332,Sheet1!$B$6:$C$124,2,FALSE)</f>
        <v>0</v>
      </c>
      <c r="AH332" s="146">
        <f>AG332*AI332</f>
        <v>0</v>
      </c>
      <c r="AI332" s="143">
        <f>AK332*AJ332</f>
        <v>0</v>
      </c>
      <c r="AJ332" s="133">
        <f>S332</f>
        <v>1</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342</v>
      </c>
      <c r="P333" s="121"/>
      <c r="Q333" s="66"/>
      <c r="R333" s="121"/>
      <c r="S333" s="133">
        <f>M332</f>
        <v>1</v>
      </c>
      <c r="T333" s="120"/>
      <c r="U333" s="121" t="s">
        <v>233</v>
      </c>
      <c r="V333" s="133">
        <f t="shared" ref="V333:V352" si="139">S333</f>
        <v>1</v>
      </c>
      <c r="W333" s="133">
        <f>VLOOKUP(U333,Sheet1!$B$6:$C$45,2,FALSE)*V333</f>
        <v>1</v>
      </c>
      <c r="X333" s="141"/>
      <c r="Y333" s="121" t="s">
        <v>293</v>
      </c>
      <c r="Z333" s="146">
        <f>VLOOKUP(Takeoffs!Y333,Sheet1!$B$6:$C$124,2,FALSE)</f>
        <v>0</v>
      </c>
      <c r="AA333" s="146">
        <f t="shared" ref="AA333:AA352" si="140">Z333*AB333</f>
        <v>0</v>
      </c>
      <c r="AB333" s="143">
        <f t="shared" ref="AB333:AB352" si="141">AD333*AC333</f>
        <v>1</v>
      </c>
      <c r="AC333" s="133">
        <f t="shared" ref="AC333:AC352" si="142">S333</f>
        <v>1</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1</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593</v>
      </c>
      <c r="P334" s="121"/>
      <c r="Q334" s="66"/>
      <c r="R334" s="121"/>
      <c r="S334" s="133">
        <f>M332</f>
        <v>1</v>
      </c>
      <c r="T334" s="120"/>
      <c r="U334" s="117" t="s">
        <v>481</v>
      </c>
      <c r="V334" s="133">
        <f t="shared" si="139"/>
        <v>1</v>
      </c>
      <c r="W334" s="133">
        <f>VLOOKUP(U334,Sheet1!$B$6:$C$45,2,FALSE)*V334</f>
        <v>2</v>
      </c>
      <c r="X334" s="141"/>
      <c r="Y334" s="52" t="s">
        <v>253</v>
      </c>
      <c r="Z334" s="146">
        <f>VLOOKUP(Takeoffs!Y334,Sheet1!$B$6:$C$124,2,FALSE)</f>
        <v>10.139999999999999</v>
      </c>
      <c r="AA334" s="146">
        <f t="shared" si="140"/>
        <v>10.139999999999999</v>
      </c>
      <c r="AB334" s="143">
        <f t="shared" si="141"/>
        <v>1</v>
      </c>
      <c r="AC334" s="133">
        <f t="shared" si="142"/>
        <v>1</v>
      </c>
      <c r="AD334" s="142">
        <v>1</v>
      </c>
      <c r="AE334" s="141"/>
      <c r="AF334" s="122" t="s">
        <v>268</v>
      </c>
      <c r="AG334" s="146">
        <f>VLOOKUP(Takeoffs!AF334,Sheet1!$B$6:$C$124,2,FALSE)</f>
        <v>1.02</v>
      </c>
      <c r="AH334" s="146">
        <f t="shared" si="143"/>
        <v>5.0999999999999996</v>
      </c>
      <c r="AI334" s="143">
        <f t="shared" si="144"/>
        <v>5</v>
      </c>
      <c r="AJ334" s="133">
        <f t="shared" si="145"/>
        <v>1</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408</v>
      </c>
      <c r="P335" s="121"/>
      <c r="Q335" s="66"/>
      <c r="R335" s="121"/>
      <c r="S335" s="133">
        <f>M332</f>
        <v>1</v>
      </c>
      <c r="T335" s="120"/>
      <c r="U335" s="121" t="s">
        <v>293</v>
      </c>
      <c r="V335" s="133">
        <f t="shared" si="139"/>
        <v>1</v>
      </c>
      <c r="W335" s="133">
        <f>VLOOKUP(U335,Sheet1!$B$6:$C$45,2,FALSE)*V335</f>
        <v>0</v>
      </c>
      <c r="X335" s="141"/>
      <c r="Y335" s="122" t="s">
        <v>247</v>
      </c>
      <c r="Z335" s="146">
        <f>VLOOKUP(Takeoffs!Y335,Sheet1!$B$6:$C$124,2,FALSE)</f>
        <v>23.76</v>
      </c>
      <c r="AA335" s="146">
        <f t="shared" si="140"/>
        <v>23.76</v>
      </c>
      <c r="AB335" s="143">
        <f t="shared" si="141"/>
        <v>1</v>
      </c>
      <c r="AC335" s="133">
        <f t="shared" si="142"/>
        <v>1</v>
      </c>
      <c r="AD335" s="142">
        <v>1</v>
      </c>
      <c r="AE335" s="141"/>
      <c r="AF335" s="121" t="s">
        <v>293</v>
      </c>
      <c r="AG335" s="146">
        <f>VLOOKUP(Takeoffs!AF335,Sheet1!$B$6:$C$124,2,FALSE)</f>
        <v>0</v>
      </c>
      <c r="AH335" s="146">
        <f t="shared" si="143"/>
        <v>0</v>
      </c>
      <c r="AI335" s="143">
        <f t="shared" si="144"/>
        <v>0</v>
      </c>
      <c r="AJ335" s="133">
        <f t="shared" si="145"/>
        <v>1</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1</v>
      </c>
      <c r="T336" s="120"/>
      <c r="U336" s="121" t="s">
        <v>293</v>
      </c>
      <c r="V336" s="133">
        <f t="shared" si="139"/>
        <v>1</v>
      </c>
      <c r="W336" s="133">
        <f>VLOOKUP(U336,Sheet1!$B$6:$C$45,2,FALSE)*V336</f>
        <v>0</v>
      </c>
      <c r="X336" s="141"/>
      <c r="Y336" s="121" t="s">
        <v>293</v>
      </c>
      <c r="Z336" s="146">
        <f>VLOOKUP(Takeoffs!Y336,Sheet1!$B$6:$C$124,2,FALSE)</f>
        <v>0</v>
      </c>
      <c r="AA336" s="146">
        <f t="shared" si="140"/>
        <v>0</v>
      </c>
      <c r="AB336" s="143">
        <f t="shared" si="141"/>
        <v>1</v>
      </c>
      <c r="AC336" s="133">
        <f t="shared" si="142"/>
        <v>1</v>
      </c>
      <c r="AD336" s="142">
        <v>1</v>
      </c>
      <c r="AE336" s="141"/>
      <c r="AF336" s="121" t="s">
        <v>293</v>
      </c>
      <c r="AG336" s="146">
        <f>VLOOKUP(Takeoffs!AF336,Sheet1!$B$6:$C$124,2,FALSE)</f>
        <v>0</v>
      </c>
      <c r="AH336" s="146">
        <f t="shared" si="143"/>
        <v>0</v>
      </c>
      <c r="AI336" s="143">
        <f t="shared" si="144"/>
        <v>0</v>
      </c>
      <c r="AJ336" s="133">
        <f t="shared" si="145"/>
        <v>1</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1</v>
      </c>
      <c r="T337" s="120"/>
      <c r="U337" s="121" t="s">
        <v>293</v>
      </c>
      <c r="V337" s="133">
        <f t="shared" si="139"/>
        <v>1</v>
      </c>
      <c r="W337" s="133">
        <f>VLOOKUP(U337,Sheet1!$B$6:$C$45,2,FALSE)*V337</f>
        <v>0</v>
      </c>
      <c r="X337" s="141"/>
      <c r="Y337" s="121" t="s">
        <v>293</v>
      </c>
      <c r="Z337" s="146">
        <f>VLOOKUP(Takeoffs!Y337,Sheet1!$B$6:$C$124,2,FALSE)</f>
        <v>0</v>
      </c>
      <c r="AA337" s="146">
        <f t="shared" si="140"/>
        <v>0</v>
      </c>
      <c r="AB337" s="143">
        <f t="shared" si="141"/>
        <v>1</v>
      </c>
      <c r="AC337" s="133">
        <f t="shared" si="142"/>
        <v>1</v>
      </c>
      <c r="AD337" s="142">
        <v>1</v>
      </c>
      <c r="AE337" s="141"/>
      <c r="AF337" s="121" t="s">
        <v>293</v>
      </c>
      <c r="AG337" s="146">
        <f>VLOOKUP(Takeoffs!AF337,Sheet1!$B$6:$C$124,2,FALSE)</f>
        <v>0</v>
      </c>
      <c r="AH337" s="146">
        <f t="shared" si="143"/>
        <v>0</v>
      </c>
      <c r="AI337" s="143">
        <f t="shared" si="144"/>
        <v>0</v>
      </c>
      <c r="AJ337" s="133">
        <f t="shared" si="145"/>
        <v>1</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1</v>
      </c>
      <c r="T338" s="120"/>
      <c r="U338" s="121" t="s">
        <v>293</v>
      </c>
      <c r="V338" s="133">
        <f t="shared" si="139"/>
        <v>1</v>
      </c>
      <c r="W338" s="133">
        <f>VLOOKUP(U338,Sheet1!$B$6:$C$45,2,FALSE)*V338</f>
        <v>0</v>
      </c>
      <c r="X338" s="141"/>
      <c r="Y338" s="121" t="s">
        <v>293</v>
      </c>
      <c r="Z338" s="146">
        <f>VLOOKUP(Takeoffs!Y338,Sheet1!$B$6:$C$124,2,FALSE)</f>
        <v>0</v>
      </c>
      <c r="AA338" s="146">
        <f t="shared" si="140"/>
        <v>0</v>
      </c>
      <c r="AB338" s="143">
        <f t="shared" si="141"/>
        <v>1</v>
      </c>
      <c r="AC338" s="133">
        <f t="shared" si="142"/>
        <v>1</v>
      </c>
      <c r="AD338" s="142">
        <v>1</v>
      </c>
      <c r="AE338" s="141"/>
      <c r="AF338" s="121" t="s">
        <v>293</v>
      </c>
      <c r="AG338" s="146">
        <f>VLOOKUP(Takeoffs!AF338,Sheet1!$B$6:$C$124,2,FALSE)</f>
        <v>0</v>
      </c>
      <c r="AH338" s="146">
        <f t="shared" si="143"/>
        <v>0</v>
      </c>
      <c r="AI338" s="143">
        <f t="shared" si="144"/>
        <v>0</v>
      </c>
      <c r="AJ338" s="133">
        <f t="shared" si="145"/>
        <v>1</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1</v>
      </c>
      <c r="T339" s="120"/>
      <c r="U339" s="121" t="s">
        <v>293</v>
      </c>
      <c r="V339" s="133">
        <f t="shared" si="139"/>
        <v>1</v>
      </c>
      <c r="W339" s="133">
        <f>VLOOKUP(U339,Sheet1!$B$6:$C$45,2,FALSE)*V339</f>
        <v>0</v>
      </c>
      <c r="X339" s="141"/>
      <c r="Y339" s="121" t="s">
        <v>293</v>
      </c>
      <c r="Z339" s="146">
        <f>VLOOKUP(Takeoffs!Y339,Sheet1!$B$6:$C$124,2,FALSE)</f>
        <v>0</v>
      </c>
      <c r="AA339" s="146">
        <f t="shared" si="140"/>
        <v>0</v>
      </c>
      <c r="AB339" s="143">
        <f t="shared" si="141"/>
        <v>1</v>
      </c>
      <c r="AC339" s="133">
        <f t="shared" si="142"/>
        <v>1</v>
      </c>
      <c r="AD339" s="142">
        <v>1</v>
      </c>
      <c r="AE339" s="141"/>
      <c r="AF339" s="121" t="s">
        <v>293</v>
      </c>
      <c r="AG339" s="146">
        <f>VLOOKUP(Takeoffs!AF339,Sheet1!$B$6:$C$124,2,FALSE)</f>
        <v>0</v>
      </c>
      <c r="AH339" s="146">
        <f t="shared" si="143"/>
        <v>0</v>
      </c>
      <c r="AI339" s="143">
        <f t="shared" si="144"/>
        <v>0</v>
      </c>
      <c r="AJ339" s="133">
        <f t="shared" si="145"/>
        <v>1</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330</v>
      </c>
      <c r="P340" s="121"/>
      <c r="Q340" s="66"/>
      <c r="R340" s="121"/>
      <c r="S340" s="133">
        <f>M332</f>
        <v>1</v>
      </c>
      <c r="T340" s="120"/>
      <c r="U340" s="121" t="s">
        <v>242</v>
      </c>
      <c r="V340" s="133">
        <f t="shared" si="139"/>
        <v>1</v>
      </c>
      <c r="W340" s="133">
        <f>VLOOKUP(U340,Sheet1!$B$6:$C$45,2,FALSE)*V340</f>
        <v>2</v>
      </c>
      <c r="X340" s="141"/>
      <c r="Y340" s="121" t="s">
        <v>293</v>
      </c>
      <c r="Z340" s="146">
        <f>VLOOKUP(Takeoffs!Y340,Sheet1!$B$6:$C$124,2,FALSE)</f>
        <v>0</v>
      </c>
      <c r="AA340" s="146">
        <f t="shared" si="140"/>
        <v>0</v>
      </c>
      <c r="AB340" s="143">
        <f t="shared" si="141"/>
        <v>1</v>
      </c>
      <c r="AC340" s="133">
        <f t="shared" si="142"/>
        <v>1</v>
      </c>
      <c r="AD340" s="142">
        <v>1</v>
      </c>
      <c r="AE340" s="141"/>
      <c r="AF340" s="121" t="s">
        <v>293</v>
      </c>
      <c r="AG340" s="146">
        <f>VLOOKUP(Takeoffs!AF340,Sheet1!$B$6:$C$124,2,FALSE)</f>
        <v>0</v>
      </c>
      <c r="AH340" s="146">
        <f t="shared" si="143"/>
        <v>0</v>
      </c>
      <c r="AI340" s="143">
        <f t="shared" si="144"/>
        <v>0</v>
      </c>
      <c r="AJ340" s="133">
        <f t="shared" si="145"/>
        <v>1</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1</v>
      </c>
      <c r="T341" s="120"/>
      <c r="U341" s="121" t="s">
        <v>293</v>
      </c>
      <c r="V341" s="133">
        <f t="shared" si="139"/>
        <v>1</v>
      </c>
      <c r="W341" s="133">
        <f>VLOOKUP(U341,Sheet1!$B$6:$C$45,2,FALSE)*V341</f>
        <v>0</v>
      </c>
      <c r="X341" s="141"/>
      <c r="Y341" s="121" t="s">
        <v>293</v>
      </c>
      <c r="Z341" s="146">
        <f>VLOOKUP(Takeoffs!Y341,Sheet1!$B$6:$C$124,2,FALSE)</f>
        <v>0</v>
      </c>
      <c r="AA341" s="146">
        <f t="shared" si="140"/>
        <v>0</v>
      </c>
      <c r="AB341" s="143">
        <f t="shared" si="141"/>
        <v>1</v>
      </c>
      <c r="AC341" s="133">
        <f t="shared" si="142"/>
        <v>1</v>
      </c>
      <c r="AD341" s="142">
        <v>1</v>
      </c>
      <c r="AE341" s="141"/>
      <c r="AF341" s="121" t="s">
        <v>293</v>
      </c>
      <c r="AG341" s="146">
        <f>VLOOKUP(Takeoffs!AF341,Sheet1!$B$6:$C$124,2,FALSE)</f>
        <v>0</v>
      </c>
      <c r="AH341" s="146">
        <f t="shared" si="143"/>
        <v>0</v>
      </c>
      <c r="AI341" s="143">
        <f t="shared" si="144"/>
        <v>0</v>
      </c>
      <c r="AJ341" s="133">
        <f t="shared" si="145"/>
        <v>1</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1</v>
      </c>
      <c r="T342" s="120"/>
      <c r="U342" s="121" t="s">
        <v>293</v>
      </c>
      <c r="V342" s="133">
        <f t="shared" si="139"/>
        <v>1</v>
      </c>
      <c r="W342" s="133">
        <f>VLOOKUP(U342,Sheet1!$B$6:$C$45,2,FALSE)*V342</f>
        <v>0</v>
      </c>
      <c r="X342" s="141"/>
      <c r="Y342" s="121" t="s">
        <v>293</v>
      </c>
      <c r="Z342" s="146">
        <f>VLOOKUP(Takeoffs!Y342,Sheet1!$B$6:$C$124,2,FALSE)</f>
        <v>0</v>
      </c>
      <c r="AA342" s="146">
        <f t="shared" si="140"/>
        <v>0</v>
      </c>
      <c r="AB342" s="143">
        <f t="shared" si="141"/>
        <v>1</v>
      </c>
      <c r="AC342" s="133">
        <f t="shared" si="142"/>
        <v>1</v>
      </c>
      <c r="AD342" s="142">
        <v>1</v>
      </c>
      <c r="AE342" s="141"/>
      <c r="AF342" s="121" t="s">
        <v>293</v>
      </c>
      <c r="AG342" s="146">
        <f>VLOOKUP(Takeoffs!AF342,Sheet1!$B$6:$C$124,2,FALSE)</f>
        <v>0</v>
      </c>
      <c r="AH342" s="146">
        <f t="shared" si="143"/>
        <v>0</v>
      </c>
      <c r="AI342" s="143">
        <f t="shared" si="144"/>
        <v>0</v>
      </c>
      <c r="AJ342" s="133">
        <f t="shared" si="145"/>
        <v>1</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1</v>
      </c>
      <c r="T343" s="120"/>
      <c r="U343" s="121" t="s">
        <v>293</v>
      </c>
      <c r="V343" s="133">
        <f t="shared" si="139"/>
        <v>1</v>
      </c>
      <c r="W343" s="133">
        <f>VLOOKUP(U343,Sheet1!$B$6:$C$45,2,FALSE)*V343</f>
        <v>0</v>
      </c>
      <c r="X343" s="141"/>
      <c r="Y343" s="121" t="s">
        <v>293</v>
      </c>
      <c r="Z343" s="146">
        <f>VLOOKUP(Takeoffs!Y343,Sheet1!$B$6:$C$124,2,FALSE)</f>
        <v>0</v>
      </c>
      <c r="AA343" s="146">
        <f t="shared" si="140"/>
        <v>0</v>
      </c>
      <c r="AB343" s="143">
        <f t="shared" si="141"/>
        <v>1</v>
      </c>
      <c r="AC343" s="133">
        <f t="shared" si="142"/>
        <v>1</v>
      </c>
      <c r="AD343" s="142">
        <v>1</v>
      </c>
      <c r="AE343" s="141"/>
      <c r="AF343" s="121" t="s">
        <v>293</v>
      </c>
      <c r="AG343" s="146">
        <f>VLOOKUP(Takeoffs!AF343,Sheet1!$B$6:$C$124,2,FALSE)</f>
        <v>0</v>
      </c>
      <c r="AH343" s="146">
        <f t="shared" si="143"/>
        <v>0</v>
      </c>
      <c r="AI343" s="143">
        <f t="shared" si="144"/>
        <v>0</v>
      </c>
      <c r="AJ343" s="133">
        <f t="shared" si="145"/>
        <v>1</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1</v>
      </c>
      <c r="T344" s="120"/>
      <c r="U344" s="121" t="s">
        <v>293</v>
      </c>
      <c r="V344" s="133">
        <f t="shared" si="139"/>
        <v>1</v>
      </c>
      <c r="W344" s="133">
        <f>VLOOKUP(U344,Sheet1!$B$6:$C$45,2,FALSE)*V344</f>
        <v>0</v>
      </c>
      <c r="X344" s="141"/>
      <c r="Y344" s="121" t="s">
        <v>293</v>
      </c>
      <c r="Z344" s="146">
        <f>VLOOKUP(Takeoffs!Y344,Sheet1!$B$6:$C$124,2,FALSE)</f>
        <v>0</v>
      </c>
      <c r="AA344" s="146">
        <f t="shared" si="140"/>
        <v>0</v>
      </c>
      <c r="AB344" s="143">
        <f t="shared" si="141"/>
        <v>1</v>
      </c>
      <c r="AC344" s="133">
        <f t="shared" si="142"/>
        <v>1</v>
      </c>
      <c r="AD344" s="142">
        <v>1</v>
      </c>
      <c r="AE344" s="141"/>
      <c r="AF344" s="152" t="s">
        <v>420</v>
      </c>
      <c r="AG344" s="146">
        <f>VLOOKUP(Takeoffs!AF344,Sheet1!$B$6:$C$124,2,FALSE)</f>
        <v>0.33600000000000002</v>
      </c>
      <c r="AH344" s="146">
        <f t="shared" si="143"/>
        <v>0.33600000000000002</v>
      </c>
      <c r="AI344" s="143">
        <f t="shared" si="144"/>
        <v>1</v>
      </c>
      <c r="AJ344" s="133">
        <f t="shared" si="145"/>
        <v>1</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1</v>
      </c>
      <c r="T345" s="120"/>
      <c r="U345" s="121" t="s">
        <v>232</v>
      </c>
      <c r="V345" s="133">
        <f t="shared" si="139"/>
        <v>1</v>
      </c>
      <c r="W345" s="133">
        <f>VLOOKUP(U345,Sheet1!$B$6:$C$45,2,FALSE)*V345</f>
        <v>1</v>
      </c>
      <c r="X345" s="141"/>
      <c r="Y345" s="122" t="s">
        <v>281</v>
      </c>
      <c r="Z345" s="146">
        <f>VLOOKUP(Takeoffs!Y345,Sheet1!$B$6:$C$124,2,FALSE)</f>
        <v>109.25999999999999</v>
      </c>
      <c r="AA345" s="146">
        <f t="shared" si="140"/>
        <v>109.25999999999999</v>
      </c>
      <c r="AB345" s="143">
        <f t="shared" si="141"/>
        <v>1</v>
      </c>
      <c r="AC345" s="133">
        <f t="shared" si="142"/>
        <v>1</v>
      </c>
      <c r="AD345" s="142">
        <v>1</v>
      </c>
      <c r="AE345" s="141"/>
      <c r="AF345" s="121" t="s">
        <v>293</v>
      </c>
      <c r="AG345" s="146">
        <f>VLOOKUP(Takeoffs!AF345,Sheet1!$B$6:$C$124,2,FALSE)</f>
        <v>0</v>
      </c>
      <c r="AH345" s="146">
        <f t="shared" si="143"/>
        <v>0</v>
      </c>
      <c r="AI345" s="143">
        <f t="shared" si="144"/>
        <v>0</v>
      </c>
      <c r="AJ345" s="133">
        <f t="shared" si="145"/>
        <v>1</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665</v>
      </c>
      <c r="P346" s="121"/>
      <c r="Q346" s="66"/>
      <c r="R346" s="121"/>
      <c r="S346" s="133">
        <f>M332</f>
        <v>1</v>
      </c>
      <c r="T346" s="120"/>
      <c r="U346" s="121" t="s">
        <v>293</v>
      </c>
      <c r="V346" s="133">
        <f t="shared" si="139"/>
        <v>1</v>
      </c>
      <c r="W346" s="133">
        <f>VLOOKUP(U346,Sheet1!$B$6:$C$45,2,FALSE)*V346</f>
        <v>0</v>
      </c>
      <c r="X346" s="141"/>
      <c r="Y346" s="152" t="s">
        <v>273</v>
      </c>
      <c r="Z346" s="146">
        <f>VLOOKUP(Takeoffs!Y346,Sheet1!$B$6:$C$124,2,FALSE)</f>
        <v>307.2</v>
      </c>
      <c r="AA346" s="146">
        <f t="shared" si="140"/>
        <v>307.2</v>
      </c>
      <c r="AB346" s="143">
        <f t="shared" si="141"/>
        <v>1</v>
      </c>
      <c r="AC346" s="133">
        <f t="shared" si="142"/>
        <v>1</v>
      </c>
      <c r="AD346" s="142">
        <v>1</v>
      </c>
      <c r="AE346" s="141"/>
      <c r="AF346" s="121" t="s">
        <v>293</v>
      </c>
      <c r="AG346" s="146">
        <f>VLOOKUP(Takeoffs!AF346,Sheet1!$B$6:$C$124,2,FALSE)</f>
        <v>0</v>
      </c>
      <c r="AH346" s="146">
        <f t="shared" si="143"/>
        <v>0</v>
      </c>
      <c r="AI346" s="143">
        <f t="shared" si="144"/>
        <v>0</v>
      </c>
      <c r="AJ346" s="133">
        <f t="shared" si="145"/>
        <v>1</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339</v>
      </c>
      <c r="P347" s="121"/>
      <c r="Q347" s="66"/>
      <c r="R347" s="121" t="s">
        <v>333</v>
      </c>
      <c r="S347" s="133">
        <f>M332</f>
        <v>1</v>
      </c>
      <c r="T347" s="120"/>
      <c r="U347" s="121" t="s">
        <v>293</v>
      </c>
      <c r="V347" s="133">
        <f t="shared" si="139"/>
        <v>1</v>
      </c>
      <c r="W347" s="133">
        <f>VLOOKUP(U347,Sheet1!$B$6:$C$45,2,FALSE)*V347</f>
        <v>0</v>
      </c>
      <c r="X347" s="141"/>
      <c r="Y347" s="122" t="s">
        <v>280</v>
      </c>
      <c r="Z347" s="146">
        <f>VLOOKUP(Takeoffs!Y347,Sheet1!$B$6:$C$124,2,FALSE)</f>
        <v>19.2</v>
      </c>
      <c r="AA347" s="146">
        <f t="shared" si="140"/>
        <v>38.4</v>
      </c>
      <c r="AB347" s="143">
        <f t="shared" si="141"/>
        <v>2</v>
      </c>
      <c r="AC347" s="133">
        <f t="shared" si="142"/>
        <v>1</v>
      </c>
      <c r="AD347" s="142">
        <v>2</v>
      </c>
      <c r="AE347" s="141"/>
      <c r="AF347" s="121" t="s">
        <v>293</v>
      </c>
      <c r="AG347" s="146">
        <f>VLOOKUP(Takeoffs!AF347,Sheet1!$B$6:$C$124,2,FALSE)</f>
        <v>0</v>
      </c>
      <c r="AH347" s="146">
        <f t="shared" si="143"/>
        <v>0</v>
      </c>
      <c r="AI347" s="143">
        <f t="shared" si="144"/>
        <v>0</v>
      </c>
      <c r="AJ347" s="133">
        <f t="shared" si="145"/>
        <v>1</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1</v>
      </c>
      <c r="T348" s="120"/>
      <c r="U348" s="121" t="s">
        <v>293</v>
      </c>
      <c r="V348" s="133">
        <f t="shared" si="139"/>
        <v>1</v>
      </c>
      <c r="W348" s="133">
        <f>VLOOKUP(U348,Sheet1!$B$6:$C$45,2,FALSE)*V348</f>
        <v>0</v>
      </c>
      <c r="X348" s="141"/>
      <c r="Y348" s="121" t="s">
        <v>293</v>
      </c>
      <c r="Z348" s="146">
        <f>VLOOKUP(Takeoffs!Y348,Sheet1!$B$6:$C$124,2,FALSE)</f>
        <v>0</v>
      </c>
      <c r="AA348" s="146">
        <f t="shared" si="140"/>
        <v>0</v>
      </c>
      <c r="AB348" s="143">
        <f t="shared" si="141"/>
        <v>1</v>
      </c>
      <c r="AC348" s="133">
        <f t="shared" si="142"/>
        <v>1</v>
      </c>
      <c r="AD348" s="142">
        <v>1</v>
      </c>
      <c r="AE348" s="141"/>
      <c r="AF348" s="121" t="s">
        <v>293</v>
      </c>
      <c r="AG348" s="146">
        <f>VLOOKUP(Takeoffs!AF348,Sheet1!$B$6:$C$124,2,FALSE)</f>
        <v>0</v>
      </c>
      <c r="AH348" s="146">
        <f t="shared" si="143"/>
        <v>0</v>
      </c>
      <c r="AI348" s="143">
        <f t="shared" si="144"/>
        <v>0</v>
      </c>
      <c r="AJ348" s="133">
        <f t="shared" si="145"/>
        <v>1</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331</v>
      </c>
      <c r="P349" s="121"/>
      <c r="Q349" s="66"/>
      <c r="R349" s="121" t="s">
        <v>305</v>
      </c>
      <c r="S349" s="133">
        <f>M332</f>
        <v>1</v>
      </c>
      <c r="T349" s="120"/>
      <c r="U349" s="121" t="s">
        <v>293</v>
      </c>
      <c r="V349" s="133">
        <f t="shared" si="139"/>
        <v>1</v>
      </c>
      <c r="W349" s="133">
        <f>VLOOKUP(U349,Sheet1!$B$6:$C$45,2,FALSE)*V349</f>
        <v>0</v>
      </c>
      <c r="X349" s="141"/>
      <c r="Y349" s="122" t="s">
        <v>277</v>
      </c>
      <c r="Z349" s="146">
        <f>VLOOKUP(Takeoffs!Y349,Sheet1!$B$6:$C$124,2,FALSE)</f>
        <v>69.540000000000006</v>
      </c>
      <c r="AA349" s="146">
        <f t="shared" si="140"/>
        <v>69.540000000000006</v>
      </c>
      <c r="AB349" s="143">
        <f t="shared" si="141"/>
        <v>1</v>
      </c>
      <c r="AC349" s="133">
        <f t="shared" si="142"/>
        <v>1</v>
      </c>
      <c r="AD349" s="142">
        <v>1</v>
      </c>
      <c r="AE349" s="141"/>
      <c r="AF349" s="121" t="s">
        <v>293</v>
      </c>
      <c r="AG349" s="146">
        <f>VLOOKUP(Takeoffs!AF349,Sheet1!$B$6:$C$124,2,FALSE)</f>
        <v>0</v>
      </c>
      <c r="AH349" s="146">
        <f t="shared" si="143"/>
        <v>0</v>
      </c>
      <c r="AI349" s="143">
        <f t="shared" si="144"/>
        <v>0</v>
      </c>
      <c r="AJ349" s="133">
        <f t="shared" si="145"/>
        <v>1</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1</v>
      </c>
      <c r="T350" s="120"/>
      <c r="U350" s="121" t="s">
        <v>293</v>
      </c>
      <c r="V350" s="133">
        <f t="shared" si="139"/>
        <v>1</v>
      </c>
      <c r="W350" s="133">
        <f>VLOOKUP(U350,Sheet1!$B$6:$C$45,2,FALSE)*V350</f>
        <v>0</v>
      </c>
      <c r="X350" s="141"/>
      <c r="Y350" s="121" t="s">
        <v>293</v>
      </c>
      <c r="Z350" s="146">
        <f>VLOOKUP(Takeoffs!Y350,Sheet1!$B$6:$C$124,2,FALSE)</f>
        <v>0</v>
      </c>
      <c r="AA350" s="146">
        <f t="shared" si="140"/>
        <v>0</v>
      </c>
      <c r="AB350" s="143">
        <f t="shared" si="141"/>
        <v>1</v>
      </c>
      <c r="AC350" s="133">
        <f t="shared" si="142"/>
        <v>1</v>
      </c>
      <c r="AD350" s="142">
        <v>1</v>
      </c>
      <c r="AE350" s="141"/>
      <c r="AF350" s="121" t="s">
        <v>293</v>
      </c>
      <c r="AG350" s="146">
        <f>VLOOKUP(Takeoffs!AF350,Sheet1!$B$6:$C$124,2,FALSE)</f>
        <v>0</v>
      </c>
      <c r="AH350" s="146">
        <f t="shared" si="143"/>
        <v>0</v>
      </c>
      <c r="AI350" s="143">
        <f t="shared" si="144"/>
        <v>0</v>
      </c>
      <c r="AJ350" s="133">
        <f t="shared" si="145"/>
        <v>1</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409</v>
      </c>
      <c r="P351" s="121"/>
      <c r="Q351" s="66"/>
      <c r="R351" s="121"/>
      <c r="S351" s="133">
        <f>M332</f>
        <v>1</v>
      </c>
      <c r="T351" s="120"/>
      <c r="U351" s="121" t="s">
        <v>293</v>
      </c>
      <c r="V351" s="133">
        <f t="shared" si="139"/>
        <v>1</v>
      </c>
      <c r="W351" s="133">
        <f>VLOOKUP(U351,Sheet1!$B$6:$C$45,2,FALSE)*V351</f>
        <v>0</v>
      </c>
      <c r="X351" s="141"/>
      <c r="Y351" s="121" t="s">
        <v>274</v>
      </c>
      <c r="Z351" s="146">
        <f>VLOOKUP(Takeoffs!Y351,Sheet1!$B$6:$C$124,2,FALSE)</f>
        <v>360</v>
      </c>
      <c r="AA351" s="146">
        <f t="shared" si="140"/>
        <v>360</v>
      </c>
      <c r="AB351" s="143">
        <f t="shared" si="141"/>
        <v>1</v>
      </c>
      <c r="AC351" s="133">
        <f t="shared" si="142"/>
        <v>1</v>
      </c>
      <c r="AD351" s="142">
        <v>1</v>
      </c>
      <c r="AE351" s="141"/>
      <c r="AF351" s="121" t="s">
        <v>293</v>
      </c>
      <c r="AG351" s="146">
        <f>VLOOKUP(Takeoffs!AF351,Sheet1!$B$6:$C$124,2,FALSE)</f>
        <v>0</v>
      </c>
      <c r="AH351" s="146">
        <f t="shared" si="143"/>
        <v>0</v>
      </c>
      <c r="AI351" s="143">
        <f t="shared" si="144"/>
        <v>0</v>
      </c>
      <c r="AJ351" s="133">
        <f t="shared" si="145"/>
        <v>1</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410</v>
      </c>
      <c r="P352" s="121"/>
      <c r="Q352" s="66"/>
      <c r="R352" s="121"/>
      <c r="S352" s="133">
        <f>M332</f>
        <v>1</v>
      </c>
      <c r="T352" s="120"/>
      <c r="U352" s="121" t="s">
        <v>364</v>
      </c>
      <c r="V352" s="133">
        <f t="shared" si="139"/>
        <v>1</v>
      </c>
      <c r="W352" s="133">
        <f>VLOOKUP(U352,Sheet1!$B$6:$C$45,2,FALSE)*V352</f>
        <v>1</v>
      </c>
      <c r="X352" s="141"/>
      <c r="Y352" s="121" t="s">
        <v>293</v>
      </c>
      <c r="Z352" s="146">
        <f>VLOOKUP(Takeoffs!Y352,Sheet1!$B$6:$C$124,2,FALSE)</f>
        <v>0</v>
      </c>
      <c r="AA352" s="146">
        <f t="shared" si="140"/>
        <v>0</v>
      </c>
      <c r="AB352" s="143">
        <f t="shared" si="141"/>
        <v>1</v>
      </c>
      <c r="AC352" s="133">
        <f t="shared" si="142"/>
        <v>1</v>
      </c>
      <c r="AD352" s="142">
        <v>1</v>
      </c>
      <c r="AE352" s="141"/>
      <c r="AF352" s="121" t="s">
        <v>293</v>
      </c>
      <c r="AG352" s="146">
        <f>VLOOKUP(Takeoffs!AF352,Sheet1!$B$6:$C$124,2,FALSE)</f>
        <v>0</v>
      </c>
      <c r="AH352" s="146">
        <f t="shared" si="143"/>
        <v>0</v>
      </c>
      <c r="AI352" s="143">
        <f t="shared" si="144"/>
        <v>0</v>
      </c>
      <c r="AJ352" s="133">
        <f t="shared" si="145"/>
        <v>1</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379</v>
      </c>
      <c r="L353" s="128" t="s">
        <v>380</v>
      </c>
      <c r="N353" s="129"/>
      <c r="O353" s="130" t="s">
        <v>359</v>
      </c>
      <c r="P353" s="131">
        <f>V353+AA353+AH353</f>
        <v>1483.7359999999999</v>
      </c>
      <c r="Q353" s="131"/>
      <c r="R353" s="131"/>
      <c r="S353" s="130"/>
      <c r="T353" s="127"/>
      <c r="U353" s="126" t="s">
        <v>353</v>
      </c>
      <c r="V353" s="127">
        <f>W353*80</f>
        <v>560</v>
      </c>
      <c r="W353" s="147">
        <f>SUM(W332:W352)</f>
        <v>7</v>
      </c>
      <c r="X353" s="148"/>
      <c r="Y353" s="127" t="s">
        <v>354</v>
      </c>
      <c r="Z353" s="116"/>
      <c r="AA353" s="116">
        <f>SUM(AA332:AA352)</f>
        <v>918.3</v>
      </c>
      <c r="AB353" s="149"/>
      <c r="AC353" s="149"/>
      <c r="AD353" s="149"/>
      <c r="AE353" s="149"/>
      <c r="AF353" s="127" t="s">
        <v>358</v>
      </c>
      <c r="AG353" s="116"/>
      <c r="AH353" s="116">
        <f>SUM(AH332:AH352)</f>
        <v>5.4359999999999999</v>
      </c>
      <c r="AI353" s="149"/>
      <c r="AJ353" s="149"/>
      <c r="AK353" s="149"/>
      <c r="AL353" s="149"/>
      <c r="AM353" s="150">
        <f>P353</f>
        <v>1483.7359999999999</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494</v>
      </c>
      <c r="C354" s="217" t="str">
        <f>N332</f>
        <v>DOL fan with interlock with mechanical thermostat - from MSSB power supply</v>
      </c>
      <c r="D354" s="260" t="str">
        <f>IF(B354="Shopping List",IF(ISNUMBER(SEARCH("MSSB",C354)),"MSSB",IF(ISNUMBER(SEARCH("local",C354)),"LOCAL","")))</f>
        <v>MSSB</v>
      </c>
      <c r="E354" s="238"/>
      <c r="F354" s="217"/>
      <c r="G354" s="217"/>
      <c r="H354" s="245"/>
      <c r="I354" s="270">
        <v>1</v>
      </c>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one (1)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1483.7359999999999</v>
      </c>
      <c r="L354" s="235" t="str">
        <f>CONCATENATE(Q333,Q334,Q335,Q336,Q337,Q338,Q339,Q340,Q341,Q342,Q343,Q344,Q345,Q346,Q347,Q348,Q349,Q350,Q351,Q352,)</f>
        <v/>
      </c>
      <c r="M354" s="166" t="s">
        <v>369</v>
      </c>
      <c r="N354" s="160" t="str">
        <f>N332</f>
        <v>DOL fan with interlock with mechanical thermostat - from MSSB power supply</v>
      </c>
      <c r="O354" s="160" t="s">
        <v>367</v>
      </c>
      <c r="P354" s="82">
        <f>P353/M332</f>
        <v>1483.7359999999999</v>
      </c>
      <c r="Q354" s="161"/>
      <c r="R354" s="161"/>
      <c r="S354" s="160"/>
      <c r="T354" s="161"/>
      <c r="U354" s="327" t="s">
        <v>368</v>
      </c>
      <c r="V354" s="327"/>
      <c r="W354" s="162">
        <f>W353/M332</f>
        <v>7</v>
      </c>
      <c r="X354" s="163"/>
      <c r="Y354" s="325" t="s">
        <v>367</v>
      </c>
      <c r="Z354" s="325"/>
      <c r="AA354" s="164">
        <f>AA353/M332</f>
        <v>918.3</v>
      </c>
      <c r="AB354" s="161"/>
      <c r="AC354" s="161"/>
      <c r="AD354" s="161"/>
      <c r="AE354" s="161"/>
      <c r="AF354" s="325" t="s">
        <v>367</v>
      </c>
      <c r="AG354" s="325"/>
      <c r="AH354" s="164">
        <f>AH353/M332</f>
        <v>5.4359999999999999</v>
      </c>
      <c r="AI354" s="161"/>
      <c r="AJ354" s="161"/>
      <c r="AK354" s="161"/>
      <c r="AL354" s="247"/>
      <c r="AM354" s="257"/>
      <c r="AN354" s="230">
        <f>K354*1.25</f>
        <v>1854.6699999999998</v>
      </c>
      <c r="AO354" s="286"/>
      <c r="AP354" s="284">
        <f t="shared" si="148"/>
        <v>1483.7359999999999</v>
      </c>
      <c r="AQ354" s="281">
        <f t="shared" si="149"/>
        <v>560</v>
      </c>
      <c r="AR354" s="284">
        <f t="shared" si="150"/>
        <v>918.3</v>
      </c>
      <c r="AS354" s="281">
        <f t="shared" si="151"/>
        <v>5.4359999999999999</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454</v>
      </c>
      <c r="M355" s="116" t="s">
        <v>107</v>
      </c>
      <c r="N355" s="116" t="s">
        <v>108</v>
      </c>
      <c r="O355" s="170" t="s">
        <v>388</v>
      </c>
      <c r="P355" s="326" t="s">
        <v>377</v>
      </c>
      <c r="Q355" s="326"/>
      <c r="R355" s="101" t="s">
        <v>454</v>
      </c>
      <c r="S355" s="116" t="s">
        <v>0</v>
      </c>
      <c r="T355" s="118"/>
      <c r="U355" s="116" t="s">
        <v>288</v>
      </c>
      <c r="V355" s="116" t="s">
        <v>289</v>
      </c>
      <c r="W355" s="116" t="s">
        <v>292</v>
      </c>
      <c r="X355" s="140"/>
      <c r="Y355" s="116" t="s">
        <v>290</v>
      </c>
      <c r="Z355" s="116" t="s">
        <v>356</v>
      </c>
      <c r="AA355" s="116" t="s">
        <v>357</v>
      </c>
      <c r="AB355" s="116" t="s">
        <v>319</v>
      </c>
      <c r="AC355" s="116" t="s">
        <v>320</v>
      </c>
      <c r="AD355" s="116" t="s">
        <v>318</v>
      </c>
      <c r="AE355" s="140"/>
      <c r="AF355" s="116" t="s">
        <v>294</v>
      </c>
      <c r="AG355" s="116" t="s">
        <v>356</v>
      </c>
      <c r="AH355" s="116" t="s">
        <v>357</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one</v>
      </c>
      <c r="M356" s="121">
        <f>I378</f>
        <v>1</v>
      </c>
      <c r="N356" s="132" t="s">
        <v>666</v>
      </c>
      <c r="O356" s="121" t="s">
        <v>349</v>
      </c>
      <c r="P356" s="169" t="s">
        <v>381</v>
      </c>
      <c r="Q356" s="169" t="s">
        <v>377</v>
      </c>
      <c r="R356" s="169"/>
      <c r="S356" s="133">
        <f>M356</f>
        <v>1</v>
      </c>
      <c r="T356" s="119"/>
      <c r="U356" s="121" t="s">
        <v>293</v>
      </c>
      <c r="V356" s="133">
        <f>S356</f>
        <v>1</v>
      </c>
      <c r="W356" s="133">
        <f>VLOOKUP(U356,Sheet1!$B$6:$C$45,2,FALSE)*V356</f>
        <v>0</v>
      </c>
      <c r="X356" s="141"/>
      <c r="Y356" s="121" t="s">
        <v>293</v>
      </c>
      <c r="Z356" s="146">
        <f>VLOOKUP(Takeoffs!Y356,Sheet1!$B$6:$C$124,2,FALSE)</f>
        <v>0</v>
      </c>
      <c r="AA356" s="146">
        <f>Z356*AB356</f>
        <v>0</v>
      </c>
      <c r="AB356" s="143">
        <f>AD356*AC356</f>
        <v>1</v>
      </c>
      <c r="AC356" s="133">
        <f>S356</f>
        <v>1</v>
      </c>
      <c r="AD356" s="142">
        <v>1</v>
      </c>
      <c r="AE356" s="141"/>
      <c r="AF356" s="121" t="s">
        <v>293</v>
      </c>
      <c r="AG356" s="146">
        <f>VLOOKUP(Takeoffs!AF356,Sheet1!$B$6:$C$124,2,FALSE)</f>
        <v>0</v>
      </c>
      <c r="AH356" s="146">
        <f>AG356*AI356</f>
        <v>0</v>
      </c>
      <c r="AI356" s="143">
        <f>AK356*AJ356</f>
        <v>0</v>
      </c>
      <c r="AJ356" s="133">
        <f>S356</f>
        <v>1</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342</v>
      </c>
      <c r="P357" s="121"/>
      <c r="Q357" s="66"/>
      <c r="R357" s="121"/>
      <c r="S357" s="133">
        <f>M356</f>
        <v>1</v>
      </c>
      <c r="T357" s="120"/>
      <c r="U357" s="121" t="s">
        <v>233</v>
      </c>
      <c r="V357" s="133">
        <f t="shared" ref="V357:V376" si="154">S357</f>
        <v>1</v>
      </c>
      <c r="W357" s="133">
        <f>VLOOKUP(U357,Sheet1!$B$6:$C$45,2,FALSE)*V357</f>
        <v>1</v>
      </c>
      <c r="X357" s="141"/>
      <c r="Y357" s="121" t="s">
        <v>293</v>
      </c>
      <c r="Z357" s="146">
        <f>VLOOKUP(Takeoffs!Y357,Sheet1!$B$6:$C$124,2,FALSE)</f>
        <v>0</v>
      </c>
      <c r="AA357" s="146">
        <f t="shared" ref="AA357:AA376" si="155">Z357*AB357</f>
        <v>0</v>
      </c>
      <c r="AB357" s="143">
        <f t="shared" ref="AB357:AB376" si="156">AD357*AC357</f>
        <v>1</v>
      </c>
      <c r="AC357" s="133">
        <f t="shared" ref="AC357:AC376" si="157">S357</f>
        <v>1</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1</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593</v>
      </c>
      <c r="P358" s="121"/>
      <c r="Q358" s="66"/>
      <c r="R358" s="121"/>
      <c r="S358" s="133">
        <f>M356</f>
        <v>1</v>
      </c>
      <c r="T358" s="120"/>
      <c r="U358" s="117" t="s">
        <v>481</v>
      </c>
      <c r="V358" s="133">
        <f t="shared" si="154"/>
        <v>1</v>
      </c>
      <c r="W358" s="133">
        <f>VLOOKUP(U358,Sheet1!$B$6:$C$45,2,FALSE)*V358</f>
        <v>2</v>
      </c>
      <c r="X358" s="141"/>
      <c r="Y358" s="52" t="s">
        <v>253</v>
      </c>
      <c r="Z358" s="146">
        <f>VLOOKUP(Takeoffs!Y358,Sheet1!$B$6:$C$124,2,FALSE)</f>
        <v>10.139999999999999</v>
      </c>
      <c r="AA358" s="146">
        <f t="shared" si="155"/>
        <v>10.139999999999999</v>
      </c>
      <c r="AB358" s="143">
        <f t="shared" si="156"/>
        <v>1</v>
      </c>
      <c r="AC358" s="133">
        <f t="shared" si="157"/>
        <v>1</v>
      </c>
      <c r="AD358" s="142">
        <v>1</v>
      </c>
      <c r="AE358" s="141"/>
      <c r="AF358" s="122" t="s">
        <v>268</v>
      </c>
      <c r="AG358" s="146">
        <f>VLOOKUP(Takeoffs!AF358,Sheet1!$B$6:$C$124,2,FALSE)</f>
        <v>1.02</v>
      </c>
      <c r="AH358" s="146">
        <f t="shared" si="158"/>
        <v>5.0999999999999996</v>
      </c>
      <c r="AI358" s="143">
        <f t="shared" si="159"/>
        <v>5</v>
      </c>
      <c r="AJ358" s="133">
        <f t="shared" si="160"/>
        <v>1</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408</v>
      </c>
      <c r="P359" s="121"/>
      <c r="Q359" s="66"/>
      <c r="R359" s="121"/>
      <c r="S359" s="133">
        <f>M356</f>
        <v>1</v>
      </c>
      <c r="T359" s="120"/>
      <c r="U359" s="121" t="s">
        <v>293</v>
      </c>
      <c r="V359" s="133">
        <f t="shared" si="154"/>
        <v>1</v>
      </c>
      <c r="W359" s="133">
        <f>VLOOKUP(U359,Sheet1!$B$6:$C$45,2,FALSE)*V359</f>
        <v>0</v>
      </c>
      <c r="X359" s="141"/>
      <c r="Y359" s="122" t="s">
        <v>247</v>
      </c>
      <c r="Z359" s="146">
        <f>VLOOKUP(Takeoffs!Y359,Sheet1!$B$6:$C$124,2,FALSE)</f>
        <v>23.76</v>
      </c>
      <c r="AA359" s="146">
        <f t="shared" si="155"/>
        <v>23.76</v>
      </c>
      <c r="AB359" s="143">
        <f t="shared" si="156"/>
        <v>1</v>
      </c>
      <c r="AC359" s="133">
        <f t="shared" si="157"/>
        <v>1</v>
      </c>
      <c r="AD359" s="142">
        <v>1</v>
      </c>
      <c r="AE359" s="141"/>
      <c r="AF359" s="121" t="s">
        <v>293</v>
      </c>
      <c r="AG359" s="146">
        <f>VLOOKUP(Takeoffs!AF359,Sheet1!$B$6:$C$124,2,FALSE)</f>
        <v>0</v>
      </c>
      <c r="AH359" s="146">
        <f t="shared" si="158"/>
        <v>0</v>
      </c>
      <c r="AI359" s="143">
        <f t="shared" si="159"/>
        <v>0</v>
      </c>
      <c r="AJ359" s="133">
        <f t="shared" si="160"/>
        <v>1</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1</v>
      </c>
      <c r="T360" s="120"/>
      <c r="U360" s="121" t="s">
        <v>293</v>
      </c>
      <c r="V360" s="133">
        <f t="shared" si="154"/>
        <v>1</v>
      </c>
      <c r="W360" s="133">
        <f>VLOOKUP(U360,Sheet1!$B$6:$C$45,2,FALSE)*V360</f>
        <v>0</v>
      </c>
      <c r="X360" s="141"/>
      <c r="Y360" s="121" t="s">
        <v>293</v>
      </c>
      <c r="Z360" s="146">
        <f>VLOOKUP(Takeoffs!Y360,Sheet1!$B$6:$C$124,2,FALSE)</f>
        <v>0</v>
      </c>
      <c r="AA360" s="146">
        <f t="shared" si="155"/>
        <v>0</v>
      </c>
      <c r="AB360" s="143">
        <f t="shared" si="156"/>
        <v>1</v>
      </c>
      <c r="AC360" s="133">
        <f t="shared" si="157"/>
        <v>1</v>
      </c>
      <c r="AD360" s="142">
        <v>1</v>
      </c>
      <c r="AE360" s="141"/>
      <c r="AF360" s="121" t="s">
        <v>293</v>
      </c>
      <c r="AG360" s="146">
        <f>VLOOKUP(Takeoffs!AF360,Sheet1!$B$6:$C$124,2,FALSE)</f>
        <v>0</v>
      </c>
      <c r="AH360" s="146">
        <f t="shared" si="158"/>
        <v>0</v>
      </c>
      <c r="AI360" s="143">
        <f t="shared" si="159"/>
        <v>0</v>
      </c>
      <c r="AJ360" s="133">
        <f t="shared" si="160"/>
        <v>1</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1</v>
      </c>
      <c r="T361" s="120"/>
      <c r="U361" s="121" t="s">
        <v>293</v>
      </c>
      <c r="V361" s="133">
        <f t="shared" si="154"/>
        <v>1</v>
      </c>
      <c r="W361" s="133">
        <f>VLOOKUP(U361,Sheet1!$B$6:$C$45,2,FALSE)*V361</f>
        <v>0</v>
      </c>
      <c r="X361" s="141"/>
      <c r="Y361" s="121" t="s">
        <v>293</v>
      </c>
      <c r="Z361" s="146">
        <f>VLOOKUP(Takeoffs!Y361,Sheet1!$B$6:$C$124,2,FALSE)</f>
        <v>0</v>
      </c>
      <c r="AA361" s="146">
        <f t="shared" si="155"/>
        <v>0</v>
      </c>
      <c r="AB361" s="143">
        <f t="shared" si="156"/>
        <v>1</v>
      </c>
      <c r="AC361" s="133">
        <f t="shared" si="157"/>
        <v>1</v>
      </c>
      <c r="AD361" s="142">
        <v>1</v>
      </c>
      <c r="AE361" s="141"/>
      <c r="AF361" s="121" t="s">
        <v>293</v>
      </c>
      <c r="AG361" s="146">
        <f>VLOOKUP(Takeoffs!AF361,Sheet1!$B$6:$C$124,2,FALSE)</f>
        <v>0</v>
      </c>
      <c r="AH361" s="146">
        <f t="shared" si="158"/>
        <v>0</v>
      </c>
      <c r="AI361" s="143">
        <f t="shared" si="159"/>
        <v>0</v>
      </c>
      <c r="AJ361" s="133">
        <f t="shared" si="160"/>
        <v>1</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1</v>
      </c>
      <c r="T362" s="120"/>
      <c r="U362" s="121" t="s">
        <v>293</v>
      </c>
      <c r="V362" s="133">
        <f t="shared" si="154"/>
        <v>1</v>
      </c>
      <c r="W362" s="133">
        <f>VLOOKUP(U362,Sheet1!$B$6:$C$45,2,FALSE)*V362</f>
        <v>0</v>
      </c>
      <c r="X362" s="141"/>
      <c r="Y362" s="121" t="s">
        <v>293</v>
      </c>
      <c r="Z362" s="146">
        <f>VLOOKUP(Takeoffs!Y362,Sheet1!$B$6:$C$124,2,FALSE)</f>
        <v>0</v>
      </c>
      <c r="AA362" s="146">
        <f t="shared" si="155"/>
        <v>0</v>
      </c>
      <c r="AB362" s="143">
        <f t="shared" si="156"/>
        <v>1</v>
      </c>
      <c r="AC362" s="133">
        <f t="shared" si="157"/>
        <v>1</v>
      </c>
      <c r="AD362" s="142">
        <v>1</v>
      </c>
      <c r="AE362" s="141"/>
      <c r="AF362" s="121" t="s">
        <v>293</v>
      </c>
      <c r="AG362" s="146">
        <f>VLOOKUP(Takeoffs!AF362,Sheet1!$B$6:$C$124,2,FALSE)</f>
        <v>0</v>
      </c>
      <c r="AH362" s="146">
        <f t="shared" si="158"/>
        <v>0</v>
      </c>
      <c r="AI362" s="143">
        <f t="shared" si="159"/>
        <v>0</v>
      </c>
      <c r="AJ362" s="133">
        <f t="shared" si="160"/>
        <v>1</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1</v>
      </c>
      <c r="T363" s="120"/>
      <c r="U363" s="121" t="s">
        <v>293</v>
      </c>
      <c r="V363" s="133">
        <f t="shared" si="154"/>
        <v>1</v>
      </c>
      <c r="W363" s="133">
        <f>VLOOKUP(U363,Sheet1!$B$6:$C$45,2,FALSE)*V363</f>
        <v>0</v>
      </c>
      <c r="X363" s="141"/>
      <c r="Y363" s="121" t="s">
        <v>293</v>
      </c>
      <c r="Z363" s="146">
        <f>VLOOKUP(Takeoffs!Y363,Sheet1!$B$6:$C$124,2,FALSE)</f>
        <v>0</v>
      </c>
      <c r="AA363" s="146">
        <f t="shared" si="155"/>
        <v>0</v>
      </c>
      <c r="AB363" s="143">
        <f t="shared" si="156"/>
        <v>1</v>
      </c>
      <c r="AC363" s="133">
        <f t="shared" si="157"/>
        <v>1</v>
      </c>
      <c r="AD363" s="142">
        <v>1</v>
      </c>
      <c r="AE363" s="141"/>
      <c r="AF363" s="121" t="s">
        <v>293</v>
      </c>
      <c r="AG363" s="146">
        <f>VLOOKUP(Takeoffs!AF363,Sheet1!$B$6:$C$124,2,FALSE)</f>
        <v>0</v>
      </c>
      <c r="AH363" s="146">
        <f t="shared" si="158"/>
        <v>0</v>
      </c>
      <c r="AI363" s="143">
        <f t="shared" si="159"/>
        <v>0</v>
      </c>
      <c r="AJ363" s="133">
        <f t="shared" si="160"/>
        <v>1</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330</v>
      </c>
      <c r="P364" s="121"/>
      <c r="Q364" s="66"/>
      <c r="R364" s="121"/>
      <c r="S364" s="133">
        <f>M356</f>
        <v>1</v>
      </c>
      <c r="T364" s="120"/>
      <c r="U364" s="121" t="s">
        <v>242</v>
      </c>
      <c r="V364" s="133">
        <f t="shared" si="154"/>
        <v>1</v>
      </c>
      <c r="W364" s="133">
        <f>VLOOKUP(U364,Sheet1!$B$6:$C$45,2,FALSE)*V364</f>
        <v>2</v>
      </c>
      <c r="X364" s="141"/>
      <c r="Y364" s="121" t="s">
        <v>293</v>
      </c>
      <c r="Z364" s="146">
        <f>VLOOKUP(Takeoffs!Y364,Sheet1!$B$6:$C$124,2,FALSE)</f>
        <v>0</v>
      </c>
      <c r="AA364" s="146">
        <f t="shared" si="155"/>
        <v>0</v>
      </c>
      <c r="AB364" s="143">
        <f t="shared" si="156"/>
        <v>1</v>
      </c>
      <c r="AC364" s="133">
        <f t="shared" si="157"/>
        <v>1</v>
      </c>
      <c r="AD364" s="142">
        <v>1</v>
      </c>
      <c r="AE364" s="141"/>
      <c r="AF364" s="121" t="s">
        <v>293</v>
      </c>
      <c r="AG364" s="146">
        <f>VLOOKUP(Takeoffs!AF364,Sheet1!$B$6:$C$124,2,FALSE)</f>
        <v>0</v>
      </c>
      <c r="AH364" s="146">
        <f t="shared" si="158"/>
        <v>0</v>
      </c>
      <c r="AI364" s="143">
        <f t="shared" si="159"/>
        <v>0</v>
      </c>
      <c r="AJ364" s="133">
        <f t="shared" si="160"/>
        <v>1</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1</v>
      </c>
      <c r="T365" s="120"/>
      <c r="U365" s="121" t="s">
        <v>293</v>
      </c>
      <c r="V365" s="133">
        <f t="shared" si="154"/>
        <v>1</v>
      </c>
      <c r="W365" s="133">
        <f>VLOOKUP(U365,Sheet1!$B$6:$C$45,2,FALSE)*V365</f>
        <v>0</v>
      </c>
      <c r="X365" s="141"/>
      <c r="Y365" s="121" t="s">
        <v>293</v>
      </c>
      <c r="Z365" s="146">
        <f>VLOOKUP(Takeoffs!Y365,Sheet1!$B$6:$C$124,2,FALSE)</f>
        <v>0</v>
      </c>
      <c r="AA365" s="146">
        <f t="shared" si="155"/>
        <v>0</v>
      </c>
      <c r="AB365" s="143">
        <f t="shared" si="156"/>
        <v>1</v>
      </c>
      <c r="AC365" s="133">
        <f t="shared" si="157"/>
        <v>1</v>
      </c>
      <c r="AD365" s="142">
        <v>1</v>
      </c>
      <c r="AE365" s="141"/>
      <c r="AF365" s="121" t="s">
        <v>293</v>
      </c>
      <c r="AG365" s="146">
        <f>VLOOKUP(Takeoffs!AF365,Sheet1!$B$6:$C$124,2,FALSE)</f>
        <v>0</v>
      </c>
      <c r="AH365" s="146">
        <f t="shared" si="158"/>
        <v>0</v>
      </c>
      <c r="AI365" s="143">
        <f t="shared" si="159"/>
        <v>0</v>
      </c>
      <c r="AJ365" s="133">
        <f t="shared" si="160"/>
        <v>1</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1</v>
      </c>
      <c r="T366" s="120"/>
      <c r="U366" s="121" t="s">
        <v>293</v>
      </c>
      <c r="V366" s="133">
        <f t="shared" si="154"/>
        <v>1</v>
      </c>
      <c r="W366" s="133">
        <f>VLOOKUP(U366,Sheet1!$B$6:$C$45,2,FALSE)*V366</f>
        <v>0</v>
      </c>
      <c r="X366" s="141"/>
      <c r="Y366" s="121" t="s">
        <v>293</v>
      </c>
      <c r="Z366" s="146">
        <f>VLOOKUP(Takeoffs!Y366,Sheet1!$B$6:$C$124,2,FALSE)</f>
        <v>0</v>
      </c>
      <c r="AA366" s="146">
        <f t="shared" si="155"/>
        <v>0</v>
      </c>
      <c r="AB366" s="143">
        <f t="shared" si="156"/>
        <v>1</v>
      </c>
      <c r="AC366" s="133">
        <f t="shared" si="157"/>
        <v>1</v>
      </c>
      <c r="AD366" s="142">
        <v>1</v>
      </c>
      <c r="AE366" s="141"/>
      <c r="AF366" s="121" t="s">
        <v>293</v>
      </c>
      <c r="AG366" s="146">
        <f>VLOOKUP(Takeoffs!AF366,Sheet1!$B$6:$C$124,2,FALSE)</f>
        <v>0</v>
      </c>
      <c r="AH366" s="146">
        <f t="shared" si="158"/>
        <v>0</v>
      </c>
      <c r="AI366" s="143">
        <f t="shared" si="159"/>
        <v>0</v>
      </c>
      <c r="AJ366" s="133">
        <f t="shared" si="160"/>
        <v>1</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667</v>
      </c>
      <c r="P367" s="121" t="s">
        <v>669</v>
      </c>
      <c r="Q367" s="66" t="s">
        <v>668</v>
      </c>
      <c r="R367" s="121"/>
      <c r="S367" s="133">
        <f>M356</f>
        <v>1</v>
      </c>
      <c r="T367" s="120"/>
      <c r="U367" s="121" t="s">
        <v>293</v>
      </c>
      <c r="V367" s="133">
        <f t="shared" si="154"/>
        <v>1</v>
      </c>
      <c r="W367" s="133">
        <f>VLOOKUP(U367,Sheet1!$B$6:$C$45,2,FALSE)*V367</f>
        <v>0</v>
      </c>
      <c r="X367" s="141"/>
      <c r="Y367" s="121" t="s">
        <v>293</v>
      </c>
      <c r="Z367" s="146">
        <f>VLOOKUP(Takeoffs!Y367,Sheet1!$B$6:$C$124,2,FALSE)</f>
        <v>0</v>
      </c>
      <c r="AA367" s="146">
        <f t="shared" si="155"/>
        <v>0</v>
      </c>
      <c r="AB367" s="143">
        <f t="shared" si="156"/>
        <v>1</v>
      </c>
      <c r="AC367" s="133">
        <f t="shared" si="157"/>
        <v>1</v>
      </c>
      <c r="AD367" s="142">
        <v>1</v>
      </c>
      <c r="AE367" s="141"/>
      <c r="AF367" s="121" t="s">
        <v>293</v>
      </c>
      <c r="AG367" s="146">
        <f>VLOOKUP(Takeoffs!AF367,Sheet1!$B$6:$C$124,2,FALSE)</f>
        <v>0</v>
      </c>
      <c r="AH367" s="146">
        <f t="shared" si="158"/>
        <v>0</v>
      </c>
      <c r="AI367" s="143">
        <f t="shared" si="159"/>
        <v>0</v>
      </c>
      <c r="AJ367" s="133">
        <f t="shared" si="160"/>
        <v>1</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1</v>
      </c>
      <c r="T368" s="120"/>
      <c r="U368" s="121" t="s">
        <v>293</v>
      </c>
      <c r="V368" s="133">
        <f t="shared" si="154"/>
        <v>1</v>
      </c>
      <c r="W368" s="133">
        <f>VLOOKUP(U368,Sheet1!$B$6:$C$45,2,FALSE)*V368</f>
        <v>0</v>
      </c>
      <c r="X368" s="141"/>
      <c r="Y368" s="121" t="s">
        <v>293</v>
      </c>
      <c r="Z368" s="146">
        <f>VLOOKUP(Takeoffs!Y368,Sheet1!$B$6:$C$124,2,FALSE)</f>
        <v>0</v>
      </c>
      <c r="AA368" s="146">
        <f t="shared" si="155"/>
        <v>0</v>
      </c>
      <c r="AB368" s="143">
        <f t="shared" si="156"/>
        <v>1</v>
      </c>
      <c r="AC368" s="133">
        <f t="shared" si="157"/>
        <v>1</v>
      </c>
      <c r="AD368" s="142">
        <v>1</v>
      </c>
      <c r="AE368" s="141"/>
      <c r="AF368" s="152" t="s">
        <v>420</v>
      </c>
      <c r="AG368" s="146">
        <f>VLOOKUP(Takeoffs!AF368,Sheet1!$B$6:$C$124,2,FALSE)</f>
        <v>0.33600000000000002</v>
      </c>
      <c r="AH368" s="146">
        <f t="shared" si="158"/>
        <v>0.33600000000000002</v>
      </c>
      <c r="AI368" s="143">
        <f t="shared" si="159"/>
        <v>1</v>
      </c>
      <c r="AJ368" s="133">
        <f t="shared" si="160"/>
        <v>1</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1</v>
      </c>
      <c r="T369" s="120"/>
      <c r="U369" s="121" t="s">
        <v>232</v>
      </c>
      <c r="V369" s="133">
        <f t="shared" si="154"/>
        <v>1</v>
      </c>
      <c r="W369" s="133">
        <f>VLOOKUP(U369,Sheet1!$B$6:$C$45,2,FALSE)*V369</f>
        <v>1</v>
      </c>
      <c r="X369" s="141"/>
      <c r="Y369" s="122" t="s">
        <v>281</v>
      </c>
      <c r="Z369" s="146">
        <f>VLOOKUP(Takeoffs!Y369,Sheet1!$B$6:$C$124,2,FALSE)</f>
        <v>109.25999999999999</v>
      </c>
      <c r="AA369" s="146">
        <f t="shared" si="155"/>
        <v>109.25999999999999</v>
      </c>
      <c r="AB369" s="143">
        <f t="shared" si="156"/>
        <v>1</v>
      </c>
      <c r="AC369" s="133">
        <f t="shared" si="157"/>
        <v>1</v>
      </c>
      <c r="AD369" s="142">
        <v>1</v>
      </c>
      <c r="AE369" s="141"/>
      <c r="AF369" s="121" t="s">
        <v>293</v>
      </c>
      <c r="AG369" s="146">
        <f>VLOOKUP(Takeoffs!AF369,Sheet1!$B$6:$C$124,2,FALSE)</f>
        <v>0</v>
      </c>
      <c r="AH369" s="146">
        <f t="shared" si="158"/>
        <v>0</v>
      </c>
      <c r="AI369" s="143">
        <f t="shared" si="159"/>
        <v>0</v>
      </c>
      <c r="AJ369" s="133">
        <f t="shared" si="160"/>
        <v>1</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544</v>
      </c>
      <c r="P370" s="121"/>
      <c r="Q370" s="66"/>
      <c r="R370" s="121"/>
      <c r="S370" s="133">
        <f>M356</f>
        <v>1</v>
      </c>
      <c r="T370" s="120"/>
      <c r="U370" s="121" t="s">
        <v>293</v>
      </c>
      <c r="V370" s="133">
        <f t="shared" si="154"/>
        <v>1</v>
      </c>
      <c r="W370" s="133">
        <f>VLOOKUP(U370,Sheet1!$B$6:$C$45,2,FALSE)*V370</f>
        <v>0</v>
      </c>
      <c r="X370" s="141"/>
      <c r="Y370" s="122" t="s">
        <v>328</v>
      </c>
      <c r="Z370" s="146">
        <f>VLOOKUP(Takeoffs!Y370,Sheet1!$B$6:$C$124,2,FALSE)</f>
        <v>29.04</v>
      </c>
      <c r="AA370" s="146">
        <f t="shared" si="155"/>
        <v>29.04</v>
      </c>
      <c r="AB370" s="143">
        <f t="shared" si="156"/>
        <v>1</v>
      </c>
      <c r="AC370" s="133">
        <f t="shared" si="157"/>
        <v>1</v>
      </c>
      <c r="AD370" s="142">
        <v>1</v>
      </c>
      <c r="AE370" s="141"/>
      <c r="AF370" s="121" t="s">
        <v>293</v>
      </c>
      <c r="AG370" s="146">
        <f>VLOOKUP(Takeoffs!AF370,Sheet1!$B$6:$C$124,2,FALSE)</f>
        <v>0</v>
      </c>
      <c r="AH370" s="146">
        <f t="shared" si="158"/>
        <v>0</v>
      </c>
      <c r="AI370" s="143">
        <f t="shared" si="159"/>
        <v>0</v>
      </c>
      <c r="AJ370" s="133">
        <f t="shared" si="160"/>
        <v>1</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339</v>
      </c>
      <c r="P371" s="121"/>
      <c r="Q371" s="66"/>
      <c r="R371" s="121" t="s">
        <v>333</v>
      </c>
      <c r="S371" s="133">
        <f>M356</f>
        <v>1</v>
      </c>
      <c r="T371" s="120"/>
      <c r="U371" s="121" t="s">
        <v>293</v>
      </c>
      <c r="V371" s="133">
        <f t="shared" si="154"/>
        <v>1</v>
      </c>
      <c r="W371" s="133">
        <f>VLOOKUP(U371,Sheet1!$B$6:$C$45,2,FALSE)*V371</f>
        <v>0</v>
      </c>
      <c r="X371" s="141"/>
      <c r="Y371" s="122" t="s">
        <v>280</v>
      </c>
      <c r="Z371" s="146">
        <f>VLOOKUP(Takeoffs!Y371,Sheet1!$B$6:$C$124,2,FALSE)</f>
        <v>19.2</v>
      </c>
      <c r="AA371" s="146">
        <f t="shared" si="155"/>
        <v>38.4</v>
      </c>
      <c r="AB371" s="143">
        <f t="shared" si="156"/>
        <v>2</v>
      </c>
      <c r="AC371" s="133">
        <f t="shared" si="157"/>
        <v>1</v>
      </c>
      <c r="AD371" s="142">
        <v>2</v>
      </c>
      <c r="AE371" s="141"/>
      <c r="AF371" s="121" t="s">
        <v>293</v>
      </c>
      <c r="AG371" s="146">
        <f>VLOOKUP(Takeoffs!AF371,Sheet1!$B$6:$C$124,2,FALSE)</f>
        <v>0</v>
      </c>
      <c r="AH371" s="146">
        <f t="shared" si="158"/>
        <v>0</v>
      </c>
      <c r="AI371" s="143">
        <f t="shared" si="159"/>
        <v>0</v>
      </c>
      <c r="AJ371" s="133">
        <f t="shared" si="160"/>
        <v>1</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1</v>
      </c>
      <c r="T372" s="120"/>
      <c r="U372" s="121" t="s">
        <v>293</v>
      </c>
      <c r="V372" s="133">
        <f t="shared" si="154"/>
        <v>1</v>
      </c>
      <c r="W372" s="133">
        <f>VLOOKUP(U372,Sheet1!$B$6:$C$45,2,FALSE)*V372</f>
        <v>0</v>
      </c>
      <c r="X372" s="141"/>
      <c r="Y372" s="121" t="s">
        <v>293</v>
      </c>
      <c r="Z372" s="146">
        <f>VLOOKUP(Takeoffs!Y372,Sheet1!$B$6:$C$124,2,FALSE)</f>
        <v>0</v>
      </c>
      <c r="AA372" s="146">
        <f t="shared" si="155"/>
        <v>0</v>
      </c>
      <c r="AB372" s="143">
        <f t="shared" si="156"/>
        <v>1</v>
      </c>
      <c r="AC372" s="133">
        <f t="shared" si="157"/>
        <v>1</v>
      </c>
      <c r="AD372" s="142">
        <v>1</v>
      </c>
      <c r="AE372" s="141"/>
      <c r="AF372" s="121" t="s">
        <v>293</v>
      </c>
      <c r="AG372" s="146">
        <f>VLOOKUP(Takeoffs!AF372,Sheet1!$B$6:$C$124,2,FALSE)</f>
        <v>0</v>
      </c>
      <c r="AH372" s="146">
        <f t="shared" si="158"/>
        <v>0</v>
      </c>
      <c r="AI372" s="143">
        <f t="shared" si="159"/>
        <v>0</v>
      </c>
      <c r="AJ372" s="133">
        <f t="shared" si="160"/>
        <v>1</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331</v>
      </c>
      <c r="P373" s="121"/>
      <c r="Q373" s="66"/>
      <c r="R373" s="121" t="s">
        <v>305</v>
      </c>
      <c r="S373" s="133">
        <f>M356</f>
        <v>1</v>
      </c>
      <c r="T373" s="120"/>
      <c r="U373" s="121" t="s">
        <v>293</v>
      </c>
      <c r="V373" s="133">
        <f t="shared" si="154"/>
        <v>1</v>
      </c>
      <c r="W373" s="133">
        <f>VLOOKUP(U373,Sheet1!$B$6:$C$45,2,FALSE)*V373</f>
        <v>0</v>
      </c>
      <c r="X373" s="141"/>
      <c r="Y373" s="122" t="s">
        <v>277</v>
      </c>
      <c r="Z373" s="146">
        <f>VLOOKUP(Takeoffs!Y373,Sheet1!$B$6:$C$124,2,FALSE)</f>
        <v>69.540000000000006</v>
      </c>
      <c r="AA373" s="146">
        <f t="shared" si="155"/>
        <v>69.540000000000006</v>
      </c>
      <c r="AB373" s="143">
        <f t="shared" si="156"/>
        <v>1</v>
      </c>
      <c r="AC373" s="133">
        <f t="shared" si="157"/>
        <v>1</v>
      </c>
      <c r="AD373" s="142">
        <v>1</v>
      </c>
      <c r="AE373" s="141"/>
      <c r="AF373" s="121" t="s">
        <v>293</v>
      </c>
      <c r="AG373" s="146">
        <f>VLOOKUP(Takeoffs!AF373,Sheet1!$B$6:$C$124,2,FALSE)</f>
        <v>0</v>
      </c>
      <c r="AH373" s="146">
        <f t="shared" si="158"/>
        <v>0</v>
      </c>
      <c r="AI373" s="143">
        <f t="shared" si="159"/>
        <v>0</v>
      </c>
      <c r="AJ373" s="133">
        <f t="shared" si="160"/>
        <v>1</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1</v>
      </c>
      <c r="T374" s="120"/>
      <c r="U374" s="121" t="s">
        <v>293</v>
      </c>
      <c r="V374" s="133">
        <f t="shared" si="154"/>
        <v>1</v>
      </c>
      <c r="W374" s="133">
        <f>VLOOKUP(U374,Sheet1!$B$6:$C$45,2,FALSE)*V374</f>
        <v>0</v>
      </c>
      <c r="X374" s="141"/>
      <c r="Y374" s="121" t="s">
        <v>293</v>
      </c>
      <c r="Z374" s="146">
        <f>VLOOKUP(Takeoffs!Y374,Sheet1!$B$6:$C$124,2,FALSE)</f>
        <v>0</v>
      </c>
      <c r="AA374" s="146">
        <f t="shared" si="155"/>
        <v>0</v>
      </c>
      <c r="AB374" s="143">
        <f t="shared" si="156"/>
        <v>1</v>
      </c>
      <c r="AC374" s="133">
        <f t="shared" si="157"/>
        <v>1</v>
      </c>
      <c r="AD374" s="142">
        <v>1</v>
      </c>
      <c r="AE374" s="141"/>
      <c r="AF374" s="121" t="s">
        <v>293</v>
      </c>
      <c r="AG374" s="146">
        <f>VLOOKUP(Takeoffs!AF374,Sheet1!$B$6:$C$124,2,FALSE)</f>
        <v>0</v>
      </c>
      <c r="AH374" s="146">
        <f t="shared" si="158"/>
        <v>0</v>
      </c>
      <c r="AI374" s="143">
        <f t="shared" si="159"/>
        <v>0</v>
      </c>
      <c r="AJ374" s="133">
        <f t="shared" si="160"/>
        <v>1</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409</v>
      </c>
      <c r="P375" s="121"/>
      <c r="Q375" s="66"/>
      <c r="R375" s="121"/>
      <c r="S375" s="133">
        <f>M356</f>
        <v>1</v>
      </c>
      <c r="T375" s="120"/>
      <c r="U375" s="121" t="s">
        <v>293</v>
      </c>
      <c r="V375" s="133">
        <f t="shared" si="154"/>
        <v>1</v>
      </c>
      <c r="W375" s="133">
        <f>VLOOKUP(U375,Sheet1!$B$6:$C$45,2,FALSE)*V375</f>
        <v>0</v>
      </c>
      <c r="X375" s="141"/>
      <c r="Y375" s="121" t="s">
        <v>274</v>
      </c>
      <c r="Z375" s="146">
        <f>VLOOKUP(Takeoffs!Y375,Sheet1!$B$6:$C$124,2,FALSE)</f>
        <v>360</v>
      </c>
      <c r="AA375" s="146">
        <f t="shared" si="155"/>
        <v>360</v>
      </c>
      <c r="AB375" s="143">
        <f t="shared" si="156"/>
        <v>1</v>
      </c>
      <c r="AC375" s="133">
        <f t="shared" si="157"/>
        <v>1</v>
      </c>
      <c r="AD375" s="142">
        <v>1</v>
      </c>
      <c r="AE375" s="141"/>
      <c r="AF375" s="121" t="s">
        <v>293</v>
      </c>
      <c r="AG375" s="146">
        <f>VLOOKUP(Takeoffs!AF375,Sheet1!$B$6:$C$124,2,FALSE)</f>
        <v>0</v>
      </c>
      <c r="AH375" s="146">
        <f t="shared" si="158"/>
        <v>0</v>
      </c>
      <c r="AI375" s="143">
        <f t="shared" si="159"/>
        <v>0</v>
      </c>
      <c r="AJ375" s="133">
        <f t="shared" si="160"/>
        <v>1</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410</v>
      </c>
      <c r="P376" s="121"/>
      <c r="Q376" s="66"/>
      <c r="R376" s="121"/>
      <c r="S376" s="133">
        <f>M356</f>
        <v>1</v>
      </c>
      <c r="T376" s="120"/>
      <c r="U376" s="121" t="s">
        <v>364</v>
      </c>
      <c r="V376" s="133">
        <f t="shared" si="154"/>
        <v>1</v>
      </c>
      <c r="W376" s="133">
        <f>VLOOKUP(U376,Sheet1!$B$6:$C$45,2,FALSE)*V376</f>
        <v>1</v>
      </c>
      <c r="X376" s="141"/>
      <c r="Y376" s="121" t="s">
        <v>293</v>
      </c>
      <c r="Z376" s="146">
        <f>VLOOKUP(Takeoffs!Y376,Sheet1!$B$6:$C$124,2,FALSE)</f>
        <v>0</v>
      </c>
      <c r="AA376" s="146">
        <f t="shared" si="155"/>
        <v>0</v>
      </c>
      <c r="AB376" s="143">
        <f t="shared" si="156"/>
        <v>1</v>
      </c>
      <c r="AC376" s="133">
        <f t="shared" si="157"/>
        <v>1</v>
      </c>
      <c r="AD376" s="142">
        <v>1</v>
      </c>
      <c r="AE376" s="141"/>
      <c r="AF376" s="121" t="s">
        <v>293</v>
      </c>
      <c r="AG376" s="146">
        <f>VLOOKUP(Takeoffs!AF376,Sheet1!$B$6:$C$124,2,FALSE)</f>
        <v>0</v>
      </c>
      <c r="AH376" s="146">
        <f t="shared" si="158"/>
        <v>0</v>
      </c>
      <c r="AI376" s="143">
        <f t="shared" si="159"/>
        <v>0</v>
      </c>
      <c r="AJ376" s="133">
        <f t="shared" si="160"/>
        <v>1</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379</v>
      </c>
      <c r="L377" s="128" t="s">
        <v>380</v>
      </c>
      <c r="N377" s="129"/>
      <c r="O377" s="130" t="s">
        <v>359</v>
      </c>
      <c r="P377" s="131">
        <f>V377+AA377+AH377</f>
        <v>1205.5759999999998</v>
      </c>
      <c r="Q377" s="131"/>
      <c r="R377" s="131"/>
      <c r="S377" s="130"/>
      <c r="T377" s="127"/>
      <c r="U377" s="126" t="s">
        <v>353</v>
      </c>
      <c r="V377" s="127">
        <f>W377*80</f>
        <v>560</v>
      </c>
      <c r="W377" s="147">
        <f>SUM(W356:W376)</f>
        <v>7</v>
      </c>
      <c r="X377" s="148"/>
      <c r="Y377" s="127" t="s">
        <v>354</v>
      </c>
      <c r="Z377" s="116"/>
      <c r="AA377" s="116">
        <f>SUM(AA356:AA376)</f>
        <v>640.14</v>
      </c>
      <c r="AB377" s="149"/>
      <c r="AC377" s="149"/>
      <c r="AD377" s="149"/>
      <c r="AE377" s="149"/>
      <c r="AF377" s="127" t="s">
        <v>358</v>
      </c>
      <c r="AG377" s="116"/>
      <c r="AH377" s="116">
        <f>SUM(AH356:AH376)</f>
        <v>5.4359999999999999</v>
      </c>
      <c r="AI377" s="149"/>
      <c r="AJ377" s="149"/>
      <c r="AK377" s="149"/>
      <c r="AL377" s="149"/>
      <c r="AM377" s="150">
        <f>P377</f>
        <v>1205.5759999999998</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494</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v>1</v>
      </c>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one (1)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1205.5759999999998</v>
      </c>
      <c r="L378" s="235" t="str">
        <f>CONCATENATE(Q357,Q358,Q359,Q360,Q361,Q362,Q363,Q364,Q365,Q366,Q367,Q368,Q369,Q370,Q371,Q372,Q373,Q374,Q375,Q376,)</f>
        <v xml:space="preserve"> Proprietary controller</v>
      </c>
      <c r="M378" s="166" t="s">
        <v>369</v>
      </c>
      <c r="N378" s="160" t="str">
        <f>N356</f>
        <v>Proprietary DOL fan with interlock with Proprietary controller- from MSSB power supply</v>
      </c>
      <c r="O378" s="160" t="s">
        <v>367</v>
      </c>
      <c r="P378" s="82">
        <f>P377/M356</f>
        <v>1205.5759999999998</v>
      </c>
      <c r="Q378" s="161"/>
      <c r="R378" s="161"/>
      <c r="S378" s="160"/>
      <c r="T378" s="161"/>
      <c r="U378" s="327" t="s">
        <v>368</v>
      </c>
      <c r="V378" s="327"/>
      <c r="W378" s="162">
        <f>W377/M356</f>
        <v>7</v>
      </c>
      <c r="X378" s="163"/>
      <c r="Y378" s="325" t="s">
        <v>367</v>
      </c>
      <c r="Z378" s="325"/>
      <c r="AA378" s="164">
        <f>AA377/M356</f>
        <v>640.14</v>
      </c>
      <c r="AB378" s="161"/>
      <c r="AC378" s="161"/>
      <c r="AD378" s="161"/>
      <c r="AE378" s="161"/>
      <c r="AF378" s="325" t="s">
        <v>367</v>
      </c>
      <c r="AG378" s="325"/>
      <c r="AH378" s="164">
        <f>AH377/M356</f>
        <v>5.4359999999999999</v>
      </c>
      <c r="AI378" s="161"/>
      <c r="AJ378" s="161"/>
      <c r="AK378" s="161"/>
      <c r="AL378" s="247"/>
      <c r="AM378" s="257"/>
      <c r="AN378" s="230">
        <f>K378*1.25</f>
        <v>1506.9699999999998</v>
      </c>
      <c r="AO378" s="286"/>
      <c r="AP378" s="284">
        <f t="shared" si="148"/>
        <v>1205.5759999999998</v>
      </c>
      <c r="AQ378" s="281">
        <f t="shared" si="149"/>
        <v>560</v>
      </c>
      <c r="AR378" s="284">
        <f t="shared" si="150"/>
        <v>640.14</v>
      </c>
      <c r="AS378" s="281">
        <f t="shared" si="151"/>
        <v>5.4359999999999999</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454</v>
      </c>
      <c r="M379" s="116" t="s">
        <v>107</v>
      </c>
      <c r="N379" s="116" t="s">
        <v>108</v>
      </c>
      <c r="O379" s="170" t="s">
        <v>388</v>
      </c>
      <c r="P379" s="326" t="s">
        <v>377</v>
      </c>
      <c r="Q379" s="326"/>
      <c r="R379" s="101" t="s">
        <v>454</v>
      </c>
      <c r="S379" s="116" t="s">
        <v>0</v>
      </c>
      <c r="T379" s="118"/>
      <c r="U379" s="116" t="s">
        <v>288</v>
      </c>
      <c r="V379" s="116" t="s">
        <v>289</v>
      </c>
      <c r="W379" s="116" t="s">
        <v>292</v>
      </c>
      <c r="X379" s="140"/>
      <c r="Y379" s="116" t="s">
        <v>290</v>
      </c>
      <c r="Z379" s="116" t="s">
        <v>356</v>
      </c>
      <c r="AA379" s="116" t="s">
        <v>357</v>
      </c>
      <c r="AB379" s="116" t="s">
        <v>319</v>
      </c>
      <c r="AC379" s="116" t="s">
        <v>320</v>
      </c>
      <c r="AD379" s="116" t="s">
        <v>318</v>
      </c>
      <c r="AE379" s="140"/>
      <c r="AF379" s="116" t="s">
        <v>294</v>
      </c>
      <c r="AG379" s="116" t="s">
        <v>356</v>
      </c>
      <c r="AH379" s="116" t="s">
        <v>357</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one</v>
      </c>
      <c r="M380" s="121">
        <f>I402</f>
        <v>1</v>
      </c>
      <c r="N380" s="132" t="s">
        <v>687</v>
      </c>
      <c r="O380" s="121" t="s">
        <v>349</v>
      </c>
      <c r="P380" s="169" t="s">
        <v>381</v>
      </c>
      <c r="Q380" s="169" t="s">
        <v>377</v>
      </c>
      <c r="R380" s="169"/>
      <c r="S380" s="133">
        <f>M380</f>
        <v>1</v>
      </c>
      <c r="T380" s="119"/>
      <c r="U380" s="121" t="s">
        <v>293</v>
      </c>
      <c r="V380" s="133">
        <f>S380</f>
        <v>1</v>
      </c>
      <c r="W380" s="133">
        <f>VLOOKUP(U380,Sheet1!$B$6:$C$45,2,FALSE)*V380</f>
        <v>0</v>
      </c>
      <c r="X380" s="141"/>
      <c r="Y380" s="121" t="s">
        <v>293</v>
      </c>
      <c r="Z380" s="146">
        <f>VLOOKUP(Takeoffs!Y380,Sheet1!$B$6:$C$124,2,FALSE)</f>
        <v>0</v>
      </c>
      <c r="AA380" s="146">
        <f>Z380*AB380</f>
        <v>0</v>
      </c>
      <c r="AB380" s="143">
        <f>AD380*AC380</f>
        <v>1</v>
      </c>
      <c r="AC380" s="133">
        <f>S380</f>
        <v>1</v>
      </c>
      <c r="AD380" s="142">
        <v>1</v>
      </c>
      <c r="AE380" s="141"/>
      <c r="AF380" s="121" t="s">
        <v>293</v>
      </c>
      <c r="AG380" s="146">
        <f>VLOOKUP(Takeoffs!AF380,Sheet1!$B$6:$C$124,2,FALSE)</f>
        <v>0</v>
      </c>
      <c r="AH380" s="146">
        <f>AG380*AI380</f>
        <v>0</v>
      </c>
      <c r="AI380" s="143">
        <f>AK380*AJ380</f>
        <v>0</v>
      </c>
      <c r="AJ380" s="133">
        <f>S380</f>
        <v>1</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342</v>
      </c>
      <c r="P381" s="121"/>
      <c r="Q381" s="66"/>
      <c r="R381" s="121"/>
      <c r="S381" s="133">
        <f>M380</f>
        <v>1</v>
      </c>
      <c r="T381" s="120"/>
      <c r="U381" s="121" t="s">
        <v>233</v>
      </c>
      <c r="V381" s="133">
        <f t="shared" ref="V381:V400" si="164">S381</f>
        <v>1</v>
      </c>
      <c r="W381" s="133">
        <f>VLOOKUP(U381,Sheet1!$B$6:$C$45,2,FALSE)*V381</f>
        <v>1</v>
      </c>
      <c r="X381" s="141"/>
      <c r="Y381" s="121" t="s">
        <v>293</v>
      </c>
      <c r="Z381" s="146">
        <f>VLOOKUP(Takeoffs!Y381,Sheet1!$B$6:$C$124,2,FALSE)</f>
        <v>0</v>
      </c>
      <c r="AA381" s="146">
        <f t="shared" ref="AA381:AA400" si="165">Z381*AB381</f>
        <v>0</v>
      </c>
      <c r="AB381" s="143">
        <f t="shared" ref="AB381:AB400" si="166">AD381*AC381</f>
        <v>1</v>
      </c>
      <c r="AC381" s="133">
        <f t="shared" ref="AC381:AC400" si="167">S381</f>
        <v>1</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1</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593</v>
      </c>
      <c r="P382" s="121"/>
      <c r="Q382" s="66"/>
      <c r="R382" s="121"/>
      <c r="S382" s="133">
        <f>M380</f>
        <v>1</v>
      </c>
      <c r="T382" s="120"/>
      <c r="U382" s="117" t="s">
        <v>481</v>
      </c>
      <c r="V382" s="133">
        <f t="shared" si="164"/>
        <v>1</v>
      </c>
      <c r="W382" s="133">
        <f>VLOOKUP(U382,Sheet1!$B$6:$C$45,2,FALSE)*V382</f>
        <v>2</v>
      </c>
      <c r="X382" s="141"/>
      <c r="Y382" s="52" t="s">
        <v>253</v>
      </c>
      <c r="Z382" s="146">
        <f>VLOOKUP(Takeoffs!Y382,Sheet1!$B$6:$C$124,2,FALSE)</f>
        <v>10.139999999999999</v>
      </c>
      <c r="AA382" s="146">
        <f t="shared" si="165"/>
        <v>10.139999999999999</v>
      </c>
      <c r="AB382" s="143">
        <f t="shared" si="166"/>
        <v>1</v>
      </c>
      <c r="AC382" s="133">
        <f t="shared" si="167"/>
        <v>1</v>
      </c>
      <c r="AD382" s="142">
        <v>1</v>
      </c>
      <c r="AE382" s="141"/>
      <c r="AF382" s="122" t="s">
        <v>268</v>
      </c>
      <c r="AG382" s="146">
        <f>VLOOKUP(Takeoffs!AF382,Sheet1!$B$6:$C$124,2,FALSE)</f>
        <v>1.02</v>
      </c>
      <c r="AH382" s="146">
        <f t="shared" si="168"/>
        <v>5.0999999999999996</v>
      </c>
      <c r="AI382" s="143">
        <f t="shared" si="169"/>
        <v>5</v>
      </c>
      <c r="AJ382" s="133">
        <f t="shared" si="170"/>
        <v>1</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408</v>
      </c>
      <c r="P383" s="121"/>
      <c r="Q383" s="66"/>
      <c r="R383" s="121"/>
      <c r="S383" s="133">
        <f>M380</f>
        <v>1</v>
      </c>
      <c r="T383" s="120"/>
      <c r="U383" s="121" t="s">
        <v>293</v>
      </c>
      <c r="V383" s="133">
        <f t="shared" si="164"/>
        <v>1</v>
      </c>
      <c r="W383" s="133">
        <f>VLOOKUP(U383,Sheet1!$B$6:$C$45,2,FALSE)*V383</f>
        <v>0</v>
      </c>
      <c r="X383" s="141"/>
      <c r="Y383" s="122" t="s">
        <v>247</v>
      </c>
      <c r="Z383" s="146">
        <f>VLOOKUP(Takeoffs!Y383,Sheet1!$B$6:$C$124,2,FALSE)</f>
        <v>23.76</v>
      </c>
      <c r="AA383" s="146">
        <f t="shared" si="165"/>
        <v>23.76</v>
      </c>
      <c r="AB383" s="143">
        <f t="shared" si="166"/>
        <v>1</v>
      </c>
      <c r="AC383" s="133">
        <f t="shared" si="167"/>
        <v>1</v>
      </c>
      <c r="AD383" s="142">
        <v>1</v>
      </c>
      <c r="AE383" s="141"/>
      <c r="AF383" s="121" t="s">
        <v>293</v>
      </c>
      <c r="AG383" s="146">
        <f>VLOOKUP(Takeoffs!AF383,Sheet1!$B$6:$C$124,2,FALSE)</f>
        <v>0</v>
      </c>
      <c r="AH383" s="146">
        <f t="shared" si="168"/>
        <v>0</v>
      </c>
      <c r="AI383" s="143">
        <f t="shared" si="169"/>
        <v>0</v>
      </c>
      <c r="AJ383" s="133">
        <f t="shared" si="170"/>
        <v>1</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1</v>
      </c>
      <c r="T384" s="120"/>
      <c r="U384" s="121" t="s">
        <v>293</v>
      </c>
      <c r="V384" s="133">
        <f t="shared" si="164"/>
        <v>1</v>
      </c>
      <c r="W384" s="133">
        <f>VLOOKUP(U384,Sheet1!$B$6:$C$45,2,FALSE)*V384</f>
        <v>0</v>
      </c>
      <c r="X384" s="141"/>
      <c r="Y384" s="121" t="s">
        <v>293</v>
      </c>
      <c r="Z384" s="146">
        <f>VLOOKUP(Takeoffs!Y384,Sheet1!$B$6:$C$124,2,FALSE)</f>
        <v>0</v>
      </c>
      <c r="AA384" s="146">
        <f t="shared" si="165"/>
        <v>0</v>
      </c>
      <c r="AB384" s="143">
        <f t="shared" si="166"/>
        <v>1</v>
      </c>
      <c r="AC384" s="133">
        <f t="shared" si="167"/>
        <v>1</v>
      </c>
      <c r="AD384" s="142">
        <v>1</v>
      </c>
      <c r="AE384" s="141"/>
      <c r="AF384" s="121" t="s">
        <v>293</v>
      </c>
      <c r="AG384" s="146">
        <f>VLOOKUP(Takeoffs!AF384,Sheet1!$B$6:$C$124,2,FALSE)</f>
        <v>0</v>
      </c>
      <c r="AH384" s="146">
        <f t="shared" si="168"/>
        <v>0</v>
      </c>
      <c r="AI384" s="143">
        <f t="shared" si="169"/>
        <v>0</v>
      </c>
      <c r="AJ384" s="133">
        <f t="shared" si="170"/>
        <v>1</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1</v>
      </c>
      <c r="T385" s="120"/>
      <c r="U385" s="121" t="s">
        <v>293</v>
      </c>
      <c r="V385" s="133">
        <f t="shared" si="164"/>
        <v>1</v>
      </c>
      <c r="W385" s="133">
        <f>VLOOKUP(U385,Sheet1!$B$6:$C$45,2,FALSE)*V385</f>
        <v>0</v>
      </c>
      <c r="X385" s="141"/>
      <c r="Y385" s="121" t="s">
        <v>293</v>
      </c>
      <c r="Z385" s="146">
        <f>VLOOKUP(Takeoffs!Y385,Sheet1!$B$6:$C$124,2,FALSE)</f>
        <v>0</v>
      </c>
      <c r="AA385" s="146">
        <f t="shared" si="165"/>
        <v>0</v>
      </c>
      <c r="AB385" s="143">
        <f t="shared" si="166"/>
        <v>1</v>
      </c>
      <c r="AC385" s="133">
        <f t="shared" si="167"/>
        <v>1</v>
      </c>
      <c r="AD385" s="142">
        <v>1</v>
      </c>
      <c r="AE385" s="141"/>
      <c r="AF385" s="121" t="s">
        <v>293</v>
      </c>
      <c r="AG385" s="146">
        <f>VLOOKUP(Takeoffs!AF385,Sheet1!$B$6:$C$124,2,FALSE)</f>
        <v>0</v>
      </c>
      <c r="AH385" s="146">
        <f t="shared" si="168"/>
        <v>0</v>
      </c>
      <c r="AI385" s="143">
        <f t="shared" si="169"/>
        <v>0</v>
      </c>
      <c r="AJ385" s="133">
        <f t="shared" si="170"/>
        <v>1</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1</v>
      </c>
      <c r="T386" s="120"/>
      <c r="U386" s="121" t="s">
        <v>293</v>
      </c>
      <c r="V386" s="133">
        <f t="shared" si="164"/>
        <v>1</v>
      </c>
      <c r="W386" s="133">
        <f>VLOOKUP(U386,Sheet1!$B$6:$C$45,2,FALSE)*V386</f>
        <v>0</v>
      </c>
      <c r="X386" s="141"/>
      <c r="Y386" s="121" t="s">
        <v>293</v>
      </c>
      <c r="Z386" s="146">
        <f>VLOOKUP(Takeoffs!Y386,Sheet1!$B$6:$C$124,2,FALSE)</f>
        <v>0</v>
      </c>
      <c r="AA386" s="146">
        <f t="shared" si="165"/>
        <v>0</v>
      </c>
      <c r="AB386" s="143">
        <f t="shared" si="166"/>
        <v>1</v>
      </c>
      <c r="AC386" s="133">
        <f t="shared" si="167"/>
        <v>1</v>
      </c>
      <c r="AD386" s="142">
        <v>1</v>
      </c>
      <c r="AE386" s="141"/>
      <c r="AF386" s="121" t="s">
        <v>293</v>
      </c>
      <c r="AG386" s="146">
        <f>VLOOKUP(Takeoffs!AF386,Sheet1!$B$6:$C$124,2,FALSE)</f>
        <v>0</v>
      </c>
      <c r="AH386" s="146">
        <f t="shared" si="168"/>
        <v>0</v>
      </c>
      <c r="AI386" s="143">
        <f t="shared" si="169"/>
        <v>0</v>
      </c>
      <c r="AJ386" s="133">
        <f t="shared" si="170"/>
        <v>1</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1</v>
      </c>
      <c r="T387" s="120"/>
      <c r="U387" s="121" t="s">
        <v>293</v>
      </c>
      <c r="V387" s="133">
        <f t="shared" si="164"/>
        <v>1</v>
      </c>
      <c r="W387" s="133">
        <f>VLOOKUP(U387,Sheet1!$B$6:$C$45,2,FALSE)*V387</f>
        <v>0</v>
      </c>
      <c r="X387" s="141"/>
      <c r="Y387" s="121" t="s">
        <v>293</v>
      </c>
      <c r="Z387" s="146">
        <f>VLOOKUP(Takeoffs!Y387,Sheet1!$B$6:$C$124,2,FALSE)</f>
        <v>0</v>
      </c>
      <c r="AA387" s="146">
        <f t="shared" si="165"/>
        <v>0</v>
      </c>
      <c r="AB387" s="143">
        <f t="shared" si="166"/>
        <v>1</v>
      </c>
      <c r="AC387" s="133">
        <f t="shared" si="167"/>
        <v>1</v>
      </c>
      <c r="AD387" s="142">
        <v>1</v>
      </c>
      <c r="AE387" s="141"/>
      <c r="AF387" s="121" t="s">
        <v>293</v>
      </c>
      <c r="AG387" s="146">
        <f>VLOOKUP(Takeoffs!AF387,Sheet1!$B$6:$C$124,2,FALSE)</f>
        <v>0</v>
      </c>
      <c r="AH387" s="146">
        <f t="shared" si="168"/>
        <v>0</v>
      </c>
      <c r="AI387" s="143">
        <f t="shared" si="169"/>
        <v>0</v>
      </c>
      <c r="AJ387" s="133">
        <f t="shared" si="170"/>
        <v>1</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330</v>
      </c>
      <c r="P388" s="121"/>
      <c r="Q388" s="66"/>
      <c r="R388" s="121"/>
      <c r="S388" s="133">
        <f>M380</f>
        <v>1</v>
      </c>
      <c r="T388" s="120"/>
      <c r="U388" s="121" t="s">
        <v>242</v>
      </c>
      <c r="V388" s="133">
        <f t="shared" si="164"/>
        <v>1</v>
      </c>
      <c r="W388" s="133">
        <f>VLOOKUP(U388,Sheet1!$B$6:$C$45,2,FALSE)*V388</f>
        <v>2</v>
      </c>
      <c r="X388" s="141"/>
      <c r="Y388" s="121" t="s">
        <v>293</v>
      </c>
      <c r="Z388" s="146">
        <f>VLOOKUP(Takeoffs!Y388,Sheet1!$B$6:$C$124,2,FALSE)</f>
        <v>0</v>
      </c>
      <c r="AA388" s="146">
        <f t="shared" si="165"/>
        <v>0</v>
      </c>
      <c r="AB388" s="143">
        <f t="shared" si="166"/>
        <v>1</v>
      </c>
      <c r="AC388" s="133">
        <f t="shared" si="167"/>
        <v>1</v>
      </c>
      <c r="AD388" s="142">
        <v>1</v>
      </c>
      <c r="AE388" s="141"/>
      <c r="AF388" s="121" t="s">
        <v>293</v>
      </c>
      <c r="AG388" s="146">
        <f>VLOOKUP(Takeoffs!AF388,Sheet1!$B$6:$C$124,2,FALSE)</f>
        <v>0</v>
      </c>
      <c r="AH388" s="146">
        <f t="shared" si="168"/>
        <v>0</v>
      </c>
      <c r="AI388" s="143">
        <f t="shared" si="169"/>
        <v>0</v>
      </c>
      <c r="AJ388" s="133">
        <f t="shared" si="170"/>
        <v>1</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1</v>
      </c>
      <c r="T389" s="120"/>
      <c r="U389" s="121" t="s">
        <v>293</v>
      </c>
      <c r="V389" s="133">
        <f t="shared" si="164"/>
        <v>1</v>
      </c>
      <c r="W389" s="133">
        <f>VLOOKUP(U389,Sheet1!$B$6:$C$45,2,FALSE)*V389</f>
        <v>0</v>
      </c>
      <c r="X389" s="141"/>
      <c r="Y389" s="121" t="s">
        <v>293</v>
      </c>
      <c r="Z389" s="146">
        <f>VLOOKUP(Takeoffs!Y389,Sheet1!$B$6:$C$124,2,FALSE)</f>
        <v>0</v>
      </c>
      <c r="AA389" s="146">
        <f t="shared" si="165"/>
        <v>0</v>
      </c>
      <c r="AB389" s="143">
        <f t="shared" si="166"/>
        <v>1</v>
      </c>
      <c r="AC389" s="133">
        <f t="shared" si="167"/>
        <v>1</v>
      </c>
      <c r="AD389" s="142">
        <v>1</v>
      </c>
      <c r="AE389" s="141"/>
      <c r="AF389" s="121" t="s">
        <v>293</v>
      </c>
      <c r="AG389" s="146">
        <f>VLOOKUP(Takeoffs!AF389,Sheet1!$B$6:$C$124,2,FALSE)</f>
        <v>0</v>
      </c>
      <c r="AH389" s="146">
        <f t="shared" si="168"/>
        <v>0</v>
      </c>
      <c r="AI389" s="143">
        <f t="shared" si="169"/>
        <v>0</v>
      </c>
      <c r="AJ389" s="133">
        <f t="shared" si="170"/>
        <v>1</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1</v>
      </c>
      <c r="T390" s="120"/>
      <c r="U390" s="121" t="s">
        <v>293</v>
      </c>
      <c r="V390" s="133">
        <f t="shared" si="164"/>
        <v>1</v>
      </c>
      <c r="W390" s="133">
        <f>VLOOKUP(U390,Sheet1!$B$6:$C$45,2,FALSE)*V390</f>
        <v>0</v>
      </c>
      <c r="X390" s="141"/>
      <c r="Y390" s="121" t="s">
        <v>293</v>
      </c>
      <c r="Z390" s="146">
        <f>VLOOKUP(Takeoffs!Y390,Sheet1!$B$6:$C$124,2,FALSE)</f>
        <v>0</v>
      </c>
      <c r="AA390" s="146">
        <f t="shared" si="165"/>
        <v>0</v>
      </c>
      <c r="AB390" s="143">
        <f t="shared" si="166"/>
        <v>1</v>
      </c>
      <c r="AC390" s="133">
        <f t="shared" si="167"/>
        <v>1</v>
      </c>
      <c r="AD390" s="142">
        <v>1</v>
      </c>
      <c r="AE390" s="141"/>
      <c r="AF390" s="121" t="s">
        <v>293</v>
      </c>
      <c r="AG390" s="146">
        <f>VLOOKUP(Takeoffs!AF390,Sheet1!$B$6:$C$124,2,FALSE)</f>
        <v>0</v>
      </c>
      <c r="AH390" s="146">
        <f t="shared" si="168"/>
        <v>0</v>
      </c>
      <c r="AI390" s="143">
        <f t="shared" si="169"/>
        <v>0</v>
      </c>
      <c r="AJ390" s="133">
        <f t="shared" si="170"/>
        <v>1</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1</v>
      </c>
      <c r="T391" s="120"/>
      <c r="U391" s="121" t="s">
        <v>293</v>
      </c>
      <c r="V391" s="133">
        <f t="shared" si="164"/>
        <v>1</v>
      </c>
      <c r="W391" s="133">
        <f>VLOOKUP(U391,Sheet1!$B$6:$C$45,2,FALSE)*V391</f>
        <v>0</v>
      </c>
      <c r="X391" s="141"/>
      <c r="Y391" s="121" t="s">
        <v>293</v>
      </c>
      <c r="Z391" s="146">
        <f>VLOOKUP(Takeoffs!Y391,Sheet1!$B$6:$C$124,2,FALSE)</f>
        <v>0</v>
      </c>
      <c r="AA391" s="146">
        <f t="shared" si="165"/>
        <v>0</v>
      </c>
      <c r="AB391" s="143">
        <f t="shared" si="166"/>
        <v>1</v>
      </c>
      <c r="AC391" s="133">
        <f t="shared" si="167"/>
        <v>1</v>
      </c>
      <c r="AD391" s="142">
        <v>1</v>
      </c>
      <c r="AE391" s="141"/>
      <c r="AF391" s="121" t="s">
        <v>293</v>
      </c>
      <c r="AG391" s="146">
        <f>VLOOKUP(Takeoffs!AF391,Sheet1!$B$6:$C$124,2,FALSE)</f>
        <v>0</v>
      </c>
      <c r="AH391" s="146">
        <f t="shared" si="168"/>
        <v>0</v>
      </c>
      <c r="AI391" s="143">
        <f t="shared" si="169"/>
        <v>0</v>
      </c>
      <c r="AJ391" s="133">
        <f t="shared" si="170"/>
        <v>1</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1</v>
      </c>
      <c r="T392" s="120"/>
      <c r="U392" s="121" t="s">
        <v>293</v>
      </c>
      <c r="V392" s="133">
        <f t="shared" si="164"/>
        <v>1</v>
      </c>
      <c r="W392" s="133">
        <f>VLOOKUP(U392,Sheet1!$B$6:$C$45,2,FALSE)*V392</f>
        <v>0</v>
      </c>
      <c r="X392" s="141"/>
      <c r="Y392" s="121" t="s">
        <v>293</v>
      </c>
      <c r="Z392" s="146">
        <f>VLOOKUP(Takeoffs!Y392,Sheet1!$B$6:$C$124,2,FALSE)</f>
        <v>0</v>
      </c>
      <c r="AA392" s="146">
        <f t="shared" si="165"/>
        <v>0</v>
      </c>
      <c r="AB392" s="143">
        <f t="shared" si="166"/>
        <v>1</v>
      </c>
      <c r="AC392" s="133">
        <f t="shared" si="167"/>
        <v>1</v>
      </c>
      <c r="AD392" s="142">
        <v>1</v>
      </c>
      <c r="AE392" s="141"/>
      <c r="AF392" s="152" t="s">
        <v>420</v>
      </c>
      <c r="AG392" s="146">
        <f>VLOOKUP(Takeoffs!AF392,Sheet1!$B$6:$C$124,2,FALSE)</f>
        <v>0.33600000000000002</v>
      </c>
      <c r="AH392" s="146">
        <f t="shared" si="168"/>
        <v>0.33600000000000002</v>
      </c>
      <c r="AI392" s="143">
        <f t="shared" si="169"/>
        <v>1</v>
      </c>
      <c r="AJ392" s="133">
        <f t="shared" si="170"/>
        <v>1</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1</v>
      </c>
      <c r="T393" s="120"/>
      <c r="U393" s="121" t="s">
        <v>232</v>
      </c>
      <c r="V393" s="133">
        <f t="shared" si="164"/>
        <v>1</v>
      </c>
      <c r="W393" s="133">
        <f>VLOOKUP(U393,Sheet1!$B$6:$C$45,2,FALSE)*V393</f>
        <v>1</v>
      </c>
      <c r="X393" s="141"/>
      <c r="Y393" s="122" t="s">
        <v>281</v>
      </c>
      <c r="Z393" s="146">
        <f>VLOOKUP(Takeoffs!Y393,Sheet1!$B$6:$C$124,2,FALSE)</f>
        <v>109.25999999999999</v>
      </c>
      <c r="AA393" s="146">
        <f t="shared" si="165"/>
        <v>109.25999999999999</v>
      </c>
      <c r="AB393" s="143">
        <f t="shared" si="166"/>
        <v>1</v>
      </c>
      <c r="AC393" s="133">
        <f t="shared" si="167"/>
        <v>1</v>
      </c>
      <c r="AD393" s="142">
        <v>1</v>
      </c>
      <c r="AE393" s="141"/>
      <c r="AF393" s="121" t="s">
        <v>293</v>
      </c>
      <c r="AG393" s="146">
        <f>VLOOKUP(Takeoffs!AF393,Sheet1!$B$6:$C$124,2,FALSE)</f>
        <v>0</v>
      </c>
      <c r="AH393" s="146">
        <f t="shared" si="168"/>
        <v>0</v>
      </c>
      <c r="AI393" s="143">
        <f t="shared" si="169"/>
        <v>0</v>
      </c>
      <c r="AJ393" s="133">
        <f t="shared" si="170"/>
        <v>1</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688</v>
      </c>
      <c r="P394" s="121"/>
      <c r="Q394" s="66"/>
      <c r="R394" s="121"/>
      <c r="S394" s="133">
        <f>M380</f>
        <v>1</v>
      </c>
      <c r="T394" s="120"/>
      <c r="U394" s="121" t="s">
        <v>293</v>
      </c>
      <c r="V394" s="133">
        <f t="shared" si="164"/>
        <v>1</v>
      </c>
      <c r="W394" s="133">
        <f>VLOOKUP(U394,Sheet1!$B$6:$C$45,2,FALSE)*V394</f>
        <v>0</v>
      </c>
      <c r="X394" s="141"/>
      <c r="Y394" s="122" t="s">
        <v>277</v>
      </c>
      <c r="Z394" s="146">
        <f>VLOOKUP(Takeoffs!Y394,Sheet1!$B$6:$C$124,2,FALSE)</f>
        <v>69.540000000000006</v>
      </c>
      <c r="AA394" s="146">
        <f t="shared" si="165"/>
        <v>69.540000000000006</v>
      </c>
      <c r="AB394" s="143">
        <f t="shared" si="166"/>
        <v>1</v>
      </c>
      <c r="AC394" s="133">
        <f t="shared" si="167"/>
        <v>1</v>
      </c>
      <c r="AD394" s="142">
        <v>1</v>
      </c>
      <c r="AE394" s="141"/>
      <c r="AF394" s="121" t="s">
        <v>293</v>
      </c>
      <c r="AG394" s="146">
        <f>VLOOKUP(Takeoffs!AF394,Sheet1!$B$6:$C$124,2,FALSE)</f>
        <v>0</v>
      </c>
      <c r="AH394" s="146">
        <f t="shared" si="168"/>
        <v>0</v>
      </c>
      <c r="AI394" s="143">
        <f t="shared" si="169"/>
        <v>0</v>
      </c>
      <c r="AJ394" s="133">
        <f t="shared" si="170"/>
        <v>1</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339</v>
      </c>
      <c r="P395" s="121"/>
      <c r="Q395" s="66"/>
      <c r="R395" s="121" t="s">
        <v>333</v>
      </c>
      <c r="S395" s="133">
        <f>M380</f>
        <v>1</v>
      </c>
      <c r="T395" s="120"/>
      <c r="U395" s="121" t="s">
        <v>293</v>
      </c>
      <c r="V395" s="133">
        <f t="shared" si="164"/>
        <v>1</v>
      </c>
      <c r="W395" s="133">
        <f>VLOOKUP(U395,Sheet1!$B$6:$C$45,2,FALSE)*V395</f>
        <v>0</v>
      </c>
      <c r="X395" s="141"/>
      <c r="Y395" s="122" t="s">
        <v>280</v>
      </c>
      <c r="Z395" s="146">
        <f>VLOOKUP(Takeoffs!Y395,Sheet1!$B$6:$C$124,2,FALSE)</f>
        <v>19.2</v>
      </c>
      <c r="AA395" s="146">
        <f t="shared" si="165"/>
        <v>38.4</v>
      </c>
      <c r="AB395" s="143">
        <f t="shared" si="166"/>
        <v>2</v>
      </c>
      <c r="AC395" s="133">
        <f t="shared" si="167"/>
        <v>1</v>
      </c>
      <c r="AD395" s="142">
        <v>2</v>
      </c>
      <c r="AE395" s="141"/>
      <c r="AF395" s="121" t="s">
        <v>293</v>
      </c>
      <c r="AG395" s="146">
        <f>VLOOKUP(Takeoffs!AF395,Sheet1!$B$6:$C$124,2,FALSE)</f>
        <v>0</v>
      </c>
      <c r="AH395" s="146">
        <f t="shared" si="168"/>
        <v>0</v>
      </c>
      <c r="AI395" s="143">
        <f t="shared" si="169"/>
        <v>0</v>
      </c>
      <c r="AJ395" s="133">
        <f t="shared" si="170"/>
        <v>1</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1</v>
      </c>
      <c r="T396" s="120"/>
      <c r="U396" s="121" t="s">
        <v>293</v>
      </c>
      <c r="V396" s="133">
        <f t="shared" si="164"/>
        <v>1</v>
      </c>
      <c r="W396" s="133">
        <f>VLOOKUP(U396,Sheet1!$B$6:$C$45,2,FALSE)*V396</f>
        <v>0</v>
      </c>
      <c r="X396" s="141"/>
      <c r="Y396" s="121" t="s">
        <v>293</v>
      </c>
      <c r="Z396" s="146">
        <f>VLOOKUP(Takeoffs!Y396,Sheet1!$B$6:$C$124,2,FALSE)</f>
        <v>0</v>
      </c>
      <c r="AA396" s="146">
        <f t="shared" si="165"/>
        <v>0</v>
      </c>
      <c r="AB396" s="143">
        <f t="shared" si="166"/>
        <v>1</v>
      </c>
      <c r="AC396" s="133">
        <f t="shared" si="167"/>
        <v>1</v>
      </c>
      <c r="AD396" s="142">
        <v>1</v>
      </c>
      <c r="AE396" s="141"/>
      <c r="AF396" s="121" t="s">
        <v>293</v>
      </c>
      <c r="AG396" s="146">
        <f>VLOOKUP(Takeoffs!AF396,Sheet1!$B$6:$C$124,2,FALSE)</f>
        <v>0</v>
      </c>
      <c r="AH396" s="146">
        <f t="shared" si="168"/>
        <v>0</v>
      </c>
      <c r="AI396" s="143">
        <f t="shared" si="169"/>
        <v>0</v>
      </c>
      <c r="AJ396" s="133">
        <f t="shared" si="170"/>
        <v>1</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331</v>
      </c>
      <c r="P397" s="121"/>
      <c r="Q397" s="66"/>
      <c r="R397" s="121" t="s">
        <v>305</v>
      </c>
      <c r="S397" s="133">
        <f>M380</f>
        <v>1</v>
      </c>
      <c r="T397" s="120"/>
      <c r="U397" s="121" t="s">
        <v>293</v>
      </c>
      <c r="V397" s="133">
        <f t="shared" si="164"/>
        <v>1</v>
      </c>
      <c r="W397" s="133">
        <f>VLOOKUP(U397,Sheet1!$B$6:$C$45,2,FALSE)*V397</f>
        <v>0</v>
      </c>
      <c r="X397" s="141"/>
      <c r="Y397" s="122" t="s">
        <v>277</v>
      </c>
      <c r="Z397" s="146">
        <f>VLOOKUP(Takeoffs!Y397,Sheet1!$B$6:$C$124,2,FALSE)</f>
        <v>69.540000000000006</v>
      </c>
      <c r="AA397" s="146">
        <f t="shared" si="165"/>
        <v>69.540000000000006</v>
      </c>
      <c r="AB397" s="143">
        <f t="shared" si="166"/>
        <v>1</v>
      </c>
      <c r="AC397" s="133">
        <f t="shared" si="167"/>
        <v>1</v>
      </c>
      <c r="AD397" s="142">
        <v>1</v>
      </c>
      <c r="AE397" s="141"/>
      <c r="AF397" s="121" t="s">
        <v>293</v>
      </c>
      <c r="AG397" s="146">
        <f>VLOOKUP(Takeoffs!AF397,Sheet1!$B$6:$C$124,2,FALSE)</f>
        <v>0</v>
      </c>
      <c r="AH397" s="146">
        <f t="shared" si="168"/>
        <v>0</v>
      </c>
      <c r="AI397" s="143">
        <f t="shared" si="169"/>
        <v>0</v>
      </c>
      <c r="AJ397" s="133">
        <f t="shared" si="170"/>
        <v>1</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1</v>
      </c>
      <c r="T398" s="120"/>
      <c r="U398" s="121" t="s">
        <v>293</v>
      </c>
      <c r="V398" s="133">
        <f t="shared" si="164"/>
        <v>1</v>
      </c>
      <c r="W398" s="133">
        <f>VLOOKUP(U398,Sheet1!$B$6:$C$45,2,FALSE)*V398</f>
        <v>0</v>
      </c>
      <c r="X398" s="141"/>
      <c r="Y398" s="121" t="s">
        <v>293</v>
      </c>
      <c r="Z398" s="146">
        <f>VLOOKUP(Takeoffs!Y398,Sheet1!$B$6:$C$124,2,FALSE)</f>
        <v>0</v>
      </c>
      <c r="AA398" s="146">
        <f t="shared" si="165"/>
        <v>0</v>
      </c>
      <c r="AB398" s="143">
        <f t="shared" si="166"/>
        <v>1</v>
      </c>
      <c r="AC398" s="133">
        <f t="shared" si="167"/>
        <v>1</v>
      </c>
      <c r="AD398" s="142">
        <v>1</v>
      </c>
      <c r="AE398" s="141"/>
      <c r="AF398" s="121" t="s">
        <v>293</v>
      </c>
      <c r="AG398" s="146">
        <f>VLOOKUP(Takeoffs!AF398,Sheet1!$B$6:$C$124,2,FALSE)</f>
        <v>0</v>
      </c>
      <c r="AH398" s="146">
        <f t="shared" si="168"/>
        <v>0</v>
      </c>
      <c r="AI398" s="143">
        <f t="shared" si="169"/>
        <v>0</v>
      </c>
      <c r="AJ398" s="133">
        <f t="shared" si="170"/>
        <v>1</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409</v>
      </c>
      <c r="P399" s="121"/>
      <c r="Q399" s="66"/>
      <c r="R399" s="121"/>
      <c r="S399" s="133">
        <f>M380</f>
        <v>1</v>
      </c>
      <c r="T399" s="120"/>
      <c r="U399" s="121" t="s">
        <v>293</v>
      </c>
      <c r="V399" s="133">
        <f t="shared" si="164"/>
        <v>1</v>
      </c>
      <c r="W399" s="133">
        <f>VLOOKUP(U399,Sheet1!$B$6:$C$45,2,FALSE)*V399</f>
        <v>0</v>
      </c>
      <c r="X399" s="141"/>
      <c r="Y399" s="121" t="s">
        <v>274</v>
      </c>
      <c r="Z399" s="146">
        <f>VLOOKUP(Takeoffs!Y399,Sheet1!$B$6:$C$124,2,FALSE)</f>
        <v>360</v>
      </c>
      <c r="AA399" s="146">
        <f t="shared" si="165"/>
        <v>360</v>
      </c>
      <c r="AB399" s="143">
        <f t="shared" si="166"/>
        <v>1</v>
      </c>
      <c r="AC399" s="133">
        <f t="shared" si="167"/>
        <v>1</v>
      </c>
      <c r="AD399" s="142">
        <v>1</v>
      </c>
      <c r="AE399" s="141"/>
      <c r="AF399" s="121" t="s">
        <v>293</v>
      </c>
      <c r="AG399" s="146">
        <f>VLOOKUP(Takeoffs!AF399,Sheet1!$B$6:$C$124,2,FALSE)</f>
        <v>0</v>
      </c>
      <c r="AH399" s="146">
        <f t="shared" si="168"/>
        <v>0</v>
      </c>
      <c r="AI399" s="143">
        <f t="shared" si="169"/>
        <v>0</v>
      </c>
      <c r="AJ399" s="133">
        <f t="shared" si="170"/>
        <v>1</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410</v>
      </c>
      <c r="P400" s="121"/>
      <c r="Q400" s="66"/>
      <c r="R400" s="121"/>
      <c r="S400" s="133">
        <f>M380</f>
        <v>1</v>
      </c>
      <c r="T400" s="120"/>
      <c r="U400" s="121" t="s">
        <v>364</v>
      </c>
      <c r="V400" s="133">
        <f t="shared" si="164"/>
        <v>1</v>
      </c>
      <c r="W400" s="133">
        <f>VLOOKUP(U400,Sheet1!$B$6:$C$45,2,FALSE)*V400</f>
        <v>1</v>
      </c>
      <c r="X400" s="141"/>
      <c r="Y400" s="121" t="s">
        <v>293</v>
      </c>
      <c r="Z400" s="146">
        <f>VLOOKUP(Takeoffs!Y400,Sheet1!$B$6:$C$124,2,FALSE)</f>
        <v>0</v>
      </c>
      <c r="AA400" s="146">
        <f t="shared" si="165"/>
        <v>0</v>
      </c>
      <c r="AB400" s="143">
        <f t="shared" si="166"/>
        <v>1</v>
      </c>
      <c r="AC400" s="133">
        <f t="shared" si="167"/>
        <v>1</v>
      </c>
      <c r="AD400" s="142">
        <v>1</v>
      </c>
      <c r="AE400" s="141"/>
      <c r="AF400" s="121" t="s">
        <v>293</v>
      </c>
      <c r="AG400" s="146">
        <f>VLOOKUP(Takeoffs!AF400,Sheet1!$B$6:$C$124,2,FALSE)</f>
        <v>0</v>
      </c>
      <c r="AH400" s="146">
        <f t="shared" si="168"/>
        <v>0</v>
      </c>
      <c r="AI400" s="143">
        <f t="shared" si="169"/>
        <v>0</v>
      </c>
      <c r="AJ400" s="133">
        <f t="shared" si="170"/>
        <v>1</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379</v>
      </c>
      <c r="L401" s="128" t="s">
        <v>380</v>
      </c>
      <c r="N401" s="129"/>
      <c r="O401" s="130" t="s">
        <v>359</v>
      </c>
      <c r="P401" s="131">
        <f>V401+AA401+AH401</f>
        <v>1246.0759999999998</v>
      </c>
      <c r="Q401" s="131"/>
      <c r="R401" s="131"/>
      <c r="S401" s="130"/>
      <c r="T401" s="127"/>
      <c r="U401" s="126" t="s">
        <v>353</v>
      </c>
      <c r="V401" s="127">
        <f>W401*80</f>
        <v>560</v>
      </c>
      <c r="W401" s="147">
        <f>SUM(W380:W400)</f>
        <v>7</v>
      </c>
      <c r="X401" s="148"/>
      <c r="Y401" s="127" t="s">
        <v>354</v>
      </c>
      <c r="Z401" s="116"/>
      <c r="AA401" s="116">
        <f>SUM(AA380:AA400)</f>
        <v>680.64</v>
      </c>
      <c r="AB401" s="149"/>
      <c r="AC401" s="149"/>
      <c r="AD401" s="149"/>
      <c r="AE401" s="149"/>
      <c r="AF401" s="127" t="s">
        <v>358</v>
      </c>
      <c r="AG401" s="116"/>
      <c r="AH401" s="116">
        <f>SUM(AH380:AH400)</f>
        <v>5.4359999999999999</v>
      </c>
      <c r="AI401" s="149"/>
      <c r="AJ401" s="149"/>
      <c r="AK401" s="149"/>
      <c r="AL401" s="149"/>
      <c r="AM401" s="150">
        <f>P401</f>
        <v>1246.0759999999998</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494</v>
      </c>
      <c r="C402" s="217" t="str">
        <f>N380</f>
        <v>DOL fan with interlock with local switch - from MSSB power supply</v>
      </c>
      <c r="D402" s="260" t="str">
        <f>IF(B402="Shopping List",IF(ISNUMBER(SEARCH("MSSB",C402)),"MSSB",IF(ISNUMBER(SEARCH("local",C402)),"LOCAL","")))</f>
        <v>MSSB</v>
      </c>
      <c r="E402" s="238"/>
      <c r="F402" s="217"/>
      <c r="G402" s="217"/>
      <c r="H402" s="245"/>
      <c r="I402" s="270">
        <v>1</v>
      </c>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one (1)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1246.0759999999998</v>
      </c>
      <c r="L402" s="235" t="str">
        <f>CONCATENATE(Q381,Q382,Q383,Q384,Q385,Q386,Q387,Q388,Q389,Q390,Q391,Q392,Q393,Q394,Q395,Q396,Q397,Q398,Q399,Q400,)</f>
        <v/>
      </c>
      <c r="M402" s="166" t="s">
        <v>369</v>
      </c>
      <c r="N402" s="160" t="str">
        <f>N380</f>
        <v>DOL fan with interlock with local switch - from MSSB power supply</v>
      </c>
      <c r="O402" s="160" t="s">
        <v>367</v>
      </c>
      <c r="P402" s="82">
        <f>P401/M380</f>
        <v>1246.0759999999998</v>
      </c>
      <c r="Q402" s="161"/>
      <c r="R402" s="161"/>
      <c r="S402" s="160"/>
      <c r="T402" s="161"/>
      <c r="U402" s="327" t="s">
        <v>368</v>
      </c>
      <c r="V402" s="327"/>
      <c r="W402" s="162">
        <f>W401/M380</f>
        <v>7</v>
      </c>
      <c r="X402" s="163"/>
      <c r="Y402" s="325" t="s">
        <v>367</v>
      </c>
      <c r="Z402" s="325"/>
      <c r="AA402" s="164">
        <f>AA401/M380</f>
        <v>680.64</v>
      </c>
      <c r="AB402" s="161"/>
      <c r="AC402" s="161"/>
      <c r="AD402" s="161"/>
      <c r="AE402" s="161"/>
      <c r="AF402" s="325" t="s">
        <v>367</v>
      </c>
      <c r="AG402" s="325"/>
      <c r="AH402" s="164">
        <f>AH401/M380</f>
        <v>5.4359999999999999</v>
      </c>
      <c r="AI402" s="161"/>
      <c r="AJ402" s="161"/>
      <c r="AK402" s="161"/>
      <c r="AL402" s="247"/>
      <c r="AM402" s="257"/>
      <c r="AN402" s="230">
        <f>K402*1.25</f>
        <v>1557.5949999999998</v>
      </c>
      <c r="AO402" s="286"/>
      <c r="AP402" s="284">
        <f t="shared" si="148"/>
        <v>1246.0759999999998</v>
      </c>
      <c r="AQ402" s="281">
        <f t="shared" si="149"/>
        <v>560</v>
      </c>
      <c r="AR402" s="284">
        <f t="shared" si="150"/>
        <v>680.64</v>
      </c>
      <c r="AS402" s="281">
        <f t="shared" si="151"/>
        <v>5.4359999999999999</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454</v>
      </c>
      <c r="M403" s="116" t="s">
        <v>107</v>
      </c>
      <c r="N403" s="116" t="s">
        <v>108</v>
      </c>
      <c r="O403" s="170" t="s">
        <v>388</v>
      </c>
      <c r="P403" s="326" t="s">
        <v>377</v>
      </c>
      <c r="Q403" s="326"/>
      <c r="R403" s="101" t="s">
        <v>454</v>
      </c>
      <c r="S403" s="116" t="s">
        <v>0</v>
      </c>
      <c r="T403" s="118"/>
      <c r="U403" s="116" t="s">
        <v>288</v>
      </c>
      <c r="V403" s="116" t="s">
        <v>289</v>
      </c>
      <c r="W403" s="116" t="s">
        <v>292</v>
      </c>
      <c r="X403" s="140"/>
      <c r="Y403" s="116" t="s">
        <v>290</v>
      </c>
      <c r="Z403" s="116" t="s">
        <v>356</v>
      </c>
      <c r="AA403" s="116" t="s">
        <v>357</v>
      </c>
      <c r="AB403" s="116" t="s">
        <v>319</v>
      </c>
      <c r="AC403" s="116" t="s">
        <v>320</v>
      </c>
      <c r="AD403" s="116" t="s">
        <v>318</v>
      </c>
      <c r="AE403" s="140"/>
      <c r="AF403" s="116" t="s">
        <v>294</v>
      </c>
      <c r="AG403" s="116" t="s">
        <v>356</v>
      </c>
      <c r="AH403" s="116" t="s">
        <v>357</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one</v>
      </c>
      <c r="M404" s="121">
        <f>I426</f>
        <v>1</v>
      </c>
      <c r="N404" s="132" t="s">
        <v>670</v>
      </c>
      <c r="O404" s="121" t="s">
        <v>349</v>
      </c>
      <c r="P404" s="169" t="s">
        <v>381</v>
      </c>
      <c r="Q404" s="169" t="s">
        <v>377</v>
      </c>
      <c r="R404" s="169"/>
      <c r="S404" s="133">
        <f>M404</f>
        <v>1</v>
      </c>
      <c r="T404" s="119"/>
      <c r="U404" s="121" t="s">
        <v>293</v>
      </c>
      <c r="V404" s="133">
        <f>S404</f>
        <v>1</v>
      </c>
      <c r="W404" s="133">
        <f>VLOOKUP(U404,Sheet1!$B$6:$C$45,2,FALSE)*V404</f>
        <v>0</v>
      </c>
      <c r="X404" s="141"/>
      <c r="Y404" s="121" t="s">
        <v>293</v>
      </c>
      <c r="Z404" s="146">
        <f>VLOOKUP(Takeoffs!Y404,Sheet1!$B$6:$C$124,2,FALSE)</f>
        <v>0</v>
      </c>
      <c r="AA404" s="146">
        <f>Z404*AB404</f>
        <v>0</v>
      </c>
      <c r="AB404" s="143">
        <f>AD404*AC404</f>
        <v>1</v>
      </c>
      <c r="AC404" s="133">
        <f>S404</f>
        <v>1</v>
      </c>
      <c r="AD404" s="142">
        <v>1</v>
      </c>
      <c r="AE404" s="141"/>
      <c r="AF404" s="121" t="s">
        <v>293</v>
      </c>
      <c r="AG404" s="146">
        <f>VLOOKUP(Takeoffs!AF404,Sheet1!$B$6:$C$124,2,FALSE)</f>
        <v>0</v>
      </c>
      <c r="AH404" s="146">
        <f>AG404*AI404</f>
        <v>0</v>
      </c>
      <c r="AI404" s="143">
        <f>AK404*AJ404</f>
        <v>0</v>
      </c>
      <c r="AJ404" s="133">
        <f>S404</f>
        <v>1</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342</v>
      </c>
      <c r="P405" s="121"/>
      <c r="Q405" s="66"/>
      <c r="R405" s="121"/>
      <c r="S405" s="133">
        <f>M404</f>
        <v>1</v>
      </c>
      <c r="T405" s="120"/>
      <c r="U405" s="121" t="s">
        <v>233</v>
      </c>
      <c r="V405" s="133">
        <f t="shared" ref="V405:V424" si="179">S405</f>
        <v>1</v>
      </c>
      <c r="W405" s="133">
        <f>VLOOKUP(U405,Sheet1!$B$6:$C$45,2,FALSE)*V405</f>
        <v>1</v>
      </c>
      <c r="X405" s="141"/>
      <c r="Y405" s="121" t="s">
        <v>293</v>
      </c>
      <c r="Z405" s="146">
        <f>VLOOKUP(Takeoffs!Y405,Sheet1!$B$6:$C$124,2,FALSE)</f>
        <v>0</v>
      </c>
      <c r="AA405" s="146">
        <f t="shared" ref="AA405:AA424" si="180">Z405*AB405</f>
        <v>0</v>
      </c>
      <c r="AB405" s="143">
        <f t="shared" ref="AB405:AB424" si="181">AD405*AC405</f>
        <v>1</v>
      </c>
      <c r="AC405" s="133">
        <f t="shared" ref="AC405:AC424" si="182">S405</f>
        <v>1</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1</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593</v>
      </c>
      <c r="P406" s="121"/>
      <c r="Q406" s="66"/>
      <c r="R406" s="121"/>
      <c r="S406" s="133">
        <f>M404</f>
        <v>1</v>
      </c>
      <c r="T406" s="120"/>
      <c r="U406" s="117" t="s">
        <v>481</v>
      </c>
      <c r="V406" s="133">
        <f t="shared" si="179"/>
        <v>1</v>
      </c>
      <c r="W406" s="133">
        <f>VLOOKUP(U406,Sheet1!$B$6:$C$45,2,FALSE)*V406</f>
        <v>2</v>
      </c>
      <c r="X406" s="141"/>
      <c r="Y406" s="52" t="s">
        <v>253</v>
      </c>
      <c r="Z406" s="146">
        <f>VLOOKUP(Takeoffs!Y406,Sheet1!$B$6:$C$124,2,FALSE)</f>
        <v>10.139999999999999</v>
      </c>
      <c r="AA406" s="146">
        <f t="shared" si="180"/>
        <v>10.139999999999999</v>
      </c>
      <c r="AB406" s="143">
        <f t="shared" si="181"/>
        <v>1</v>
      </c>
      <c r="AC406" s="133">
        <f t="shared" si="182"/>
        <v>1</v>
      </c>
      <c r="AD406" s="142">
        <v>1</v>
      </c>
      <c r="AE406" s="141"/>
      <c r="AF406" s="122" t="s">
        <v>268</v>
      </c>
      <c r="AG406" s="146">
        <f>VLOOKUP(Takeoffs!AF406,Sheet1!$B$6:$C$124,2,FALSE)</f>
        <v>1.02</v>
      </c>
      <c r="AH406" s="146">
        <f t="shared" si="183"/>
        <v>5.0999999999999996</v>
      </c>
      <c r="AI406" s="143">
        <f t="shared" si="184"/>
        <v>5</v>
      </c>
      <c r="AJ406" s="133">
        <f t="shared" si="185"/>
        <v>1</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408</v>
      </c>
      <c r="P407" s="121"/>
      <c r="Q407" s="66"/>
      <c r="R407" s="121"/>
      <c r="S407" s="133">
        <f>M404</f>
        <v>1</v>
      </c>
      <c r="T407" s="120"/>
      <c r="U407" s="121" t="s">
        <v>293</v>
      </c>
      <c r="V407" s="133">
        <f t="shared" si="179"/>
        <v>1</v>
      </c>
      <c r="W407" s="133">
        <f>VLOOKUP(U407,Sheet1!$B$6:$C$45,2,FALSE)*V407</f>
        <v>0</v>
      </c>
      <c r="X407" s="141"/>
      <c r="Y407" s="122" t="s">
        <v>247</v>
      </c>
      <c r="Z407" s="146">
        <f>VLOOKUP(Takeoffs!Y407,Sheet1!$B$6:$C$124,2,FALSE)</f>
        <v>23.76</v>
      </c>
      <c r="AA407" s="146">
        <f t="shared" si="180"/>
        <v>23.76</v>
      </c>
      <c r="AB407" s="143">
        <f t="shared" si="181"/>
        <v>1</v>
      </c>
      <c r="AC407" s="133">
        <f t="shared" si="182"/>
        <v>1</v>
      </c>
      <c r="AD407" s="142">
        <v>1</v>
      </c>
      <c r="AE407" s="141"/>
      <c r="AF407" s="121" t="s">
        <v>293</v>
      </c>
      <c r="AG407" s="146">
        <f>VLOOKUP(Takeoffs!AF407,Sheet1!$B$6:$C$124,2,FALSE)</f>
        <v>0</v>
      </c>
      <c r="AH407" s="146">
        <f t="shared" si="183"/>
        <v>0</v>
      </c>
      <c r="AI407" s="143">
        <f t="shared" si="184"/>
        <v>0</v>
      </c>
      <c r="AJ407" s="133">
        <f t="shared" si="185"/>
        <v>1</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1</v>
      </c>
      <c r="T408" s="120"/>
      <c r="U408" s="121" t="s">
        <v>293</v>
      </c>
      <c r="V408" s="133">
        <f t="shared" si="179"/>
        <v>1</v>
      </c>
      <c r="W408" s="133">
        <f>VLOOKUP(U408,Sheet1!$B$6:$C$45,2,FALSE)*V408</f>
        <v>0</v>
      </c>
      <c r="X408" s="141"/>
      <c r="Y408" s="121" t="s">
        <v>293</v>
      </c>
      <c r="Z408" s="146">
        <f>VLOOKUP(Takeoffs!Y408,Sheet1!$B$6:$C$124,2,FALSE)</f>
        <v>0</v>
      </c>
      <c r="AA408" s="146">
        <f t="shared" si="180"/>
        <v>0</v>
      </c>
      <c r="AB408" s="143">
        <f t="shared" si="181"/>
        <v>1</v>
      </c>
      <c r="AC408" s="133">
        <f t="shared" si="182"/>
        <v>1</v>
      </c>
      <c r="AD408" s="142">
        <v>1</v>
      </c>
      <c r="AE408" s="141"/>
      <c r="AF408" s="121" t="s">
        <v>293</v>
      </c>
      <c r="AG408" s="146">
        <f>VLOOKUP(Takeoffs!AF408,Sheet1!$B$6:$C$124,2,FALSE)</f>
        <v>0</v>
      </c>
      <c r="AH408" s="146">
        <f t="shared" si="183"/>
        <v>0</v>
      </c>
      <c r="AI408" s="143">
        <f t="shared" si="184"/>
        <v>0</v>
      </c>
      <c r="AJ408" s="133">
        <f t="shared" si="185"/>
        <v>1</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1</v>
      </c>
      <c r="T409" s="120"/>
      <c r="U409" s="121" t="s">
        <v>293</v>
      </c>
      <c r="V409" s="133">
        <f t="shared" si="179"/>
        <v>1</v>
      </c>
      <c r="W409" s="133">
        <f>VLOOKUP(U409,Sheet1!$B$6:$C$45,2,FALSE)*V409</f>
        <v>0</v>
      </c>
      <c r="X409" s="141"/>
      <c r="Y409" s="121" t="s">
        <v>293</v>
      </c>
      <c r="Z409" s="146">
        <f>VLOOKUP(Takeoffs!Y409,Sheet1!$B$6:$C$124,2,FALSE)</f>
        <v>0</v>
      </c>
      <c r="AA409" s="146">
        <f t="shared" si="180"/>
        <v>0</v>
      </c>
      <c r="AB409" s="143">
        <f t="shared" si="181"/>
        <v>1</v>
      </c>
      <c r="AC409" s="133">
        <f t="shared" si="182"/>
        <v>1</v>
      </c>
      <c r="AD409" s="142">
        <v>1</v>
      </c>
      <c r="AE409" s="141"/>
      <c r="AF409" s="121" t="s">
        <v>293</v>
      </c>
      <c r="AG409" s="146">
        <f>VLOOKUP(Takeoffs!AF409,Sheet1!$B$6:$C$124,2,FALSE)</f>
        <v>0</v>
      </c>
      <c r="AH409" s="146">
        <f t="shared" si="183"/>
        <v>0</v>
      </c>
      <c r="AI409" s="143">
        <f t="shared" si="184"/>
        <v>0</v>
      </c>
      <c r="AJ409" s="133">
        <f t="shared" si="185"/>
        <v>1</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1</v>
      </c>
      <c r="T410" s="120"/>
      <c r="U410" s="121" t="s">
        <v>293</v>
      </c>
      <c r="V410" s="133">
        <f t="shared" si="179"/>
        <v>1</v>
      </c>
      <c r="W410" s="133">
        <f>VLOOKUP(U410,Sheet1!$B$6:$C$45,2,FALSE)*V410</f>
        <v>0</v>
      </c>
      <c r="X410" s="141"/>
      <c r="Y410" s="121" t="s">
        <v>293</v>
      </c>
      <c r="Z410" s="146">
        <f>VLOOKUP(Takeoffs!Y410,Sheet1!$B$6:$C$124,2,FALSE)</f>
        <v>0</v>
      </c>
      <c r="AA410" s="146">
        <f t="shared" si="180"/>
        <v>0</v>
      </c>
      <c r="AB410" s="143">
        <f t="shared" si="181"/>
        <v>1</v>
      </c>
      <c r="AC410" s="133">
        <f t="shared" si="182"/>
        <v>1</v>
      </c>
      <c r="AD410" s="142">
        <v>1</v>
      </c>
      <c r="AE410" s="141"/>
      <c r="AF410" s="121" t="s">
        <v>293</v>
      </c>
      <c r="AG410" s="146">
        <f>VLOOKUP(Takeoffs!AF410,Sheet1!$B$6:$C$124,2,FALSE)</f>
        <v>0</v>
      </c>
      <c r="AH410" s="146">
        <f t="shared" si="183"/>
        <v>0</v>
      </c>
      <c r="AI410" s="143">
        <f t="shared" si="184"/>
        <v>0</v>
      </c>
      <c r="AJ410" s="133">
        <f t="shared" si="185"/>
        <v>1</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1</v>
      </c>
      <c r="T411" s="120"/>
      <c r="U411" s="121" t="s">
        <v>293</v>
      </c>
      <c r="V411" s="133">
        <f t="shared" si="179"/>
        <v>1</v>
      </c>
      <c r="W411" s="133">
        <f>VLOOKUP(U411,Sheet1!$B$6:$C$45,2,FALSE)*V411</f>
        <v>0</v>
      </c>
      <c r="X411" s="141"/>
      <c r="Y411" s="121" t="s">
        <v>293</v>
      </c>
      <c r="Z411" s="146">
        <f>VLOOKUP(Takeoffs!Y411,Sheet1!$B$6:$C$124,2,FALSE)</f>
        <v>0</v>
      </c>
      <c r="AA411" s="146">
        <f t="shared" si="180"/>
        <v>0</v>
      </c>
      <c r="AB411" s="143">
        <f t="shared" si="181"/>
        <v>1</v>
      </c>
      <c r="AC411" s="133">
        <f t="shared" si="182"/>
        <v>1</v>
      </c>
      <c r="AD411" s="142">
        <v>1</v>
      </c>
      <c r="AE411" s="141"/>
      <c r="AF411" s="121" t="s">
        <v>293</v>
      </c>
      <c r="AG411" s="146">
        <f>VLOOKUP(Takeoffs!AF411,Sheet1!$B$6:$C$124,2,FALSE)</f>
        <v>0</v>
      </c>
      <c r="AH411" s="146">
        <f t="shared" si="183"/>
        <v>0</v>
      </c>
      <c r="AI411" s="143">
        <f t="shared" si="184"/>
        <v>0</v>
      </c>
      <c r="AJ411" s="133">
        <f t="shared" si="185"/>
        <v>1</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330</v>
      </c>
      <c r="P412" s="121"/>
      <c r="Q412" s="66"/>
      <c r="R412" s="121"/>
      <c r="S412" s="133">
        <f>M404</f>
        <v>1</v>
      </c>
      <c r="T412" s="120"/>
      <c r="U412" s="121" t="s">
        <v>242</v>
      </c>
      <c r="V412" s="133">
        <f t="shared" si="179"/>
        <v>1</v>
      </c>
      <c r="W412" s="133">
        <f>VLOOKUP(U412,Sheet1!$B$6:$C$45,2,FALSE)*V412</f>
        <v>2</v>
      </c>
      <c r="X412" s="141"/>
      <c r="Y412" s="121" t="s">
        <v>293</v>
      </c>
      <c r="Z412" s="146">
        <f>VLOOKUP(Takeoffs!Y412,Sheet1!$B$6:$C$124,2,FALSE)</f>
        <v>0</v>
      </c>
      <c r="AA412" s="146">
        <f t="shared" si="180"/>
        <v>0</v>
      </c>
      <c r="AB412" s="143">
        <f t="shared" si="181"/>
        <v>1</v>
      </c>
      <c r="AC412" s="133">
        <f t="shared" si="182"/>
        <v>1</v>
      </c>
      <c r="AD412" s="142">
        <v>1</v>
      </c>
      <c r="AE412" s="141"/>
      <c r="AF412" s="121" t="s">
        <v>293</v>
      </c>
      <c r="AG412" s="146">
        <f>VLOOKUP(Takeoffs!AF412,Sheet1!$B$6:$C$124,2,FALSE)</f>
        <v>0</v>
      </c>
      <c r="AH412" s="146">
        <f t="shared" si="183"/>
        <v>0</v>
      </c>
      <c r="AI412" s="143">
        <f t="shared" si="184"/>
        <v>0</v>
      </c>
      <c r="AJ412" s="133">
        <f t="shared" si="185"/>
        <v>1</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1</v>
      </c>
      <c r="T413" s="120"/>
      <c r="U413" s="121" t="s">
        <v>293</v>
      </c>
      <c r="V413" s="133">
        <f t="shared" si="179"/>
        <v>1</v>
      </c>
      <c r="W413" s="133">
        <f>VLOOKUP(U413,Sheet1!$B$6:$C$45,2,FALSE)*V413</f>
        <v>0</v>
      </c>
      <c r="X413" s="141"/>
      <c r="Y413" s="121" t="s">
        <v>293</v>
      </c>
      <c r="Z413" s="146">
        <f>VLOOKUP(Takeoffs!Y413,Sheet1!$B$6:$C$124,2,FALSE)</f>
        <v>0</v>
      </c>
      <c r="AA413" s="146">
        <f t="shared" si="180"/>
        <v>0</v>
      </c>
      <c r="AB413" s="143">
        <f t="shared" si="181"/>
        <v>1</v>
      </c>
      <c r="AC413" s="133">
        <f t="shared" si="182"/>
        <v>1</v>
      </c>
      <c r="AD413" s="142">
        <v>1</v>
      </c>
      <c r="AE413" s="141"/>
      <c r="AF413" s="121" t="s">
        <v>293</v>
      </c>
      <c r="AG413" s="146">
        <f>VLOOKUP(Takeoffs!AF413,Sheet1!$B$6:$C$124,2,FALSE)</f>
        <v>0</v>
      </c>
      <c r="AH413" s="146">
        <f t="shared" si="183"/>
        <v>0</v>
      </c>
      <c r="AI413" s="143">
        <f t="shared" si="184"/>
        <v>0</v>
      </c>
      <c r="AJ413" s="133">
        <f t="shared" si="185"/>
        <v>1</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1</v>
      </c>
      <c r="T414" s="120"/>
      <c r="U414" s="121" t="s">
        <v>293</v>
      </c>
      <c r="V414" s="133">
        <f t="shared" si="179"/>
        <v>1</v>
      </c>
      <c r="W414" s="133">
        <f>VLOOKUP(U414,Sheet1!$B$6:$C$45,2,FALSE)*V414</f>
        <v>0</v>
      </c>
      <c r="X414" s="141"/>
      <c r="Y414" s="121" t="s">
        <v>293</v>
      </c>
      <c r="Z414" s="146">
        <f>VLOOKUP(Takeoffs!Y414,Sheet1!$B$6:$C$124,2,FALSE)</f>
        <v>0</v>
      </c>
      <c r="AA414" s="146">
        <f t="shared" si="180"/>
        <v>0</v>
      </c>
      <c r="AB414" s="143">
        <f t="shared" si="181"/>
        <v>1</v>
      </c>
      <c r="AC414" s="133">
        <f t="shared" si="182"/>
        <v>1</v>
      </c>
      <c r="AD414" s="142">
        <v>1</v>
      </c>
      <c r="AE414" s="141"/>
      <c r="AF414" s="121" t="s">
        <v>293</v>
      </c>
      <c r="AG414" s="146">
        <f>VLOOKUP(Takeoffs!AF414,Sheet1!$B$6:$C$124,2,FALSE)</f>
        <v>0</v>
      </c>
      <c r="AH414" s="146">
        <f t="shared" si="183"/>
        <v>0</v>
      </c>
      <c r="AI414" s="143">
        <f t="shared" si="184"/>
        <v>0</v>
      </c>
      <c r="AJ414" s="133">
        <f t="shared" si="185"/>
        <v>1</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1</v>
      </c>
      <c r="T415" s="120"/>
      <c r="U415" s="121" t="s">
        <v>293</v>
      </c>
      <c r="V415" s="133">
        <f t="shared" si="179"/>
        <v>1</v>
      </c>
      <c r="W415" s="133">
        <f>VLOOKUP(U415,Sheet1!$B$6:$C$45,2,FALSE)*V415</f>
        <v>0</v>
      </c>
      <c r="X415" s="141"/>
      <c r="Y415" s="121" t="s">
        <v>293</v>
      </c>
      <c r="Z415" s="146">
        <f>VLOOKUP(Takeoffs!Y415,Sheet1!$B$6:$C$124,2,FALSE)</f>
        <v>0</v>
      </c>
      <c r="AA415" s="146">
        <f t="shared" si="180"/>
        <v>0</v>
      </c>
      <c r="AB415" s="143">
        <f t="shared" si="181"/>
        <v>1</v>
      </c>
      <c r="AC415" s="133">
        <f t="shared" si="182"/>
        <v>1</v>
      </c>
      <c r="AD415" s="142">
        <v>1</v>
      </c>
      <c r="AE415" s="141"/>
      <c r="AF415" s="121" t="s">
        <v>293</v>
      </c>
      <c r="AG415" s="146">
        <f>VLOOKUP(Takeoffs!AF415,Sheet1!$B$6:$C$124,2,FALSE)</f>
        <v>0</v>
      </c>
      <c r="AH415" s="146">
        <f t="shared" si="183"/>
        <v>0</v>
      </c>
      <c r="AI415" s="143">
        <f t="shared" si="184"/>
        <v>0</v>
      </c>
      <c r="AJ415" s="133">
        <f t="shared" si="185"/>
        <v>1</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1</v>
      </c>
      <c r="T416" s="120"/>
      <c r="U416" s="121" t="s">
        <v>293</v>
      </c>
      <c r="V416" s="133">
        <f t="shared" si="179"/>
        <v>1</v>
      </c>
      <c r="W416" s="133">
        <f>VLOOKUP(U416,Sheet1!$B$6:$C$45,2,FALSE)*V416</f>
        <v>0</v>
      </c>
      <c r="X416" s="141"/>
      <c r="Y416" s="121" t="s">
        <v>293</v>
      </c>
      <c r="Z416" s="146">
        <f>VLOOKUP(Takeoffs!Y416,Sheet1!$B$6:$C$124,2,FALSE)</f>
        <v>0</v>
      </c>
      <c r="AA416" s="146">
        <f t="shared" si="180"/>
        <v>0</v>
      </c>
      <c r="AB416" s="143">
        <f t="shared" si="181"/>
        <v>1</v>
      </c>
      <c r="AC416" s="133">
        <f t="shared" si="182"/>
        <v>1</v>
      </c>
      <c r="AD416" s="142">
        <v>1</v>
      </c>
      <c r="AE416" s="141"/>
      <c r="AF416" s="152" t="s">
        <v>420</v>
      </c>
      <c r="AG416" s="146">
        <f>VLOOKUP(Takeoffs!AF416,Sheet1!$B$6:$C$124,2,FALSE)</f>
        <v>0.33600000000000002</v>
      </c>
      <c r="AH416" s="146">
        <f t="shared" si="183"/>
        <v>0.33600000000000002</v>
      </c>
      <c r="AI416" s="143">
        <f t="shared" si="184"/>
        <v>1</v>
      </c>
      <c r="AJ416" s="133">
        <f t="shared" si="185"/>
        <v>1</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1</v>
      </c>
      <c r="T417" s="120"/>
      <c r="U417" s="121" t="s">
        <v>232</v>
      </c>
      <c r="V417" s="133">
        <f t="shared" si="179"/>
        <v>1</v>
      </c>
      <c r="W417" s="133">
        <f>VLOOKUP(U417,Sheet1!$B$6:$C$45,2,FALSE)*V417</f>
        <v>1</v>
      </c>
      <c r="X417" s="141"/>
      <c r="Y417" s="122" t="s">
        <v>281</v>
      </c>
      <c r="Z417" s="146">
        <f>VLOOKUP(Takeoffs!Y417,Sheet1!$B$6:$C$124,2,FALSE)</f>
        <v>109.25999999999999</v>
      </c>
      <c r="AA417" s="146">
        <f t="shared" si="180"/>
        <v>109.25999999999999</v>
      </c>
      <c r="AB417" s="143">
        <f t="shared" si="181"/>
        <v>1</v>
      </c>
      <c r="AC417" s="133">
        <f t="shared" si="182"/>
        <v>1</v>
      </c>
      <c r="AD417" s="142">
        <v>1</v>
      </c>
      <c r="AE417" s="141"/>
      <c r="AF417" s="121" t="s">
        <v>293</v>
      </c>
      <c r="AG417" s="146">
        <f>VLOOKUP(Takeoffs!AF417,Sheet1!$B$6:$C$124,2,FALSE)</f>
        <v>0</v>
      </c>
      <c r="AH417" s="146">
        <f t="shared" si="183"/>
        <v>0</v>
      </c>
      <c r="AI417" s="143">
        <f t="shared" si="184"/>
        <v>0</v>
      </c>
      <c r="AJ417" s="133">
        <f t="shared" si="185"/>
        <v>1</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544</v>
      </c>
      <c r="P418" s="121"/>
      <c r="Q418" s="66"/>
      <c r="R418" s="121"/>
      <c r="S418" s="133">
        <f>M404</f>
        <v>1</v>
      </c>
      <c r="T418" s="120"/>
      <c r="U418" s="121" t="s">
        <v>293</v>
      </c>
      <c r="V418" s="133">
        <f t="shared" si="179"/>
        <v>1</v>
      </c>
      <c r="W418" s="133">
        <f>VLOOKUP(U418,Sheet1!$B$6:$C$45,2,FALSE)*V418</f>
        <v>0</v>
      </c>
      <c r="X418" s="141"/>
      <c r="Y418" s="122" t="s">
        <v>328</v>
      </c>
      <c r="Z418" s="146">
        <f>VLOOKUP(Takeoffs!Y418,Sheet1!$B$6:$C$124,2,FALSE)</f>
        <v>29.04</v>
      </c>
      <c r="AA418" s="146">
        <f t="shared" si="180"/>
        <v>29.04</v>
      </c>
      <c r="AB418" s="143">
        <f t="shared" si="181"/>
        <v>1</v>
      </c>
      <c r="AC418" s="133">
        <f t="shared" si="182"/>
        <v>1</v>
      </c>
      <c r="AD418" s="142">
        <v>1</v>
      </c>
      <c r="AE418" s="141"/>
      <c r="AF418" s="121" t="s">
        <v>293</v>
      </c>
      <c r="AG418" s="146">
        <f>VLOOKUP(Takeoffs!AF418,Sheet1!$B$6:$C$124,2,FALSE)</f>
        <v>0</v>
      </c>
      <c r="AH418" s="146">
        <f t="shared" si="183"/>
        <v>0</v>
      </c>
      <c r="AI418" s="143">
        <f t="shared" si="184"/>
        <v>0</v>
      </c>
      <c r="AJ418" s="133">
        <f t="shared" si="185"/>
        <v>1</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339</v>
      </c>
      <c r="P419" s="121"/>
      <c r="Q419" s="66"/>
      <c r="R419" s="121" t="s">
        <v>333</v>
      </c>
      <c r="S419" s="133">
        <f>M404</f>
        <v>1</v>
      </c>
      <c r="T419" s="120"/>
      <c r="U419" s="121" t="s">
        <v>293</v>
      </c>
      <c r="V419" s="133">
        <f t="shared" si="179"/>
        <v>1</v>
      </c>
      <c r="W419" s="133">
        <f>VLOOKUP(U419,Sheet1!$B$6:$C$45,2,FALSE)*V419</f>
        <v>0</v>
      </c>
      <c r="X419" s="141"/>
      <c r="Y419" s="122" t="s">
        <v>280</v>
      </c>
      <c r="Z419" s="146">
        <f>VLOOKUP(Takeoffs!Y419,Sheet1!$B$6:$C$124,2,FALSE)</f>
        <v>19.2</v>
      </c>
      <c r="AA419" s="146">
        <f t="shared" si="180"/>
        <v>38.4</v>
      </c>
      <c r="AB419" s="143">
        <f t="shared" si="181"/>
        <v>2</v>
      </c>
      <c r="AC419" s="133">
        <f t="shared" si="182"/>
        <v>1</v>
      </c>
      <c r="AD419" s="142">
        <v>2</v>
      </c>
      <c r="AE419" s="141"/>
      <c r="AF419" s="121" t="s">
        <v>293</v>
      </c>
      <c r="AG419" s="146">
        <f>VLOOKUP(Takeoffs!AF419,Sheet1!$B$6:$C$124,2,FALSE)</f>
        <v>0</v>
      </c>
      <c r="AH419" s="146">
        <f t="shared" si="183"/>
        <v>0</v>
      </c>
      <c r="AI419" s="143">
        <f t="shared" si="184"/>
        <v>0</v>
      </c>
      <c r="AJ419" s="133">
        <f t="shared" si="185"/>
        <v>1</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671</v>
      </c>
      <c r="P420" s="121"/>
      <c r="Q420" s="66"/>
      <c r="R420" s="121"/>
      <c r="S420" s="133">
        <f>M404</f>
        <v>1</v>
      </c>
      <c r="T420" s="120"/>
      <c r="U420" s="121" t="s">
        <v>293</v>
      </c>
      <c r="V420" s="133">
        <f t="shared" si="179"/>
        <v>1</v>
      </c>
      <c r="W420" s="133">
        <f>VLOOKUP(U420,Sheet1!$B$6:$C$45,2,FALSE)*V420</f>
        <v>0</v>
      </c>
      <c r="X420" s="141"/>
      <c r="Y420" s="121" t="s">
        <v>672</v>
      </c>
      <c r="Z420" s="146">
        <f>VLOOKUP(Takeoffs!Y420,Sheet1!$B$6:$C$124,2,FALSE)</f>
        <v>60</v>
      </c>
      <c r="AA420" s="146">
        <f t="shared" si="180"/>
        <v>60</v>
      </c>
      <c r="AB420" s="143">
        <f t="shared" si="181"/>
        <v>1</v>
      </c>
      <c r="AC420" s="133">
        <f t="shared" si="182"/>
        <v>1</v>
      </c>
      <c r="AD420" s="142">
        <v>1</v>
      </c>
      <c r="AE420" s="141"/>
      <c r="AF420" s="121" t="s">
        <v>293</v>
      </c>
      <c r="AG420" s="146">
        <f>VLOOKUP(Takeoffs!AF420,Sheet1!$B$6:$C$124,2,FALSE)</f>
        <v>0</v>
      </c>
      <c r="AH420" s="146">
        <f t="shared" si="183"/>
        <v>0</v>
      </c>
      <c r="AI420" s="143">
        <f t="shared" si="184"/>
        <v>0</v>
      </c>
      <c r="AJ420" s="133">
        <f t="shared" si="185"/>
        <v>1</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331</v>
      </c>
      <c r="P421" s="121"/>
      <c r="Q421" s="66"/>
      <c r="R421" s="121" t="s">
        <v>305</v>
      </c>
      <c r="S421" s="133">
        <f>M404</f>
        <v>1</v>
      </c>
      <c r="T421" s="120"/>
      <c r="U421" s="121" t="s">
        <v>293</v>
      </c>
      <c r="V421" s="133">
        <f t="shared" si="179"/>
        <v>1</v>
      </c>
      <c r="W421" s="133">
        <f>VLOOKUP(U421,Sheet1!$B$6:$C$45,2,FALSE)*V421</f>
        <v>0</v>
      </c>
      <c r="X421" s="141"/>
      <c r="Y421" s="122" t="s">
        <v>277</v>
      </c>
      <c r="Z421" s="146">
        <f>VLOOKUP(Takeoffs!Y421,Sheet1!$B$6:$C$124,2,FALSE)</f>
        <v>69.540000000000006</v>
      </c>
      <c r="AA421" s="146">
        <f t="shared" si="180"/>
        <v>69.540000000000006</v>
      </c>
      <c r="AB421" s="143">
        <f t="shared" si="181"/>
        <v>1</v>
      </c>
      <c r="AC421" s="133">
        <f t="shared" si="182"/>
        <v>1</v>
      </c>
      <c r="AD421" s="142">
        <v>1</v>
      </c>
      <c r="AE421" s="141"/>
      <c r="AF421" s="121" t="s">
        <v>293</v>
      </c>
      <c r="AG421" s="146">
        <f>VLOOKUP(Takeoffs!AF421,Sheet1!$B$6:$C$124,2,FALSE)</f>
        <v>0</v>
      </c>
      <c r="AH421" s="146">
        <f t="shared" si="183"/>
        <v>0</v>
      </c>
      <c r="AI421" s="143">
        <f t="shared" si="184"/>
        <v>0</v>
      </c>
      <c r="AJ421" s="133">
        <f t="shared" si="185"/>
        <v>1</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1</v>
      </c>
      <c r="T422" s="120"/>
      <c r="U422" s="121" t="s">
        <v>293</v>
      </c>
      <c r="V422" s="133">
        <f t="shared" si="179"/>
        <v>1</v>
      </c>
      <c r="W422" s="133">
        <f>VLOOKUP(U422,Sheet1!$B$6:$C$45,2,FALSE)*V422</f>
        <v>0</v>
      </c>
      <c r="X422" s="141"/>
      <c r="Y422" s="121" t="s">
        <v>293</v>
      </c>
      <c r="Z422" s="146">
        <f>VLOOKUP(Takeoffs!Y422,Sheet1!$B$6:$C$124,2,FALSE)</f>
        <v>0</v>
      </c>
      <c r="AA422" s="146">
        <f t="shared" si="180"/>
        <v>0</v>
      </c>
      <c r="AB422" s="143">
        <f t="shared" si="181"/>
        <v>1</v>
      </c>
      <c r="AC422" s="133">
        <f t="shared" si="182"/>
        <v>1</v>
      </c>
      <c r="AD422" s="142">
        <v>1</v>
      </c>
      <c r="AE422" s="141"/>
      <c r="AF422" s="121" t="s">
        <v>293</v>
      </c>
      <c r="AG422" s="146">
        <f>VLOOKUP(Takeoffs!AF422,Sheet1!$B$6:$C$124,2,FALSE)</f>
        <v>0</v>
      </c>
      <c r="AH422" s="146">
        <f t="shared" si="183"/>
        <v>0</v>
      </c>
      <c r="AI422" s="143">
        <f t="shared" si="184"/>
        <v>0</v>
      </c>
      <c r="AJ422" s="133">
        <f t="shared" si="185"/>
        <v>1</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409</v>
      </c>
      <c r="P423" s="121"/>
      <c r="Q423" s="66"/>
      <c r="R423" s="121"/>
      <c r="S423" s="133">
        <f>M404</f>
        <v>1</v>
      </c>
      <c r="T423" s="120"/>
      <c r="U423" s="121" t="s">
        <v>293</v>
      </c>
      <c r="V423" s="133">
        <f t="shared" si="179"/>
        <v>1</v>
      </c>
      <c r="W423" s="133">
        <f>VLOOKUP(U423,Sheet1!$B$6:$C$45,2,FALSE)*V423</f>
        <v>0</v>
      </c>
      <c r="X423" s="141"/>
      <c r="Y423" s="121" t="s">
        <v>274</v>
      </c>
      <c r="Z423" s="146">
        <f>VLOOKUP(Takeoffs!Y423,Sheet1!$B$6:$C$124,2,FALSE)</f>
        <v>360</v>
      </c>
      <c r="AA423" s="146">
        <f t="shared" si="180"/>
        <v>360</v>
      </c>
      <c r="AB423" s="143">
        <f t="shared" si="181"/>
        <v>1</v>
      </c>
      <c r="AC423" s="133">
        <f t="shared" si="182"/>
        <v>1</v>
      </c>
      <c r="AD423" s="142">
        <v>1</v>
      </c>
      <c r="AE423" s="141"/>
      <c r="AF423" s="121" t="s">
        <v>293</v>
      </c>
      <c r="AG423" s="146">
        <f>VLOOKUP(Takeoffs!AF423,Sheet1!$B$6:$C$124,2,FALSE)</f>
        <v>0</v>
      </c>
      <c r="AH423" s="146">
        <f t="shared" si="183"/>
        <v>0</v>
      </c>
      <c r="AI423" s="143">
        <f t="shared" si="184"/>
        <v>0</v>
      </c>
      <c r="AJ423" s="133">
        <f t="shared" si="185"/>
        <v>1</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410</v>
      </c>
      <c r="P424" s="121"/>
      <c r="Q424" s="66"/>
      <c r="R424" s="121"/>
      <c r="S424" s="133">
        <f>M404</f>
        <v>1</v>
      </c>
      <c r="T424" s="120"/>
      <c r="U424" s="121" t="s">
        <v>364</v>
      </c>
      <c r="V424" s="133">
        <f t="shared" si="179"/>
        <v>1</v>
      </c>
      <c r="W424" s="133">
        <f>VLOOKUP(U424,Sheet1!$B$6:$C$45,2,FALSE)*V424</f>
        <v>1</v>
      </c>
      <c r="X424" s="141"/>
      <c r="Y424" s="121" t="s">
        <v>293</v>
      </c>
      <c r="Z424" s="146">
        <f>VLOOKUP(Takeoffs!Y424,Sheet1!$B$6:$C$124,2,FALSE)</f>
        <v>0</v>
      </c>
      <c r="AA424" s="146">
        <f t="shared" si="180"/>
        <v>0</v>
      </c>
      <c r="AB424" s="143">
        <f t="shared" si="181"/>
        <v>1</v>
      </c>
      <c r="AC424" s="133">
        <f t="shared" si="182"/>
        <v>1</v>
      </c>
      <c r="AD424" s="142">
        <v>1</v>
      </c>
      <c r="AE424" s="141"/>
      <c r="AF424" s="121" t="s">
        <v>293</v>
      </c>
      <c r="AG424" s="146">
        <f>VLOOKUP(Takeoffs!AF424,Sheet1!$B$6:$C$124,2,FALSE)</f>
        <v>0</v>
      </c>
      <c r="AH424" s="146">
        <f t="shared" si="183"/>
        <v>0</v>
      </c>
      <c r="AI424" s="143">
        <f t="shared" si="184"/>
        <v>0</v>
      </c>
      <c r="AJ424" s="133">
        <f t="shared" si="185"/>
        <v>1</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379</v>
      </c>
      <c r="L425" s="128" t="s">
        <v>380</v>
      </c>
      <c r="N425" s="129"/>
      <c r="O425" s="130" t="s">
        <v>359</v>
      </c>
      <c r="P425" s="131">
        <f>V425+AA425+AH425</f>
        <v>1265.576</v>
      </c>
      <c r="Q425" s="131"/>
      <c r="R425" s="131"/>
      <c r="S425" s="130"/>
      <c r="T425" s="127"/>
      <c r="U425" s="126" t="s">
        <v>353</v>
      </c>
      <c r="V425" s="127">
        <f>W425*80</f>
        <v>560</v>
      </c>
      <c r="W425" s="147">
        <f>SUM(W404:W424)</f>
        <v>7</v>
      </c>
      <c r="X425" s="148"/>
      <c r="Y425" s="127" t="s">
        <v>354</v>
      </c>
      <c r="Z425" s="116"/>
      <c r="AA425" s="116">
        <f>SUM(AA404:AA424)</f>
        <v>700.1400000000001</v>
      </c>
      <c r="AB425" s="149"/>
      <c r="AC425" s="149"/>
      <c r="AD425" s="149"/>
      <c r="AE425" s="149"/>
      <c r="AF425" s="127" t="s">
        <v>358</v>
      </c>
      <c r="AG425" s="116"/>
      <c r="AH425" s="116">
        <f>SUM(AH404:AH424)</f>
        <v>5.4359999999999999</v>
      </c>
      <c r="AI425" s="149"/>
      <c r="AJ425" s="149"/>
      <c r="AK425" s="149"/>
      <c r="AL425" s="149"/>
      <c r="AM425" s="150">
        <f>P425</f>
        <v>1265.576</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494</v>
      </c>
      <c r="C426" s="217" t="str">
        <f>N404</f>
        <v>DOL fan with interlock with reed switch - from MSSB power supply</v>
      </c>
      <c r="D426" s="260" t="str">
        <f>IF(B426="Shopping List",IF(ISNUMBER(SEARCH("MSSB",C426)),"MSSB",IF(ISNUMBER(SEARCH("local",C426)),"LOCAL","")))</f>
        <v>MSSB</v>
      </c>
      <c r="E426" s="238"/>
      <c r="F426" s="217"/>
      <c r="G426" s="217"/>
      <c r="H426" s="245"/>
      <c r="I426" s="270">
        <v>1</v>
      </c>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one (1)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1265.576</v>
      </c>
      <c r="L426" s="235" t="str">
        <f>CONCATENATE(Q405,Q406,Q407,Q408,Q409,Q410,Q411,Q412,Q413,Q414,Q415,Q416,Q417,Q418,Q419,Q420,Q421,Q422,Q423,Q424,)</f>
        <v/>
      </c>
      <c r="M426" s="166" t="s">
        <v>369</v>
      </c>
      <c r="N426" s="160" t="str">
        <f>N404</f>
        <v>DOL fan with interlock with reed switch - from MSSB power supply</v>
      </c>
      <c r="O426" s="160" t="s">
        <v>367</v>
      </c>
      <c r="P426" s="82">
        <f>P425/M404</f>
        <v>1265.576</v>
      </c>
      <c r="Q426" s="161"/>
      <c r="R426" s="161"/>
      <c r="S426" s="160"/>
      <c r="T426" s="161"/>
      <c r="U426" s="327" t="s">
        <v>368</v>
      </c>
      <c r="V426" s="327"/>
      <c r="W426" s="162">
        <f>W425/M404</f>
        <v>7</v>
      </c>
      <c r="X426" s="163"/>
      <c r="Y426" s="325" t="s">
        <v>367</v>
      </c>
      <c r="Z426" s="325"/>
      <c r="AA426" s="164">
        <f>AA425/M404</f>
        <v>700.1400000000001</v>
      </c>
      <c r="AB426" s="161"/>
      <c r="AC426" s="161"/>
      <c r="AD426" s="161"/>
      <c r="AE426" s="161"/>
      <c r="AF426" s="325" t="s">
        <v>367</v>
      </c>
      <c r="AG426" s="325"/>
      <c r="AH426" s="164">
        <f>AH425/M404</f>
        <v>5.4359999999999999</v>
      </c>
      <c r="AI426" s="161"/>
      <c r="AJ426" s="161"/>
      <c r="AK426" s="161"/>
      <c r="AL426" s="247"/>
      <c r="AM426" s="257"/>
      <c r="AN426" s="230">
        <f>K426*1.25</f>
        <v>1581.97</v>
      </c>
      <c r="AO426" s="286"/>
      <c r="AP426" s="284">
        <f t="shared" si="174"/>
        <v>1265.576</v>
      </c>
      <c r="AQ426" s="281">
        <f t="shared" si="175"/>
        <v>560</v>
      </c>
      <c r="AR426" s="284">
        <f t="shared" si="176"/>
        <v>700.1400000000001</v>
      </c>
      <c r="AS426" s="281">
        <f t="shared" si="177"/>
        <v>5.4359999999999999</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454</v>
      </c>
      <c r="M427" s="116" t="s">
        <v>107</v>
      </c>
      <c r="N427" s="116" t="s">
        <v>108</v>
      </c>
      <c r="O427" s="170" t="s">
        <v>388</v>
      </c>
      <c r="P427" s="326" t="s">
        <v>377</v>
      </c>
      <c r="Q427" s="326"/>
      <c r="R427" s="101" t="s">
        <v>454</v>
      </c>
      <c r="S427" s="116" t="s">
        <v>0</v>
      </c>
      <c r="T427" s="118"/>
      <c r="U427" s="116" t="s">
        <v>288</v>
      </c>
      <c r="V427" s="116" t="s">
        <v>289</v>
      </c>
      <c r="W427" s="116" t="s">
        <v>292</v>
      </c>
      <c r="X427" s="140"/>
      <c r="Y427" s="116" t="s">
        <v>290</v>
      </c>
      <c r="Z427" s="116" t="s">
        <v>356</v>
      </c>
      <c r="AA427" s="116" t="s">
        <v>357</v>
      </c>
      <c r="AB427" s="116" t="s">
        <v>319</v>
      </c>
      <c r="AC427" s="116" t="s">
        <v>320</v>
      </c>
      <c r="AD427" s="116" t="s">
        <v>318</v>
      </c>
      <c r="AE427" s="140"/>
      <c r="AF427" s="116" t="s">
        <v>294</v>
      </c>
      <c r="AG427" s="116" t="s">
        <v>356</v>
      </c>
      <c r="AH427" s="116" t="s">
        <v>357</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one</v>
      </c>
      <c r="M428" s="121">
        <f>I450</f>
        <v>1</v>
      </c>
      <c r="N428" s="132" t="s">
        <v>654</v>
      </c>
      <c r="O428" s="121" t="s">
        <v>349</v>
      </c>
      <c r="P428" s="169" t="s">
        <v>381</v>
      </c>
      <c r="Q428" s="169" t="s">
        <v>377</v>
      </c>
      <c r="R428" s="169"/>
      <c r="S428" s="133">
        <f>M428</f>
        <v>1</v>
      </c>
      <c r="T428" s="119"/>
      <c r="U428" s="121" t="s">
        <v>293</v>
      </c>
      <c r="V428" s="133">
        <f>S428</f>
        <v>1</v>
      </c>
      <c r="W428" s="133">
        <f>VLOOKUP(U428,Sheet1!$B$6:$C$45,2,FALSE)*V428</f>
        <v>0</v>
      </c>
      <c r="X428" s="141"/>
      <c r="Y428" s="121" t="s">
        <v>293</v>
      </c>
      <c r="Z428" s="146">
        <f>VLOOKUP(Takeoffs!Y428,Sheet1!$B$6:$C$124,2,FALSE)</f>
        <v>0</v>
      </c>
      <c r="AA428" s="146">
        <f>Z428*AB428</f>
        <v>0</v>
      </c>
      <c r="AB428" s="143">
        <f>AD428*AC428</f>
        <v>1</v>
      </c>
      <c r="AC428" s="133">
        <f>S428</f>
        <v>1</v>
      </c>
      <c r="AD428" s="142">
        <v>1</v>
      </c>
      <c r="AE428" s="141"/>
      <c r="AF428" s="121" t="s">
        <v>293</v>
      </c>
      <c r="AG428" s="146">
        <f>VLOOKUP(Takeoffs!AF428,Sheet1!$B$6:$C$124,2,FALSE)</f>
        <v>0</v>
      </c>
      <c r="AH428" s="146">
        <f>AG428*AI428</f>
        <v>0</v>
      </c>
      <c r="AI428" s="143">
        <f>AK428*AJ428</f>
        <v>0</v>
      </c>
      <c r="AJ428" s="133">
        <f>S428</f>
        <v>1</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342</v>
      </c>
      <c r="P429" s="121"/>
      <c r="Q429" s="66"/>
      <c r="R429" s="121"/>
      <c r="S429" s="133">
        <f>M428</f>
        <v>1</v>
      </c>
      <c r="T429" s="120"/>
      <c r="U429" s="121" t="s">
        <v>233</v>
      </c>
      <c r="V429" s="133">
        <f t="shared" ref="V429:V448" si="189">S429</f>
        <v>1</v>
      </c>
      <c r="W429" s="133">
        <f>VLOOKUP(U429,Sheet1!$B$6:$C$45,2,FALSE)*V429</f>
        <v>1</v>
      </c>
      <c r="X429" s="141"/>
      <c r="Y429" s="121" t="s">
        <v>293</v>
      </c>
      <c r="Z429" s="146">
        <f>VLOOKUP(Takeoffs!Y429,Sheet1!$B$6:$C$124,2,FALSE)</f>
        <v>0</v>
      </c>
      <c r="AA429" s="146">
        <f t="shared" ref="AA429:AA448" si="190">Z429*AB429</f>
        <v>0</v>
      </c>
      <c r="AB429" s="143">
        <f t="shared" ref="AB429:AB448" si="191">AD429*AC429</f>
        <v>1</v>
      </c>
      <c r="AC429" s="133">
        <f t="shared" ref="AC429:AC448" si="192">S429</f>
        <v>1</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1</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593</v>
      </c>
      <c r="P430" s="121"/>
      <c r="Q430" s="66"/>
      <c r="R430" s="121"/>
      <c r="S430" s="133">
        <f>M428</f>
        <v>1</v>
      </c>
      <c r="T430" s="120"/>
      <c r="U430" s="117" t="s">
        <v>481</v>
      </c>
      <c r="V430" s="133">
        <f t="shared" si="189"/>
        <v>1</v>
      </c>
      <c r="W430" s="133">
        <f>VLOOKUP(U430,Sheet1!$B$6:$C$45,2,FALSE)*V430</f>
        <v>2</v>
      </c>
      <c r="X430" s="141"/>
      <c r="Y430" s="52" t="s">
        <v>253</v>
      </c>
      <c r="Z430" s="146">
        <f>VLOOKUP(Takeoffs!Y430,Sheet1!$B$6:$C$124,2,FALSE)</f>
        <v>10.139999999999999</v>
      </c>
      <c r="AA430" s="146">
        <f t="shared" si="190"/>
        <v>10.139999999999999</v>
      </c>
      <c r="AB430" s="143">
        <f t="shared" si="191"/>
        <v>1</v>
      </c>
      <c r="AC430" s="133">
        <f t="shared" si="192"/>
        <v>1</v>
      </c>
      <c r="AD430" s="142">
        <v>1</v>
      </c>
      <c r="AE430" s="141"/>
      <c r="AF430" s="122" t="s">
        <v>268</v>
      </c>
      <c r="AG430" s="146">
        <f>VLOOKUP(Takeoffs!AF430,Sheet1!$B$6:$C$124,2,FALSE)</f>
        <v>1.02</v>
      </c>
      <c r="AH430" s="146">
        <f t="shared" si="193"/>
        <v>5.0999999999999996</v>
      </c>
      <c r="AI430" s="143">
        <f t="shared" si="194"/>
        <v>5</v>
      </c>
      <c r="AJ430" s="133">
        <f t="shared" si="195"/>
        <v>1</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408</v>
      </c>
      <c r="P431" s="121"/>
      <c r="Q431" s="66"/>
      <c r="R431" s="121"/>
      <c r="S431" s="133">
        <f>M428</f>
        <v>1</v>
      </c>
      <c r="T431" s="120"/>
      <c r="U431" s="121" t="s">
        <v>293</v>
      </c>
      <c r="V431" s="133">
        <f t="shared" si="189"/>
        <v>1</v>
      </c>
      <c r="W431" s="133">
        <f>VLOOKUP(U431,Sheet1!$B$6:$C$45,2,FALSE)*V431</f>
        <v>0</v>
      </c>
      <c r="X431" s="141"/>
      <c r="Y431" s="122" t="s">
        <v>247</v>
      </c>
      <c r="Z431" s="146">
        <f>VLOOKUP(Takeoffs!Y431,Sheet1!$B$6:$C$124,2,FALSE)</f>
        <v>23.76</v>
      </c>
      <c r="AA431" s="146">
        <f t="shared" si="190"/>
        <v>23.76</v>
      </c>
      <c r="AB431" s="143">
        <f t="shared" si="191"/>
        <v>1</v>
      </c>
      <c r="AC431" s="133">
        <f t="shared" si="192"/>
        <v>1</v>
      </c>
      <c r="AD431" s="142">
        <v>1</v>
      </c>
      <c r="AE431" s="141"/>
      <c r="AF431" s="121" t="s">
        <v>293</v>
      </c>
      <c r="AG431" s="146">
        <f>VLOOKUP(Takeoffs!AF431,Sheet1!$B$6:$C$124,2,FALSE)</f>
        <v>0</v>
      </c>
      <c r="AH431" s="146">
        <f t="shared" si="193"/>
        <v>0</v>
      </c>
      <c r="AI431" s="143">
        <f t="shared" si="194"/>
        <v>0</v>
      </c>
      <c r="AJ431" s="133">
        <f t="shared" si="195"/>
        <v>1</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1</v>
      </c>
      <c r="T432" s="120"/>
      <c r="U432" s="121" t="s">
        <v>293</v>
      </c>
      <c r="V432" s="133">
        <f t="shared" si="189"/>
        <v>1</v>
      </c>
      <c r="W432" s="133">
        <f>VLOOKUP(U432,Sheet1!$B$6:$C$45,2,FALSE)*V432</f>
        <v>0</v>
      </c>
      <c r="X432" s="141"/>
      <c r="Y432" s="121" t="s">
        <v>293</v>
      </c>
      <c r="Z432" s="146">
        <f>VLOOKUP(Takeoffs!Y432,Sheet1!$B$6:$C$124,2,FALSE)</f>
        <v>0</v>
      </c>
      <c r="AA432" s="146">
        <f t="shared" si="190"/>
        <v>0</v>
      </c>
      <c r="AB432" s="143">
        <f t="shared" si="191"/>
        <v>1</v>
      </c>
      <c r="AC432" s="133">
        <f t="shared" si="192"/>
        <v>1</v>
      </c>
      <c r="AD432" s="142">
        <v>1</v>
      </c>
      <c r="AE432" s="141"/>
      <c r="AF432" s="121" t="s">
        <v>293</v>
      </c>
      <c r="AG432" s="146">
        <f>VLOOKUP(Takeoffs!AF432,Sheet1!$B$6:$C$124,2,FALSE)</f>
        <v>0</v>
      </c>
      <c r="AH432" s="146">
        <f t="shared" si="193"/>
        <v>0</v>
      </c>
      <c r="AI432" s="143">
        <f t="shared" si="194"/>
        <v>0</v>
      </c>
      <c r="AJ432" s="133">
        <f t="shared" si="195"/>
        <v>1</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1</v>
      </c>
      <c r="T433" s="120"/>
      <c r="U433" s="121" t="s">
        <v>293</v>
      </c>
      <c r="V433" s="133">
        <f t="shared" si="189"/>
        <v>1</v>
      </c>
      <c r="W433" s="133">
        <f>VLOOKUP(U433,Sheet1!$B$6:$C$45,2,FALSE)*V433</f>
        <v>0</v>
      </c>
      <c r="X433" s="141"/>
      <c r="Y433" s="121" t="s">
        <v>293</v>
      </c>
      <c r="Z433" s="146">
        <f>VLOOKUP(Takeoffs!Y433,Sheet1!$B$6:$C$124,2,FALSE)</f>
        <v>0</v>
      </c>
      <c r="AA433" s="146">
        <f t="shared" si="190"/>
        <v>0</v>
      </c>
      <c r="AB433" s="143">
        <f t="shared" si="191"/>
        <v>1</v>
      </c>
      <c r="AC433" s="133">
        <f t="shared" si="192"/>
        <v>1</v>
      </c>
      <c r="AD433" s="142">
        <v>1</v>
      </c>
      <c r="AE433" s="141"/>
      <c r="AF433" s="121" t="s">
        <v>293</v>
      </c>
      <c r="AG433" s="146">
        <f>VLOOKUP(Takeoffs!AF433,Sheet1!$B$6:$C$124,2,FALSE)</f>
        <v>0</v>
      </c>
      <c r="AH433" s="146">
        <f t="shared" si="193"/>
        <v>0</v>
      </c>
      <c r="AI433" s="143">
        <f t="shared" si="194"/>
        <v>0</v>
      </c>
      <c r="AJ433" s="133">
        <f t="shared" si="195"/>
        <v>1</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1</v>
      </c>
      <c r="T434" s="120"/>
      <c r="U434" s="121" t="s">
        <v>293</v>
      </c>
      <c r="V434" s="133">
        <f t="shared" si="189"/>
        <v>1</v>
      </c>
      <c r="W434" s="133">
        <f>VLOOKUP(U434,Sheet1!$B$6:$C$45,2,FALSE)*V434</f>
        <v>0</v>
      </c>
      <c r="X434" s="141"/>
      <c r="Y434" s="121" t="s">
        <v>293</v>
      </c>
      <c r="Z434" s="146">
        <f>VLOOKUP(Takeoffs!Y434,Sheet1!$B$6:$C$124,2,FALSE)</f>
        <v>0</v>
      </c>
      <c r="AA434" s="146">
        <f t="shared" si="190"/>
        <v>0</v>
      </c>
      <c r="AB434" s="143">
        <f t="shared" si="191"/>
        <v>1</v>
      </c>
      <c r="AC434" s="133">
        <f t="shared" si="192"/>
        <v>1</v>
      </c>
      <c r="AD434" s="142">
        <v>1</v>
      </c>
      <c r="AE434" s="141"/>
      <c r="AF434" s="121" t="s">
        <v>293</v>
      </c>
      <c r="AG434" s="146">
        <f>VLOOKUP(Takeoffs!AF434,Sheet1!$B$6:$C$124,2,FALSE)</f>
        <v>0</v>
      </c>
      <c r="AH434" s="146">
        <f t="shared" si="193"/>
        <v>0</v>
      </c>
      <c r="AI434" s="143">
        <f t="shared" si="194"/>
        <v>0</v>
      </c>
      <c r="AJ434" s="133">
        <f t="shared" si="195"/>
        <v>1</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1</v>
      </c>
      <c r="T435" s="120"/>
      <c r="U435" s="121" t="s">
        <v>293</v>
      </c>
      <c r="V435" s="133">
        <f t="shared" si="189"/>
        <v>1</v>
      </c>
      <c r="W435" s="133">
        <f>VLOOKUP(U435,Sheet1!$B$6:$C$45,2,FALSE)*V435</f>
        <v>0</v>
      </c>
      <c r="X435" s="141"/>
      <c r="Y435" s="121" t="s">
        <v>293</v>
      </c>
      <c r="Z435" s="146">
        <f>VLOOKUP(Takeoffs!Y435,Sheet1!$B$6:$C$124,2,FALSE)</f>
        <v>0</v>
      </c>
      <c r="AA435" s="146">
        <f t="shared" si="190"/>
        <v>0</v>
      </c>
      <c r="AB435" s="143">
        <f t="shared" si="191"/>
        <v>1</v>
      </c>
      <c r="AC435" s="133">
        <f t="shared" si="192"/>
        <v>1</v>
      </c>
      <c r="AD435" s="142">
        <v>1</v>
      </c>
      <c r="AE435" s="141"/>
      <c r="AF435" s="121" t="s">
        <v>293</v>
      </c>
      <c r="AG435" s="146">
        <f>VLOOKUP(Takeoffs!AF435,Sheet1!$B$6:$C$124,2,FALSE)</f>
        <v>0</v>
      </c>
      <c r="AH435" s="146">
        <f t="shared" si="193"/>
        <v>0</v>
      </c>
      <c r="AI435" s="143">
        <f t="shared" si="194"/>
        <v>0</v>
      </c>
      <c r="AJ435" s="133">
        <f t="shared" si="195"/>
        <v>1</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330</v>
      </c>
      <c r="P436" s="121"/>
      <c r="Q436" s="66"/>
      <c r="R436" s="121"/>
      <c r="S436" s="133">
        <f>M428</f>
        <v>1</v>
      </c>
      <c r="T436" s="120"/>
      <c r="U436" s="121" t="s">
        <v>242</v>
      </c>
      <c r="V436" s="133">
        <f t="shared" si="189"/>
        <v>1</v>
      </c>
      <c r="W436" s="133">
        <f>VLOOKUP(U436,Sheet1!$B$6:$C$45,2,FALSE)*V436</f>
        <v>2</v>
      </c>
      <c r="X436" s="141"/>
      <c r="Y436" s="121" t="s">
        <v>293</v>
      </c>
      <c r="Z436" s="146">
        <f>VLOOKUP(Takeoffs!Y436,Sheet1!$B$6:$C$124,2,FALSE)</f>
        <v>0</v>
      </c>
      <c r="AA436" s="146">
        <f t="shared" si="190"/>
        <v>0</v>
      </c>
      <c r="AB436" s="143">
        <f t="shared" si="191"/>
        <v>1</v>
      </c>
      <c r="AC436" s="133">
        <f t="shared" si="192"/>
        <v>1</v>
      </c>
      <c r="AD436" s="142">
        <v>1</v>
      </c>
      <c r="AE436" s="141"/>
      <c r="AF436" s="121" t="s">
        <v>293</v>
      </c>
      <c r="AG436" s="146">
        <f>VLOOKUP(Takeoffs!AF436,Sheet1!$B$6:$C$124,2,FALSE)</f>
        <v>0</v>
      </c>
      <c r="AH436" s="146">
        <f t="shared" si="193"/>
        <v>0</v>
      </c>
      <c r="AI436" s="143">
        <f t="shared" si="194"/>
        <v>0</v>
      </c>
      <c r="AJ436" s="133">
        <f t="shared" si="195"/>
        <v>1</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1</v>
      </c>
      <c r="T437" s="120"/>
      <c r="U437" s="121" t="s">
        <v>293</v>
      </c>
      <c r="V437" s="133">
        <f t="shared" si="189"/>
        <v>1</v>
      </c>
      <c r="W437" s="133">
        <f>VLOOKUP(U437,Sheet1!$B$6:$C$45,2,FALSE)*V437</f>
        <v>0</v>
      </c>
      <c r="X437" s="141"/>
      <c r="Y437" s="121" t="s">
        <v>293</v>
      </c>
      <c r="Z437" s="146">
        <f>VLOOKUP(Takeoffs!Y437,Sheet1!$B$6:$C$124,2,FALSE)</f>
        <v>0</v>
      </c>
      <c r="AA437" s="146">
        <f t="shared" si="190"/>
        <v>0</v>
      </c>
      <c r="AB437" s="143">
        <f t="shared" si="191"/>
        <v>1</v>
      </c>
      <c r="AC437" s="133">
        <f t="shared" si="192"/>
        <v>1</v>
      </c>
      <c r="AD437" s="142">
        <v>1</v>
      </c>
      <c r="AE437" s="141"/>
      <c r="AF437" s="121" t="s">
        <v>293</v>
      </c>
      <c r="AG437" s="146">
        <f>VLOOKUP(Takeoffs!AF437,Sheet1!$B$6:$C$124,2,FALSE)</f>
        <v>0</v>
      </c>
      <c r="AH437" s="146">
        <f t="shared" si="193"/>
        <v>0</v>
      </c>
      <c r="AI437" s="143">
        <f t="shared" si="194"/>
        <v>0</v>
      </c>
      <c r="AJ437" s="133">
        <f t="shared" si="195"/>
        <v>1</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1</v>
      </c>
      <c r="T438" s="120"/>
      <c r="U438" s="121" t="s">
        <v>293</v>
      </c>
      <c r="V438" s="133">
        <f t="shared" si="189"/>
        <v>1</v>
      </c>
      <c r="W438" s="133">
        <f>VLOOKUP(U438,Sheet1!$B$6:$C$45,2,FALSE)*V438</f>
        <v>0</v>
      </c>
      <c r="X438" s="141"/>
      <c r="Y438" s="121" t="s">
        <v>293</v>
      </c>
      <c r="Z438" s="146">
        <f>VLOOKUP(Takeoffs!Y438,Sheet1!$B$6:$C$124,2,FALSE)</f>
        <v>0</v>
      </c>
      <c r="AA438" s="146">
        <f t="shared" si="190"/>
        <v>0</v>
      </c>
      <c r="AB438" s="143">
        <f t="shared" si="191"/>
        <v>1</v>
      </c>
      <c r="AC438" s="133">
        <f t="shared" si="192"/>
        <v>1</v>
      </c>
      <c r="AD438" s="142">
        <v>1</v>
      </c>
      <c r="AE438" s="141"/>
      <c r="AF438" s="121" t="s">
        <v>293</v>
      </c>
      <c r="AG438" s="146">
        <f>VLOOKUP(Takeoffs!AF438,Sheet1!$B$6:$C$124,2,FALSE)</f>
        <v>0</v>
      </c>
      <c r="AH438" s="146">
        <f t="shared" si="193"/>
        <v>0</v>
      </c>
      <c r="AI438" s="143">
        <f t="shared" si="194"/>
        <v>0</v>
      </c>
      <c r="AJ438" s="133">
        <f t="shared" si="195"/>
        <v>1</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1</v>
      </c>
      <c r="T439" s="120"/>
      <c r="U439" s="121" t="s">
        <v>293</v>
      </c>
      <c r="V439" s="133">
        <f t="shared" si="189"/>
        <v>1</v>
      </c>
      <c r="W439" s="133">
        <f>VLOOKUP(U439,Sheet1!$B$6:$C$45,2,FALSE)*V439</f>
        <v>0</v>
      </c>
      <c r="X439" s="141"/>
      <c r="Y439" s="121" t="s">
        <v>293</v>
      </c>
      <c r="Z439" s="146">
        <f>VLOOKUP(Takeoffs!Y439,Sheet1!$B$6:$C$124,2,FALSE)</f>
        <v>0</v>
      </c>
      <c r="AA439" s="146">
        <f t="shared" si="190"/>
        <v>0</v>
      </c>
      <c r="AB439" s="143">
        <f t="shared" si="191"/>
        <v>1</v>
      </c>
      <c r="AC439" s="133">
        <f t="shared" si="192"/>
        <v>1</v>
      </c>
      <c r="AD439" s="142">
        <v>1</v>
      </c>
      <c r="AE439" s="141"/>
      <c r="AF439" s="121" t="s">
        <v>293</v>
      </c>
      <c r="AG439" s="146">
        <f>VLOOKUP(Takeoffs!AF439,Sheet1!$B$6:$C$124,2,FALSE)</f>
        <v>0</v>
      </c>
      <c r="AH439" s="146">
        <f t="shared" si="193"/>
        <v>0</v>
      </c>
      <c r="AI439" s="143">
        <f t="shared" si="194"/>
        <v>0</v>
      </c>
      <c r="AJ439" s="133">
        <f t="shared" si="195"/>
        <v>1</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1</v>
      </c>
      <c r="T440" s="120"/>
      <c r="U440" s="121" t="s">
        <v>293</v>
      </c>
      <c r="V440" s="133">
        <f t="shared" si="189"/>
        <v>1</v>
      </c>
      <c r="W440" s="133">
        <f>VLOOKUP(U440,Sheet1!$B$6:$C$45,2,FALSE)*V440</f>
        <v>0</v>
      </c>
      <c r="X440" s="141"/>
      <c r="Y440" s="121" t="s">
        <v>293</v>
      </c>
      <c r="Z440" s="146">
        <f>VLOOKUP(Takeoffs!Y440,Sheet1!$B$6:$C$124,2,FALSE)</f>
        <v>0</v>
      </c>
      <c r="AA440" s="146">
        <f t="shared" si="190"/>
        <v>0</v>
      </c>
      <c r="AB440" s="143">
        <f t="shared" si="191"/>
        <v>1</v>
      </c>
      <c r="AC440" s="133">
        <f t="shared" si="192"/>
        <v>1</v>
      </c>
      <c r="AD440" s="142">
        <v>1</v>
      </c>
      <c r="AE440" s="141"/>
      <c r="AF440" s="152" t="s">
        <v>420</v>
      </c>
      <c r="AG440" s="146">
        <f>VLOOKUP(Takeoffs!AF440,Sheet1!$B$6:$C$124,2,FALSE)</f>
        <v>0.33600000000000002</v>
      </c>
      <c r="AH440" s="146">
        <f t="shared" si="193"/>
        <v>0.33600000000000002</v>
      </c>
      <c r="AI440" s="143">
        <f t="shared" si="194"/>
        <v>1</v>
      </c>
      <c r="AJ440" s="133">
        <f t="shared" si="195"/>
        <v>1</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1</v>
      </c>
      <c r="T441" s="120"/>
      <c r="U441" s="121" t="s">
        <v>232</v>
      </c>
      <c r="V441" s="133">
        <f t="shared" si="189"/>
        <v>1</v>
      </c>
      <c r="W441" s="133">
        <f>VLOOKUP(U441,Sheet1!$B$6:$C$45,2,FALSE)*V441</f>
        <v>1</v>
      </c>
      <c r="X441" s="141"/>
      <c r="Y441" s="122" t="s">
        <v>281</v>
      </c>
      <c r="Z441" s="146">
        <f>VLOOKUP(Takeoffs!Y441,Sheet1!$B$6:$C$124,2,FALSE)</f>
        <v>109.25999999999999</v>
      </c>
      <c r="AA441" s="146">
        <f t="shared" si="190"/>
        <v>109.25999999999999</v>
      </c>
      <c r="AB441" s="143">
        <f t="shared" si="191"/>
        <v>1</v>
      </c>
      <c r="AC441" s="133">
        <f t="shared" si="192"/>
        <v>1</v>
      </c>
      <c r="AD441" s="142">
        <v>1</v>
      </c>
      <c r="AE441" s="141"/>
      <c r="AF441" s="121" t="s">
        <v>293</v>
      </c>
      <c r="AG441" s="146">
        <f>VLOOKUP(Takeoffs!AF441,Sheet1!$B$6:$C$124,2,FALSE)</f>
        <v>0</v>
      </c>
      <c r="AH441" s="146">
        <f t="shared" si="193"/>
        <v>0</v>
      </c>
      <c r="AI441" s="143">
        <f t="shared" si="194"/>
        <v>0</v>
      </c>
      <c r="AJ441" s="133">
        <f t="shared" si="195"/>
        <v>1</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544</v>
      </c>
      <c r="P442" s="121"/>
      <c r="Q442" s="66"/>
      <c r="R442" s="121"/>
      <c r="S442" s="133">
        <f>M428</f>
        <v>1</v>
      </c>
      <c r="T442" s="120"/>
      <c r="U442" s="121" t="s">
        <v>293</v>
      </c>
      <c r="V442" s="133">
        <f t="shared" si="189"/>
        <v>1</v>
      </c>
      <c r="W442" s="133">
        <f>VLOOKUP(U442,Sheet1!$B$6:$C$45,2,FALSE)*V442</f>
        <v>0</v>
      </c>
      <c r="X442" s="141"/>
      <c r="Y442" s="122" t="s">
        <v>328</v>
      </c>
      <c r="Z442" s="146">
        <f>VLOOKUP(Takeoffs!Y442,Sheet1!$B$6:$C$124,2,FALSE)</f>
        <v>29.04</v>
      </c>
      <c r="AA442" s="146">
        <f t="shared" si="190"/>
        <v>29.04</v>
      </c>
      <c r="AB442" s="143">
        <f t="shared" si="191"/>
        <v>1</v>
      </c>
      <c r="AC442" s="133">
        <f t="shared" si="192"/>
        <v>1</v>
      </c>
      <c r="AD442" s="142">
        <v>1</v>
      </c>
      <c r="AE442" s="141"/>
      <c r="AF442" s="121" t="s">
        <v>293</v>
      </c>
      <c r="AG442" s="146">
        <f>VLOOKUP(Takeoffs!AF442,Sheet1!$B$6:$C$124,2,FALSE)</f>
        <v>0</v>
      </c>
      <c r="AH442" s="146">
        <f t="shared" si="193"/>
        <v>0</v>
      </c>
      <c r="AI442" s="143">
        <f t="shared" si="194"/>
        <v>0</v>
      </c>
      <c r="AJ442" s="133">
        <f t="shared" si="195"/>
        <v>1</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339</v>
      </c>
      <c r="P443" s="121"/>
      <c r="Q443" s="66"/>
      <c r="R443" s="121" t="s">
        <v>333</v>
      </c>
      <c r="S443" s="133">
        <f>M428</f>
        <v>1</v>
      </c>
      <c r="T443" s="120"/>
      <c r="U443" s="121" t="s">
        <v>293</v>
      </c>
      <c r="V443" s="133">
        <f t="shared" si="189"/>
        <v>1</v>
      </c>
      <c r="W443" s="133">
        <f>VLOOKUP(U443,Sheet1!$B$6:$C$45,2,FALSE)*V443</f>
        <v>0</v>
      </c>
      <c r="X443" s="141"/>
      <c r="Y443" s="122" t="s">
        <v>280</v>
      </c>
      <c r="Z443" s="146">
        <f>VLOOKUP(Takeoffs!Y443,Sheet1!$B$6:$C$124,2,FALSE)</f>
        <v>19.2</v>
      </c>
      <c r="AA443" s="146">
        <f t="shared" si="190"/>
        <v>38.4</v>
      </c>
      <c r="AB443" s="143">
        <f t="shared" si="191"/>
        <v>2</v>
      </c>
      <c r="AC443" s="133">
        <f t="shared" si="192"/>
        <v>1</v>
      </c>
      <c r="AD443" s="142">
        <v>2</v>
      </c>
      <c r="AE443" s="141"/>
      <c r="AF443" s="121" t="s">
        <v>293</v>
      </c>
      <c r="AG443" s="146">
        <f>VLOOKUP(Takeoffs!AF443,Sheet1!$B$6:$C$124,2,FALSE)</f>
        <v>0</v>
      </c>
      <c r="AH443" s="146">
        <f t="shared" si="193"/>
        <v>0</v>
      </c>
      <c r="AI443" s="143">
        <f t="shared" si="194"/>
        <v>0</v>
      </c>
      <c r="AJ443" s="133">
        <f t="shared" si="195"/>
        <v>1</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1</v>
      </c>
      <c r="T444" s="120"/>
      <c r="U444" s="121" t="s">
        <v>293</v>
      </c>
      <c r="V444" s="133">
        <f t="shared" si="189"/>
        <v>1</v>
      </c>
      <c r="W444" s="133">
        <f>VLOOKUP(U444,Sheet1!$B$6:$C$45,2,FALSE)*V444</f>
        <v>0</v>
      </c>
      <c r="X444" s="141"/>
      <c r="Y444" s="121" t="s">
        <v>293</v>
      </c>
      <c r="Z444" s="146">
        <f>VLOOKUP(Takeoffs!Y444,Sheet1!$B$6:$C$124,2,FALSE)</f>
        <v>0</v>
      </c>
      <c r="AA444" s="146">
        <f t="shared" si="190"/>
        <v>0</v>
      </c>
      <c r="AB444" s="143">
        <f t="shared" si="191"/>
        <v>1</v>
      </c>
      <c r="AC444" s="133">
        <f t="shared" si="192"/>
        <v>1</v>
      </c>
      <c r="AD444" s="142">
        <v>1</v>
      </c>
      <c r="AE444" s="141"/>
      <c r="AF444" s="121" t="s">
        <v>293</v>
      </c>
      <c r="AG444" s="146">
        <f>VLOOKUP(Takeoffs!AF444,Sheet1!$B$6:$C$124,2,FALSE)</f>
        <v>0</v>
      </c>
      <c r="AH444" s="146">
        <f t="shared" si="193"/>
        <v>0</v>
      </c>
      <c r="AI444" s="143">
        <f t="shared" si="194"/>
        <v>0</v>
      </c>
      <c r="AJ444" s="133">
        <f t="shared" si="195"/>
        <v>1</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331</v>
      </c>
      <c r="P445" s="121"/>
      <c r="Q445" s="66"/>
      <c r="R445" s="121" t="s">
        <v>305</v>
      </c>
      <c r="S445" s="133">
        <f>M428</f>
        <v>1</v>
      </c>
      <c r="T445" s="120"/>
      <c r="U445" s="121" t="s">
        <v>293</v>
      </c>
      <c r="V445" s="133">
        <f t="shared" si="189"/>
        <v>1</v>
      </c>
      <c r="W445" s="133">
        <f>VLOOKUP(U445,Sheet1!$B$6:$C$45,2,FALSE)*V445</f>
        <v>0</v>
      </c>
      <c r="X445" s="141"/>
      <c r="Y445" s="122" t="s">
        <v>277</v>
      </c>
      <c r="Z445" s="146">
        <f>VLOOKUP(Takeoffs!Y445,Sheet1!$B$6:$C$124,2,FALSE)</f>
        <v>69.540000000000006</v>
      </c>
      <c r="AA445" s="146">
        <f t="shared" si="190"/>
        <v>69.540000000000006</v>
      </c>
      <c r="AB445" s="143">
        <f t="shared" si="191"/>
        <v>1</v>
      </c>
      <c r="AC445" s="133">
        <f t="shared" si="192"/>
        <v>1</v>
      </c>
      <c r="AD445" s="142">
        <v>1</v>
      </c>
      <c r="AE445" s="141"/>
      <c r="AF445" s="121" t="s">
        <v>293</v>
      </c>
      <c r="AG445" s="146">
        <f>VLOOKUP(Takeoffs!AF445,Sheet1!$B$6:$C$124,2,FALSE)</f>
        <v>0</v>
      </c>
      <c r="AH445" s="146">
        <f t="shared" si="193"/>
        <v>0</v>
      </c>
      <c r="AI445" s="143">
        <f t="shared" si="194"/>
        <v>0</v>
      </c>
      <c r="AJ445" s="133">
        <f t="shared" si="195"/>
        <v>1</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1</v>
      </c>
      <c r="T446" s="120"/>
      <c r="U446" s="121" t="s">
        <v>293</v>
      </c>
      <c r="V446" s="133">
        <f t="shared" si="189"/>
        <v>1</v>
      </c>
      <c r="W446" s="133">
        <f>VLOOKUP(U446,Sheet1!$B$6:$C$45,2,FALSE)*V446</f>
        <v>0</v>
      </c>
      <c r="X446" s="141"/>
      <c r="Y446" s="121" t="s">
        <v>293</v>
      </c>
      <c r="Z446" s="146">
        <f>VLOOKUP(Takeoffs!Y446,Sheet1!$B$6:$C$124,2,FALSE)</f>
        <v>0</v>
      </c>
      <c r="AA446" s="146">
        <f t="shared" si="190"/>
        <v>0</v>
      </c>
      <c r="AB446" s="143">
        <f t="shared" si="191"/>
        <v>1</v>
      </c>
      <c r="AC446" s="133">
        <f t="shared" si="192"/>
        <v>1</v>
      </c>
      <c r="AD446" s="142">
        <v>1</v>
      </c>
      <c r="AE446" s="141"/>
      <c r="AF446" s="121" t="s">
        <v>293</v>
      </c>
      <c r="AG446" s="146">
        <f>VLOOKUP(Takeoffs!AF446,Sheet1!$B$6:$C$124,2,FALSE)</f>
        <v>0</v>
      </c>
      <c r="AH446" s="146">
        <f t="shared" si="193"/>
        <v>0</v>
      </c>
      <c r="AI446" s="143">
        <f t="shared" si="194"/>
        <v>0</v>
      </c>
      <c r="AJ446" s="133">
        <f t="shared" si="195"/>
        <v>1</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409</v>
      </c>
      <c r="P447" s="121"/>
      <c r="Q447" s="66"/>
      <c r="R447" s="121"/>
      <c r="S447" s="133">
        <f>M428</f>
        <v>1</v>
      </c>
      <c r="T447" s="120"/>
      <c r="U447" s="121" t="s">
        <v>293</v>
      </c>
      <c r="V447" s="133">
        <f t="shared" si="189"/>
        <v>1</v>
      </c>
      <c r="W447" s="133">
        <f>VLOOKUP(U447,Sheet1!$B$6:$C$45,2,FALSE)*V447</f>
        <v>0</v>
      </c>
      <c r="X447" s="141"/>
      <c r="Y447" s="121" t="s">
        <v>274</v>
      </c>
      <c r="Z447" s="146">
        <f>VLOOKUP(Takeoffs!Y447,Sheet1!$B$6:$C$124,2,FALSE)</f>
        <v>360</v>
      </c>
      <c r="AA447" s="146">
        <f t="shared" si="190"/>
        <v>360</v>
      </c>
      <c r="AB447" s="143">
        <f t="shared" si="191"/>
        <v>1</v>
      </c>
      <c r="AC447" s="133">
        <f t="shared" si="192"/>
        <v>1</v>
      </c>
      <c r="AD447" s="142">
        <v>1</v>
      </c>
      <c r="AE447" s="141"/>
      <c r="AF447" s="121" t="s">
        <v>293</v>
      </c>
      <c r="AG447" s="146">
        <f>VLOOKUP(Takeoffs!AF447,Sheet1!$B$6:$C$124,2,FALSE)</f>
        <v>0</v>
      </c>
      <c r="AH447" s="146">
        <f t="shared" si="193"/>
        <v>0</v>
      </c>
      <c r="AI447" s="143">
        <f t="shared" si="194"/>
        <v>0</v>
      </c>
      <c r="AJ447" s="133">
        <f t="shared" si="195"/>
        <v>1</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410</v>
      </c>
      <c r="P448" s="121"/>
      <c r="Q448" s="66"/>
      <c r="R448" s="121"/>
      <c r="S448" s="133">
        <f>M428</f>
        <v>1</v>
      </c>
      <c r="T448" s="120"/>
      <c r="U448" s="121" t="s">
        <v>364</v>
      </c>
      <c r="V448" s="133">
        <f t="shared" si="189"/>
        <v>1</v>
      </c>
      <c r="W448" s="133">
        <f>VLOOKUP(U448,Sheet1!$B$6:$C$45,2,FALSE)*V448</f>
        <v>1</v>
      </c>
      <c r="X448" s="141"/>
      <c r="Y448" s="121" t="s">
        <v>293</v>
      </c>
      <c r="Z448" s="146">
        <f>VLOOKUP(Takeoffs!Y448,Sheet1!$B$6:$C$124,2,FALSE)</f>
        <v>0</v>
      </c>
      <c r="AA448" s="146">
        <f t="shared" si="190"/>
        <v>0</v>
      </c>
      <c r="AB448" s="143">
        <f t="shared" si="191"/>
        <v>1</v>
      </c>
      <c r="AC448" s="133">
        <f t="shared" si="192"/>
        <v>1</v>
      </c>
      <c r="AD448" s="142">
        <v>1</v>
      </c>
      <c r="AE448" s="141"/>
      <c r="AF448" s="121" t="s">
        <v>293</v>
      </c>
      <c r="AG448" s="146">
        <f>VLOOKUP(Takeoffs!AF448,Sheet1!$B$6:$C$124,2,FALSE)</f>
        <v>0</v>
      </c>
      <c r="AH448" s="146">
        <f t="shared" si="193"/>
        <v>0</v>
      </c>
      <c r="AI448" s="143">
        <f t="shared" si="194"/>
        <v>0</v>
      </c>
      <c r="AJ448" s="133">
        <f t="shared" si="195"/>
        <v>1</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379</v>
      </c>
      <c r="L449" s="128" t="s">
        <v>380</v>
      </c>
      <c r="N449" s="129"/>
      <c r="O449" s="130" t="s">
        <v>359</v>
      </c>
      <c r="P449" s="131">
        <f>V449+AA449+AH449</f>
        <v>1205.5759999999998</v>
      </c>
      <c r="Q449" s="131"/>
      <c r="R449" s="131"/>
      <c r="S449" s="130"/>
      <c r="T449" s="127"/>
      <c r="U449" s="126" t="s">
        <v>353</v>
      </c>
      <c r="V449" s="127">
        <f>W449*80</f>
        <v>560</v>
      </c>
      <c r="W449" s="147">
        <f>SUM(W428:W448)</f>
        <v>7</v>
      </c>
      <c r="X449" s="148"/>
      <c r="Y449" s="127" t="s">
        <v>354</v>
      </c>
      <c r="Z449" s="116"/>
      <c r="AA449" s="116">
        <f>SUM(AA428:AA448)</f>
        <v>640.14</v>
      </c>
      <c r="AB449" s="149"/>
      <c r="AC449" s="149"/>
      <c r="AD449" s="149"/>
      <c r="AE449" s="149"/>
      <c r="AF449" s="127" t="s">
        <v>358</v>
      </c>
      <c r="AG449" s="116"/>
      <c r="AH449" s="116">
        <f>SUM(AH428:AH448)</f>
        <v>5.4359999999999999</v>
      </c>
      <c r="AI449" s="149"/>
      <c r="AJ449" s="149"/>
      <c r="AK449" s="149"/>
      <c r="AL449" s="149"/>
      <c r="AM449" s="150">
        <f>P449</f>
        <v>1205.5759999999998</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494</v>
      </c>
      <c r="C450" s="217" t="str">
        <f>N428</f>
        <v>DOL fan with interlock - from MSSB power supply</v>
      </c>
      <c r="D450" s="260" t="str">
        <f>IF(B450="Shopping List",IF(ISNUMBER(SEARCH("MSSB",C450)),"MSSB",IF(ISNUMBER(SEARCH("local",C450)),"LOCAL","")))</f>
        <v>MSSB</v>
      </c>
      <c r="E450" s="238"/>
      <c r="F450" s="217"/>
      <c r="G450" s="217"/>
      <c r="H450" s="245"/>
      <c r="I450" s="270">
        <v>1</v>
      </c>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one (1)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1205.5759999999998</v>
      </c>
      <c r="L450" s="235" t="str">
        <f>CONCATENATE(Q429,Q430,Q431,Q432,Q433,Q434,Q435,Q436,Q437,Q438,Q439,Q440,Q441,Q442,Q443,Q444,Q445,Q446,Q447,Q448,)</f>
        <v/>
      </c>
      <c r="M450" s="166" t="s">
        <v>369</v>
      </c>
      <c r="N450" s="160" t="str">
        <f>N428</f>
        <v>DOL fan with interlock - from MSSB power supply</v>
      </c>
      <c r="O450" s="160" t="s">
        <v>367</v>
      </c>
      <c r="P450" s="82">
        <f>P449/M428</f>
        <v>1205.5759999999998</v>
      </c>
      <c r="Q450" s="161"/>
      <c r="R450" s="161"/>
      <c r="S450" s="160"/>
      <c r="T450" s="161"/>
      <c r="U450" s="327" t="s">
        <v>368</v>
      </c>
      <c r="V450" s="327"/>
      <c r="W450" s="162">
        <f>W449/M428</f>
        <v>7</v>
      </c>
      <c r="X450" s="163"/>
      <c r="Y450" s="325" t="s">
        <v>367</v>
      </c>
      <c r="Z450" s="325"/>
      <c r="AA450" s="164">
        <f>AA449/M428</f>
        <v>640.14</v>
      </c>
      <c r="AB450" s="161"/>
      <c r="AC450" s="161"/>
      <c r="AD450" s="161"/>
      <c r="AE450" s="161"/>
      <c r="AF450" s="325" t="s">
        <v>367</v>
      </c>
      <c r="AG450" s="325"/>
      <c r="AH450" s="164">
        <f>AH449/M428</f>
        <v>5.4359999999999999</v>
      </c>
      <c r="AI450" s="161"/>
      <c r="AJ450" s="161"/>
      <c r="AK450" s="161"/>
      <c r="AL450" s="247"/>
      <c r="AM450" s="257"/>
      <c r="AN450" s="230">
        <f>K450*1.25</f>
        <v>1506.9699999999998</v>
      </c>
      <c r="AO450" s="286"/>
      <c r="AP450" s="284">
        <f t="shared" si="174"/>
        <v>1205.5759999999998</v>
      </c>
      <c r="AQ450" s="281">
        <f t="shared" si="175"/>
        <v>560</v>
      </c>
      <c r="AR450" s="284">
        <f t="shared" si="176"/>
        <v>640.14</v>
      </c>
      <c r="AS450" s="281">
        <f t="shared" si="177"/>
        <v>5.4359999999999999</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454</v>
      </c>
      <c r="M451" s="116" t="s">
        <v>107</v>
      </c>
      <c r="N451" s="116" t="s">
        <v>108</v>
      </c>
      <c r="O451" s="170" t="s">
        <v>388</v>
      </c>
      <c r="P451" s="326" t="s">
        <v>377</v>
      </c>
      <c r="Q451" s="326"/>
      <c r="R451" s="101" t="s">
        <v>454</v>
      </c>
      <c r="S451" s="116" t="s">
        <v>0</v>
      </c>
      <c r="T451" s="118"/>
      <c r="U451" s="116" t="s">
        <v>288</v>
      </c>
      <c r="V451" s="116" t="s">
        <v>289</v>
      </c>
      <c r="W451" s="116" t="s">
        <v>292</v>
      </c>
      <c r="X451" s="140"/>
      <c r="Y451" s="116" t="s">
        <v>290</v>
      </c>
      <c r="Z451" s="116" t="s">
        <v>356</v>
      </c>
      <c r="AA451" s="116" t="s">
        <v>357</v>
      </c>
      <c r="AB451" s="116" t="s">
        <v>319</v>
      </c>
      <c r="AC451" s="116" t="s">
        <v>320</v>
      </c>
      <c r="AD451" s="116" t="s">
        <v>318</v>
      </c>
      <c r="AE451" s="140"/>
      <c r="AF451" s="116" t="s">
        <v>294</v>
      </c>
      <c r="AG451" s="116" t="s">
        <v>356</v>
      </c>
      <c r="AH451" s="116" t="s">
        <v>357</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one</v>
      </c>
      <c r="M452" s="121">
        <f>I474</f>
        <v>1</v>
      </c>
      <c r="N452" s="132" t="s">
        <v>611</v>
      </c>
      <c r="O452" s="121" t="s">
        <v>349</v>
      </c>
      <c r="P452" s="169" t="s">
        <v>381</v>
      </c>
      <c r="Q452" s="169" t="s">
        <v>377</v>
      </c>
      <c r="R452" s="169"/>
      <c r="S452" s="133">
        <f>M452</f>
        <v>1</v>
      </c>
      <c r="T452" s="119"/>
      <c r="U452" s="121" t="s">
        <v>293</v>
      </c>
      <c r="V452" s="133">
        <f>S452</f>
        <v>1</v>
      </c>
      <c r="W452" s="133">
        <f>VLOOKUP(U452,Sheet1!$B$6:$C$45,2,FALSE)*V452</f>
        <v>0</v>
      </c>
      <c r="X452" s="141"/>
      <c r="Y452" s="121" t="s">
        <v>293</v>
      </c>
      <c r="Z452" s="146">
        <f>VLOOKUP(Takeoffs!Y452,Sheet1!$B$6:$C$124,2,FALSE)</f>
        <v>0</v>
      </c>
      <c r="AA452" s="146">
        <f>Z452*AB452</f>
        <v>0</v>
      </c>
      <c r="AB452" s="143">
        <f>AD452*AC452</f>
        <v>1</v>
      </c>
      <c r="AC452" s="133">
        <f>S452</f>
        <v>1</v>
      </c>
      <c r="AD452" s="142">
        <v>1</v>
      </c>
      <c r="AE452" s="141"/>
      <c r="AF452" s="121" t="s">
        <v>293</v>
      </c>
      <c r="AG452" s="146">
        <f>VLOOKUP(Takeoffs!AF452,Sheet1!$B$6:$C$124,2,FALSE)</f>
        <v>0</v>
      </c>
      <c r="AH452" s="146">
        <f>AG452*AI452</f>
        <v>0</v>
      </c>
      <c r="AI452" s="143">
        <f>AK452*AJ452</f>
        <v>0</v>
      </c>
      <c r="AJ452" s="133">
        <f>S452</f>
        <v>1</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342</v>
      </c>
      <c r="P453" s="121"/>
      <c r="Q453" s="66"/>
      <c r="R453" s="121"/>
      <c r="S453" s="133">
        <f>M452</f>
        <v>1</v>
      </c>
      <c r="T453" s="120"/>
      <c r="U453" s="121" t="s">
        <v>293</v>
      </c>
      <c r="V453" s="133">
        <f t="shared" ref="V453:V472" si="199">S453</f>
        <v>1</v>
      </c>
      <c r="W453" s="133">
        <f>VLOOKUP(U453,Sheet1!$B$6:$C$45,2,FALSE)*V453</f>
        <v>0</v>
      </c>
      <c r="X453" s="141"/>
      <c r="Y453" s="121" t="s">
        <v>293</v>
      </c>
      <c r="Z453" s="146">
        <f>VLOOKUP(Takeoffs!Y453,Sheet1!$B$6:$C$124,2,FALSE)</f>
        <v>0</v>
      </c>
      <c r="AA453" s="146">
        <f t="shared" ref="AA453:AA472" si="200">Z453*AB453</f>
        <v>0</v>
      </c>
      <c r="AB453" s="143">
        <f t="shared" ref="AB453:AB472" si="201">AD453*AC453</f>
        <v>1</v>
      </c>
      <c r="AC453" s="133">
        <f t="shared" ref="AC453:AC472" si="202">S453</f>
        <v>1</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1</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596</v>
      </c>
      <c r="Q454" s="121" t="s">
        <v>612</v>
      </c>
      <c r="R454" s="121"/>
      <c r="S454" s="133">
        <f>M452</f>
        <v>1</v>
      </c>
      <c r="T454" s="120"/>
      <c r="U454" s="121" t="s">
        <v>293</v>
      </c>
      <c r="V454" s="133">
        <f t="shared" si="199"/>
        <v>1</v>
      </c>
      <c r="W454" s="133">
        <f>VLOOKUP(U454,Sheet1!$B$6:$C$45,2,FALSE)*V454</f>
        <v>0</v>
      </c>
      <c r="X454" s="141"/>
      <c r="Y454" s="52" t="s">
        <v>253</v>
      </c>
      <c r="Z454" s="146">
        <f>VLOOKUP(Takeoffs!Y454,Sheet1!$B$6:$C$124,2,FALSE)</f>
        <v>10.139999999999999</v>
      </c>
      <c r="AA454" s="146">
        <f t="shared" si="200"/>
        <v>10.139999999999999</v>
      </c>
      <c r="AB454" s="143">
        <f t="shared" si="201"/>
        <v>1</v>
      </c>
      <c r="AC454" s="133">
        <f t="shared" si="202"/>
        <v>1</v>
      </c>
      <c r="AD454" s="142">
        <v>1</v>
      </c>
      <c r="AE454" s="141"/>
      <c r="AF454" s="121" t="s">
        <v>293</v>
      </c>
      <c r="AG454" s="146">
        <f>VLOOKUP(Takeoffs!AF454,Sheet1!$B$6:$C$124,2,FALSE)</f>
        <v>0</v>
      </c>
      <c r="AH454" s="146">
        <f t="shared" si="203"/>
        <v>0</v>
      </c>
      <c r="AI454" s="143">
        <f t="shared" si="204"/>
        <v>0</v>
      </c>
      <c r="AJ454" s="133">
        <f t="shared" si="205"/>
        <v>1</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596</v>
      </c>
      <c r="Q455" s="66" t="s">
        <v>613</v>
      </c>
      <c r="R455" s="121"/>
      <c r="S455" s="133">
        <f>M452</f>
        <v>1</v>
      </c>
      <c r="T455" s="120"/>
      <c r="U455" s="121" t="s">
        <v>293</v>
      </c>
      <c r="V455" s="133">
        <f t="shared" si="199"/>
        <v>1</v>
      </c>
      <c r="W455" s="133">
        <f>VLOOKUP(U455,Sheet1!$B$6:$C$45,2,FALSE)*V455</f>
        <v>0</v>
      </c>
      <c r="X455" s="141"/>
      <c r="Y455" s="121" t="s">
        <v>293</v>
      </c>
      <c r="Z455" s="146">
        <f>VLOOKUP(Takeoffs!Y455,Sheet1!$B$6:$C$124,2,FALSE)</f>
        <v>0</v>
      </c>
      <c r="AA455" s="146">
        <f t="shared" si="200"/>
        <v>0</v>
      </c>
      <c r="AB455" s="143">
        <f t="shared" si="201"/>
        <v>1</v>
      </c>
      <c r="AC455" s="133">
        <f t="shared" si="202"/>
        <v>1</v>
      </c>
      <c r="AD455" s="142">
        <v>1</v>
      </c>
      <c r="AE455" s="141"/>
      <c r="AF455" s="121" t="s">
        <v>293</v>
      </c>
      <c r="AG455" s="146">
        <f>VLOOKUP(Takeoffs!AF455,Sheet1!$B$6:$C$124,2,FALSE)</f>
        <v>0</v>
      </c>
      <c r="AH455" s="146">
        <f t="shared" si="203"/>
        <v>0</v>
      </c>
      <c r="AI455" s="143">
        <f t="shared" si="204"/>
        <v>0</v>
      </c>
      <c r="AJ455" s="133">
        <f t="shared" si="205"/>
        <v>1</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596</v>
      </c>
      <c r="Q456" s="121" t="s">
        <v>597</v>
      </c>
      <c r="R456" s="121"/>
      <c r="S456" s="133">
        <f>M452</f>
        <v>1</v>
      </c>
      <c r="T456" s="120"/>
      <c r="U456" s="121" t="s">
        <v>293</v>
      </c>
      <c r="V456" s="133">
        <f t="shared" si="199"/>
        <v>1</v>
      </c>
      <c r="W456" s="133">
        <f>VLOOKUP(U456,Sheet1!$B$6:$C$45,2,FALSE)*V456</f>
        <v>0</v>
      </c>
      <c r="X456" s="141"/>
      <c r="Y456" s="121" t="s">
        <v>293</v>
      </c>
      <c r="Z456" s="146">
        <f>VLOOKUP(Takeoffs!Y456,Sheet1!$B$6:$C$124,2,FALSE)</f>
        <v>0</v>
      </c>
      <c r="AA456" s="146">
        <f t="shared" si="200"/>
        <v>0</v>
      </c>
      <c r="AB456" s="143">
        <f t="shared" si="201"/>
        <v>1</v>
      </c>
      <c r="AC456" s="133">
        <f t="shared" si="202"/>
        <v>1</v>
      </c>
      <c r="AD456" s="142">
        <v>1</v>
      </c>
      <c r="AE456" s="141"/>
      <c r="AF456" s="121" t="s">
        <v>293</v>
      </c>
      <c r="AG456" s="146">
        <f>VLOOKUP(Takeoffs!AF456,Sheet1!$B$6:$C$124,2,FALSE)</f>
        <v>0</v>
      </c>
      <c r="AH456" s="146">
        <f t="shared" si="203"/>
        <v>0</v>
      </c>
      <c r="AI456" s="143">
        <f t="shared" si="204"/>
        <v>0</v>
      </c>
      <c r="AJ456" s="133">
        <f t="shared" si="205"/>
        <v>1</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614</v>
      </c>
      <c r="P457" s="121"/>
      <c r="Q457" s="121"/>
      <c r="R457" s="121"/>
      <c r="S457" s="133">
        <f>M452</f>
        <v>1</v>
      </c>
      <c r="T457" s="120"/>
      <c r="U457" s="121" t="s">
        <v>293</v>
      </c>
      <c r="V457" s="133">
        <f t="shared" si="199"/>
        <v>1</v>
      </c>
      <c r="W457" s="133">
        <f>VLOOKUP(U457,Sheet1!$B$6:$C$45,2,FALSE)*V457</f>
        <v>0</v>
      </c>
      <c r="X457" s="141"/>
      <c r="Y457" s="121" t="s">
        <v>293</v>
      </c>
      <c r="Z457" s="146">
        <f>VLOOKUP(Takeoffs!Y457,Sheet1!$B$6:$C$124,2,FALSE)</f>
        <v>0</v>
      </c>
      <c r="AA457" s="146">
        <f t="shared" si="200"/>
        <v>0</v>
      </c>
      <c r="AB457" s="143">
        <f t="shared" si="201"/>
        <v>1</v>
      </c>
      <c r="AC457" s="133">
        <f t="shared" si="202"/>
        <v>1</v>
      </c>
      <c r="AD457" s="142">
        <v>1</v>
      </c>
      <c r="AE457" s="141"/>
      <c r="AF457" s="121" t="s">
        <v>293</v>
      </c>
      <c r="AG457" s="146">
        <f>VLOOKUP(Takeoffs!AF457,Sheet1!$B$6:$C$124,2,FALSE)</f>
        <v>0</v>
      </c>
      <c r="AH457" s="146">
        <f t="shared" si="203"/>
        <v>0</v>
      </c>
      <c r="AI457" s="143">
        <f t="shared" si="204"/>
        <v>0</v>
      </c>
      <c r="AJ457" s="133">
        <f t="shared" si="205"/>
        <v>1</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599</v>
      </c>
      <c r="P458" s="121"/>
      <c r="Q458" s="121"/>
      <c r="R458" s="121"/>
      <c r="S458" s="133">
        <f>M452</f>
        <v>1</v>
      </c>
      <c r="T458" s="120"/>
      <c r="U458" s="121" t="s">
        <v>293</v>
      </c>
      <c r="V458" s="133">
        <f t="shared" si="199"/>
        <v>1</v>
      </c>
      <c r="W458" s="133">
        <f>VLOOKUP(U458,Sheet1!$B$6:$C$45,2,FALSE)*V458</f>
        <v>0</v>
      </c>
      <c r="X458" s="141"/>
      <c r="Y458" s="121" t="s">
        <v>293</v>
      </c>
      <c r="Z458" s="146">
        <f>VLOOKUP(Takeoffs!Y458,Sheet1!$B$6:$C$124,2,FALSE)</f>
        <v>0</v>
      </c>
      <c r="AA458" s="146">
        <f t="shared" si="200"/>
        <v>0</v>
      </c>
      <c r="AB458" s="143">
        <f t="shared" si="201"/>
        <v>1</v>
      </c>
      <c r="AC458" s="133">
        <f t="shared" si="202"/>
        <v>1</v>
      </c>
      <c r="AD458" s="142">
        <v>1</v>
      </c>
      <c r="AE458" s="141"/>
      <c r="AF458" s="121" t="s">
        <v>293</v>
      </c>
      <c r="AG458" s="146">
        <f>VLOOKUP(Takeoffs!AF458,Sheet1!$B$6:$C$124,2,FALSE)</f>
        <v>0</v>
      </c>
      <c r="AH458" s="146">
        <f t="shared" si="203"/>
        <v>0</v>
      </c>
      <c r="AI458" s="143">
        <f t="shared" si="204"/>
        <v>0</v>
      </c>
      <c r="AJ458" s="133">
        <f t="shared" si="205"/>
        <v>1</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600</v>
      </c>
      <c r="P459" s="121"/>
      <c r="Q459" s="121"/>
      <c r="R459" s="121"/>
      <c r="S459" s="133">
        <f>M452</f>
        <v>1</v>
      </c>
      <c r="T459" s="120"/>
      <c r="U459" s="121" t="s">
        <v>293</v>
      </c>
      <c r="V459" s="133">
        <f t="shared" si="199"/>
        <v>1</v>
      </c>
      <c r="W459" s="133">
        <f>VLOOKUP(U459,Sheet1!$B$6:$C$45,2,FALSE)*V459</f>
        <v>0</v>
      </c>
      <c r="X459" s="141"/>
      <c r="Y459" s="121" t="s">
        <v>293</v>
      </c>
      <c r="Z459" s="146">
        <f>VLOOKUP(Takeoffs!Y459,Sheet1!$B$6:$C$124,2,FALSE)</f>
        <v>0</v>
      </c>
      <c r="AA459" s="146">
        <f t="shared" si="200"/>
        <v>0</v>
      </c>
      <c r="AB459" s="143">
        <f t="shared" si="201"/>
        <v>1</v>
      </c>
      <c r="AC459" s="133">
        <f t="shared" si="202"/>
        <v>1</v>
      </c>
      <c r="AD459" s="142">
        <v>1</v>
      </c>
      <c r="AE459" s="141"/>
      <c r="AF459" s="121" t="s">
        <v>293</v>
      </c>
      <c r="AG459" s="146">
        <f>VLOOKUP(Takeoffs!AF459,Sheet1!$B$6:$C$124,2,FALSE)</f>
        <v>0</v>
      </c>
      <c r="AH459" s="146">
        <f t="shared" si="203"/>
        <v>0</v>
      </c>
      <c r="AI459" s="143">
        <f t="shared" si="204"/>
        <v>0</v>
      </c>
      <c r="AJ459" s="133">
        <f t="shared" si="205"/>
        <v>1</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330</v>
      </c>
      <c r="P460" s="121"/>
      <c r="Q460" s="121"/>
      <c r="R460" s="121"/>
      <c r="S460" s="133">
        <f>M452</f>
        <v>1</v>
      </c>
      <c r="T460" s="120"/>
      <c r="U460" s="121" t="s">
        <v>242</v>
      </c>
      <c r="V460" s="133">
        <f t="shared" si="199"/>
        <v>1</v>
      </c>
      <c r="W460" s="133">
        <f>VLOOKUP(U460,Sheet1!$B$6:$C$45,2,FALSE)*V460</f>
        <v>2</v>
      </c>
      <c r="X460" s="141"/>
      <c r="Y460" s="121" t="s">
        <v>293</v>
      </c>
      <c r="Z460" s="146">
        <f>VLOOKUP(Takeoffs!Y460,Sheet1!$B$6:$C$124,2,FALSE)</f>
        <v>0</v>
      </c>
      <c r="AA460" s="146">
        <f t="shared" si="200"/>
        <v>0</v>
      </c>
      <c r="AB460" s="143">
        <f t="shared" si="201"/>
        <v>1</v>
      </c>
      <c r="AC460" s="133">
        <f t="shared" si="202"/>
        <v>1</v>
      </c>
      <c r="AD460" s="142">
        <v>1</v>
      </c>
      <c r="AE460" s="141"/>
      <c r="AF460" s="121" t="s">
        <v>293</v>
      </c>
      <c r="AG460" s="146">
        <f>VLOOKUP(Takeoffs!AF460,Sheet1!$B$6:$C$124,2,FALSE)</f>
        <v>0</v>
      </c>
      <c r="AH460" s="146">
        <f t="shared" si="203"/>
        <v>0</v>
      </c>
      <c r="AI460" s="143">
        <f t="shared" si="204"/>
        <v>0</v>
      </c>
      <c r="AJ460" s="133">
        <f t="shared" si="205"/>
        <v>1</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1</v>
      </c>
      <c r="T461" s="120"/>
      <c r="U461" s="121" t="s">
        <v>293</v>
      </c>
      <c r="V461" s="133">
        <f t="shared" si="199"/>
        <v>1</v>
      </c>
      <c r="W461" s="133">
        <f>VLOOKUP(U461,Sheet1!$B$6:$C$45,2,FALSE)*V461</f>
        <v>0</v>
      </c>
      <c r="X461" s="141"/>
      <c r="Y461" s="121" t="s">
        <v>293</v>
      </c>
      <c r="Z461" s="146">
        <f>VLOOKUP(Takeoffs!Y461,Sheet1!$B$6:$C$124,2,FALSE)</f>
        <v>0</v>
      </c>
      <c r="AA461" s="146">
        <f t="shared" si="200"/>
        <v>0</v>
      </c>
      <c r="AB461" s="143">
        <f t="shared" si="201"/>
        <v>1</v>
      </c>
      <c r="AC461" s="133">
        <f t="shared" si="202"/>
        <v>1</v>
      </c>
      <c r="AD461" s="142">
        <v>1</v>
      </c>
      <c r="AE461" s="141"/>
      <c r="AF461" s="121" t="s">
        <v>293</v>
      </c>
      <c r="AG461" s="146">
        <f>VLOOKUP(Takeoffs!AF461,Sheet1!$B$6:$C$124,2,FALSE)</f>
        <v>0</v>
      </c>
      <c r="AH461" s="146">
        <f t="shared" si="203"/>
        <v>0</v>
      </c>
      <c r="AI461" s="143">
        <f t="shared" si="204"/>
        <v>0</v>
      </c>
      <c r="AJ461" s="133">
        <f t="shared" si="205"/>
        <v>1</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1</v>
      </c>
      <c r="T462" s="120"/>
      <c r="U462" s="121" t="s">
        <v>293</v>
      </c>
      <c r="V462" s="133">
        <f t="shared" si="199"/>
        <v>1</v>
      </c>
      <c r="W462" s="133">
        <f>VLOOKUP(U462,Sheet1!$B$6:$C$45,2,FALSE)*V462</f>
        <v>0</v>
      </c>
      <c r="X462" s="141"/>
      <c r="Y462" s="121" t="s">
        <v>293</v>
      </c>
      <c r="Z462" s="146">
        <f>VLOOKUP(Takeoffs!Y462,Sheet1!$B$6:$C$124,2,FALSE)</f>
        <v>0</v>
      </c>
      <c r="AA462" s="146">
        <f t="shared" si="200"/>
        <v>0</v>
      </c>
      <c r="AB462" s="143">
        <f t="shared" si="201"/>
        <v>1</v>
      </c>
      <c r="AC462" s="133">
        <f t="shared" si="202"/>
        <v>1</v>
      </c>
      <c r="AD462" s="142">
        <v>1</v>
      </c>
      <c r="AE462" s="141"/>
      <c r="AF462" s="121" t="s">
        <v>293</v>
      </c>
      <c r="AG462" s="146">
        <f>VLOOKUP(Takeoffs!AF462,Sheet1!$B$6:$C$124,2,FALSE)</f>
        <v>0</v>
      </c>
      <c r="AH462" s="146">
        <f t="shared" si="203"/>
        <v>0</v>
      </c>
      <c r="AI462" s="143">
        <f t="shared" si="204"/>
        <v>0</v>
      </c>
      <c r="AJ462" s="133">
        <f t="shared" si="205"/>
        <v>1</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1</v>
      </c>
      <c r="T463" s="120"/>
      <c r="U463" s="121" t="s">
        <v>293</v>
      </c>
      <c r="V463" s="133">
        <f t="shared" si="199"/>
        <v>1</v>
      </c>
      <c r="W463" s="133">
        <f>VLOOKUP(U463,Sheet1!$B$6:$C$45,2,FALSE)*V463</f>
        <v>0</v>
      </c>
      <c r="X463" s="141"/>
      <c r="Y463" s="121" t="s">
        <v>293</v>
      </c>
      <c r="Z463" s="146">
        <f>VLOOKUP(Takeoffs!Y463,Sheet1!$B$6:$C$124,2,FALSE)</f>
        <v>0</v>
      </c>
      <c r="AA463" s="146">
        <f t="shared" si="200"/>
        <v>0</v>
      </c>
      <c r="AB463" s="143">
        <f t="shared" si="201"/>
        <v>1</v>
      </c>
      <c r="AC463" s="133">
        <f t="shared" si="202"/>
        <v>1</v>
      </c>
      <c r="AD463" s="142">
        <v>1</v>
      </c>
      <c r="AE463" s="141"/>
      <c r="AF463" s="121" t="s">
        <v>293</v>
      </c>
      <c r="AG463" s="146">
        <f>VLOOKUP(Takeoffs!AF463,Sheet1!$B$6:$C$124,2,FALSE)</f>
        <v>0</v>
      </c>
      <c r="AH463" s="146">
        <f t="shared" si="203"/>
        <v>0</v>
      </c>
      <c r="AI463" s="143">
        <f t="shared" si="204"/>
        <v>0</v>
      </c>
      <c r="AJ463" s="133">
        <f t="shared" si="205"/>
        <v>1</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1</v>
      </c>
      <c r="T464" s="120"/>
      <c r="U464" s="121" t="s">
        <v>293</v>
      </c>
      <c r="V464" s="133">
        <f t="shared" si="199"/>
        <v>1</v>
      </c>
      <c r="W464" s="133">
        <f>VLOOKUP(U464,Sheet1!$B$6:$C$45,2,FALSE)*V464</f>
        <v>0</v>
      </c>
      <c r="X464" s="141"/>
      <c r="Y464" s="121" t="s">
        <v>293</v>
      </c>
      <c r="Z464" s="146">
        <f>VLOOKUP(Takeoffs!Y464,Sheet1!$B$6:$C$124,2,FALSE)</f>
        <v>0</v>
      </c>
      <c r="AA464" s="146">
        <f t="shared" si="200"/>
        <v>0</v>
      </c>
      <c r="AB464" s="143">
        <f t="shared" si="201"/>
        <v>1</v>
      </c>
      <c r="AC464" s="133">
        <f t="shared" si="202"/>
        <v>1</v>
      </c>
      <c r="AD464" s="142">
        <v>1</v>
      </c>
      <c r="AE464" s="141"/>
      <c r="AF464" s="152" t="s">
        <v>420</v>
      </c>
      <c r="AG464" s="146">
        <f>VLOOKUP(Takeoffs!AF464,Sheet1!$B$6:$C$124,2,FALSE)</f>
        <v>0.33600000000000002</v>
      </c>
      <c r="AH464" s="146">
        <f t="shared" si="203"/>
        <v>0.33600000000000002</v>
      </c>
      <c r="AI464" s="143">
        <f t="shared" si="204"/>
        <v>1</v>
      </c>
      <c r="AJ464" s="133">
        <f t="shared" si="205"/>
        <v>1</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1</v>
      </c>
      <c r="T465" s="120"/>
      <c r="U465" s="121" t="s">
        <v>232</v>
      </c>
      <c r="V465" s="133">
        <f t="shared" si="199"/>
        <v>1</v>
      </c>
      <c r="W465" s="133">
        <f>VLOOKUP(U465,Sheet1!$B$6:$C$45,2,FALSE)*V465</f>
        <v>1</v>
      </c>
      <c r="X465" s="141"/>
      <c r="Y465" s="122" t="s">
        <v>281</v>
      </c>
      <c r="Z465" s="146">
        <f>VLOOKUP(Takeoffs!Y465,Sheet1!$B$6:$C$124,2,FALSE)</f>
        <v>109.25999999999999</v>
      </c>
      <c r="AA465" s="146">
        <f t="shared" si="200"/>
        <v>109.25999999999999</v>
      </c>
      <c r="AB465" s="143">
        <f t="shared" si="201"/>
        <v>1</v>
      </c>
      <c r="AC465" s="133">
        <f t="shared" si="202"/>
        <v>1</v>
      </c>
      <c r="AD465" s="142">
        <v>1</v>
      </c>
      <c r="AE465" s="141"/>
      <c r="AF465" s="121" t="s">
        <v>293</v>
      </c>
      <c r="AG465" s="146">
        <f>VLOOKUP(Takeoffs!AF465,Sheet1!$B$6:$C$124,2,FALSE)</f>
        <v>0</v>
      </c>
      <c r="AH465" s="146">
        <f t="shared" si="203"/>
        <v>0</v>
      </c>
      <c r="AI465" s="143">
        <f t="shared" si="204"/>
        <v>0</v>
      </c>
      <c r="AJ465" s="133">
        <f t="shared" si="205"/>
        <v>1</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544</v>
      </c>
      <c r="P466" s="121"/>
      <c r="Q466" s="121"/>
      <c r="R466" s="121"/>
      <c r="S466" s="133">
        <f>M452</f>
        <v>1</v>
      </c>
      <c r="T466" s="120"/>
      <c r="U466" s="121" t="s">
        <v>293</v>
      </c>
      <c r="V466" s="133">
        <f t="shared" si="199"/>
        <v>1</v>
      </c>
      <c r="W466" s="133">
        <f>VLOOKUP(U466,Sheet1!$B$6:$C$45,2,FALSE)*V466</f>
        <v>0</v>
      </c>
      <c r="X466" s="141"/>
      <c r="Y466" s="122" t="s">
        <v>328</v>
      </c>
      <c r="Z466" s="146">
        <f>VLOOKUP(Takeoffs!Y466,Sheet1!$B$6:$C$124,2,FALSE)</f>
        <v>29.04</v>
      </c>
      <c r="AA466" s="146">
        <f t="shared" si="200"/>
        <v>29.04</v>
      </c>
      <c r="AB466" s="143">
        <f t="shared" si="201"/>
        <v>1</v>
      </c>
      <c r="AC466" s="133">
        <f t="shared" si="202"/>
        <v>1</v>
      </c>
      <c r="AD466" s="142">
        <v>1</v>
      </c>
      <c r="AE466" s="141"/>
      <c r="AF466" s="121" t="s">
        <v>293</v>
      </c>
      <c r="AG466" s="146">
        <f>VLOOKUP(Takeoffs!AF466,Sheet1!$B$6:$C$124,2,FALSE)</f>
        <v>0</v>
      </c>
      <c r="AH466" s="146">
        <f t="shared" si="203"/>
        <v>0</v>
      </c>
      <c r="AI466" s="143">
        <f t="shared" si="204"/>
        <v>0</v>
      </c>
      <c r="AJ466" s="133">
        <f t="shared" si="205"/>
        <v>1</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339</v>
      </c>
      <c r="P467" s="121"/>
      <c r="Q467" s="121"/>
      <c r="R467" s="121"/>
      <c r="S467" s="133">
        <f>M452</f>
        <v>1</v>
      </c>
      <c r="T467" s="120"/>
      <c r="U467" s="121" t="s">
        <v>293</v>
      </c>
      <c r="V467" s="133">
        <f t="shared" si="199"/>
        <v>1</v>
      </c>
      <c r="W467" s="133">
        <f>VLOOKUP(U467,Sheet1!$B$6:$C$45,2,FALSE)*V467</f>
        <v>0</v>
      </c>
      <c r="X467" s="141"/>
      <c r="Y467" s="122" t="s">
        <v>280</v>
      </c>
      <c r="Z467" s="146">
        <f>VLOOKUP(Takeoffs!Y467,Sheet1!$B$6:$C$124,2,FALSE)</f>
        <v>19.2</v>
      </c>
      <c r="AA467" s="146">
        <f t="shared" si="200"/>
        <v>38.4</v>
      </c>
      <c r="AB467" s="143">
        <f t="shared" si="201"/>
        <v>2</v>
      </c>
      <c r="AC467" s="133">
        <f t="shared" si="202"/>
        <v>1</v>
      </c>
      <c r="AD467" s="142">
        <v>2</v>
      </c>
      <c r="AE467" s="141"/>
      <c r="AF467" s="121" t="s">
        <v>293</v>
      </c>
      <c r="AG467" s="146">
        <f>VLOOKUP(Takeoffs!AF467,Sheet1!$B$6:$C$124,2,FALSE)</f>
        <v>0</v>
      </c>
      <c r="AH467" s="146">
        <f t="shared" si="203"/>
        <v>0</v>
      </c>
      <c r="AI467" s="143">
        <f t="shared" si="204"/>
        <v>0</v>
      </c>
      <c r="AJ467" s="133">
        <f t="shared" si="205"/>
        <v>1</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1</v>
      </c>
      <c r="T468" s="120"/>
      <c r="U468" s="121" t="s">
        <v>293</v>
      </c>
      <c r="V468" s="133">
        <f t="shared" si="199"/>
        <v>1</v>
      </c>
      <c r="W468" s="133">
        <f>VLOOKUP(U468,Sheet1!$B$6:$C$45,2,FALSE)*V468</f>
        <v>0</v>
      </c>
      <c r="X468" s="141"/>
      <c r="Y468" s="121" t="s">
        <v>293</v>
      </c>
      <c r="Z468" s="146">
        <f>VLOOKUP(Takeoffs!Y468,Sheet1!$B$6:$C$124,2,FALSE)</f>
        <v>0</v>
      </c>
      <c r="AA468" s="146">
        <f t="shared" si="200"/>
        <v>0</v>
      </c>
      <c r="AB468" s="143">
        <f t="shared" si="201"/>
        <v>1</v>
      </c>
      <c r="AC468" s="133">
        <f t="shared" si="202"/>
        <v>1</v>
      </c>
      <c r="AD468" s="142">
        <v>1</v>
      </c>
      <c r="AE468" s="141"/>
      <c r="AF468" s="121" t="s">
        <v>293</v>
      </c>
      <c r="AG468" s="146">
        <f>VLOOKUP(Takeoffs!AF468,Sheet1!$B$6:$C$124,2,FALSE)</f>
        <v>0</v>
      </c>
      <c r="AH468" s="146">
        <f t="shared" si="203"/>
        <v>0</v>
      </c>
      <c r="AI468" s="143">
        <f t="shared" si="204"/>
        <v>0</v>
      </c>
      <c r="AJ468" s="133">
        <f t="shared" si="205"/>
        <v>1</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331</v>
      </c>
      <c r="P469" s="121"/>
      <c r="Q469" s="121"/>
      <c r="R469" s="121"/>
      <c r="S469" s="133">
        <f>M452</f>
        <v>1</v>
      </c>
      <c r="T469" s="120"/>
      <c r="U469" s="121" t="s">
        <v>293</v>
      </c>
      <c r="V469" s="133">
        <f t="shared" si="199"/>
        <v>1</v>
      </c>
      <c r="W469" s="133">
        <f>VLOOKUP(U469,Sheet1!$B$6:$C$45,2,FALSE)*V469</f>
        <v>0</v>
      </c>
      <c r="X469" s="141"/>
      <c r="Y469" s="122" t="s">
        <v>277</v>
      </c>
      <c r="Z469" s="146">
        <f>VLOOKUP(Takeoffs!Y469,Sheet1!$B$6:$C$124,2,FALSE)</f>
        <v>69.540000000000006</v>
      </c>
      <c r="AA469" s="146">
        <f t="shared" si="200"/>
        <v>69.540000000000006</v>
      </c>
      <c r="AB469" s="143">
        <f t="shared" si="201"/>
        <v>1</v>
      </c>
      <c r="AC469" s="133">
        <f t="shared" si="202"/>
        <v>1</v>
      </c>
      <c r="AD469" s="142">
        <v>1</v>
      </c>
      <c r="AE469" s="141"/>
      <c r="AF469" s="121" t="s">
        <v>293</v>
      </c>
      <c r="AG469" s="146">
        <f>VLOOKUP(Takeoffs!AF469,Sheet1!$B$6:$C$124,2,FALSE)</f>
        <v>0</v>
      </c>
      <c r="AH469" s="146">
        <f t="shared" si="203"/>
        <v>0</v>
      </c>
      <c r="AI469" s="143">
        <f t="shared" si="204"/>
        <v>0</v>
      </c>
      <c r="AJ469" s="133">
        <f t="shared" si="205"/>
        <v>1</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1</v>
      </c>
      <c r="T470" s="120"/>
      <c r="U470" s="121" t="s">
        <v>293</v>
      </c>
      <c r="V470" s="133">
        <f t="shared" si="199"/>
        <v>1</v>
      </c>
      <c r="W470" s="133">
        <f>VLOOKUP(U470,Sheet1!$B$6:$C$45,2,FALSE)*V470</f>
        <v>0</v>
      </c>
      <c r="X470" s="141"/>
      <c r="Y470" s="121" t="s">
        <v>293</v>
      </c>
      <c r="Z470" s="146">
        <f>VLOOKUP(Takeoffs!Y470,Sheet1!$B$6:$C$124,2,FALSE)</f>
        <v>0</v>
      </c>
      <c r="AA470" s="146">
        <f t="shared" si="200"/>
        <v>0</v>
      </c>
      <c r="AB470" s="143">
        <f t="shared" si="201"/>
        <v>1</v>
      </c>
      <c r="AC470" s="133">
        <f t="shared" si="202"/>
        <v>1</v>
      </c>
      <c r="AD470" s="142">
        <v>1</v>
      </c>
      <c r="AE470" s="141"/>
      <c r="AF470" s="121" t="s">
        <v>293</v>
      </c>
      <c r="AG470" s="146">
        <f>VLOOKUP(Takeoffs!AF470,Sheet1!$B$6:$C$124,2,FALSE)</f>
        <v>0</v>
      </c>
      <c r="AH470" s="146">
        <f t="shared" si="203"/>
        <v>0</v>
      </c>
      <c r="AI470" s="143">
        <f t="shared" si="204"/>
        <v>0</v>
      </c>
      <c r="AJ470" s="133">
        <f t="shared" si="205"/>
        <v>1</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409</v>
      </c>
      <c r="P471" s="121"/>
      <c r="Q471" s="121"/>
      <c r="R471" s="121"/>
      <c r="S471" s="133">
        <f>M452</f>
        <v>1</v>
      </c>
      <c r="T471" s="120"/>
      <c r="U471" s="121" t="s">
        <v>293</v>
      </c>
      <c r="V471" s="133">
        <f t="shared" si="199"/>
        <v>1</v>
      </c>
      <c r="W471" s="133">
        <f>VLOOKUP(U471,Sheet1!$B$6:$C$45,2,FALSE)*V471</f>
        <v>0</v>
      </c>
      <c r="X471" s="141"/>
      <c r="Y471" s="121" t="s">
        <v>274</v>
      </c>
      <c r="Z471" s="146">
        <f>VLOOKUP(Takeoffs!Y471,Sheet1!$B$6:$C$124,2,FALSE)</f>
        <v>360</v>
      </c>
      <c r="AA471" s="146">
        <f t="shared" si="200"/>
        <v>360</v>
      </c>
      <c r="AB471" s="143">
        <f t="shared" si="201"/>
        <v>1</v>
      </c>
      <c r="AC471" s="133">
        <f t="shared" si="202"/>
        <v>1</v>
      </c>
      <c r="AD471" s="142">
        <v>1</v>
      </c>
      <c r="AE471" s="141"/>
      <c r="AF471" s="121" t="s">
        <v>293</v>
      </c>
      <c r="AG471" s="146">
        <f>VLOOKUP(Takeoffs!AF471,Sheet1!$B$6:$C$124,2,FALSE)</f>
        <v>0</v>
      </c>
      <c r="AH471" s="146">
        <f t="shared" si="203"/>
        <v>0</v>
      </c>
      <c r="AI471" s="143">
        <f t="shared" si="204"/>
        <v>0</v>
      </c>
      <c r="AJ471" s="133">
        <f t="shared" si="205"/>
        <v>1</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410</v>
      </c>
      <c r="P472" s="121"/>
      <c r="Q472" s="121"/>
      <c r="R472" s="121"/>
      <c r="S472" s="133">
        <f>M452</f>
        <v>1</v>
      </c>
      <c r="T472" s="120"/>
      <c r="U472" s="121" t="s">
        <v>364</v>
      </c>
      <c r="V472" s="133">
        <f t="shared" si="199"/>
        <v>1</v>
      </c>
      <c r="W472" s="133">
        <f>VLOOKUP(U472,Sheet1!$B$6:$C$45,2,FALSE)*V472</f>
        <v>1</v>
      </c>
      <c r="X472" s="141"/>
      <c r="Y472" s="121" t="s">
        <v>293</v>
      </c>
      <c r="Z472" s="146">
        <f>VLOOKUP(Takeoffs!Y472,Sheet1!$B$6:$C$124,2,FALSE)</f>
        <v>0</v>
      </c>
      <c r="AA472" s="146">
        <f t="shared" si="200"/>
        <v>0</v>
      </c>
      <c r="AB472" s="143">
        <f t="shared" si="201"/>
        <v>1</v>
      </c>
      <c r="AC472" s="133">
        <f t="shared" si="202"/>
        <v>1</v>
      </c>
      <c r="AD472" s="142">
        <v>1</v>
      </c>
      <c r="AE472" s="141"/>
      <c r="AF472" s="121" t="s">
        <v>293</v>
      </c>
      <c r="AG472" s="146">
        <f>VLOOKUP(Takeoffs!AF472,Sheet1!$B$6:$C$124,2,FALSE)</f>
        <v>0</v>
      </c>
      <c r="AH472" s="146">
        <f t="shared" si="203"/>
        <v>0</v>
      </c>
      <c r="AI472" s="143">
        <f t="shared" si="204"/>
        <v>0</v>
      </c>
      <c r="AJ472" s="133">
        <f t="shared" si="205"/>
        <v>1</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379</v>
      </c>
      <c r="L473" s="128" t="s">
        <v>380</v>
      </c>
      <c r="N473" s="129"/>
      <c r="O473" s="130" t="s">
        <v>359</v>
      </c>
      <c r="P473" s="131">
        <f>V473+AA473+AH473</f>
        <v>936.71600000000001</v>
      </c>
      <c r="Q473" s="131"/>
      <c r="R473" s="131"/>
      <c r="S473" s="130"/>
      <c r="T473" s="127"/>
      <c r="U473" s="126" t="s">
        <v>353</v>
      </c>
      <c r="V473" s="127">
        <f>W473*80</f>
        <v>320</v>
      </c>
      <c r="W473" s="147">
        <f>SUM(W452:W472)</f>
        <v>4</v>
      </c>
      <c r="X473" s="148"/>
      <c r="Y473" s="127" t="s">
        <v>354</v>
      </c>
      <c r="Z473" s="116"/>
      <c r="AA473" s="116">
        <f>SUM(AA452:AA472)</f>
        <v>616.38</v>
      </c>
      <c r="AB473" s="149"/>
      <c r="AC473" s="149"/>
      <c r="AD473" s="149"/>
      <c r="AE473" s="149"/>
      <c r="AF473" s="127" t="s">
        <v>358</v>
      </c>
      <c r="AG473" s="116"/>
      <c r="AH473" s="116">
        <f>SUM(AH452:AH472)</f>
        <v>0.33600000000000002</v>
      </c>
      <c r="AI473" s="149"/>
      <c r="AJ473" s="149"/>
      <c r="AK473" s="149"/>
      <c r="AL473" s="149"/>
      <c r="AM473" s="150">
        <f>P473</f>
        <v>936.71600000000001</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494</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v>1</v>
      </c>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one (1)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936.71600000000001</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369</v>
      </c>
      <c r="N474" s="160" t="str">
        <f>N452</f>
        <v>general fan with interlock - from MSSB power supply ( field wiring outside MSSB by customer)</v>
      </c>
      <c r="O474" s="160" t="s">
        <v>367</v>
      </c>
      <c r="P474" s="82">
        <f>P473/M452</f>
        <v>936.71600000000001</v>
      </c>
      <c r="Q474" s="161"/>
      <c r="R474" s="161"/>
      <c r="S474" s="160"/>
      <c r="T474" s="161"/>
      <c r="U474" s="327" t="s">
        <v>368</v>
      </c>
      <c r="V474" s="327"/>
      <c r="W474" s="162">
        <f>W473/M452</f>
        <v>4</v>
      </c>
      <c r="X474" s="163"/>
      <c r="Y474" s="325" t="s">
        <v>367</v>
      </c>
      <c r="Z474" s="325"/>
      <c r="AA474" s="164">
        <f>AA473/M452</f>
        <v>616.38</v>
      </c>
      <c r="AB474" s="161"/>
      <c r="AC474" s="161"/>
      <c r="AD474" s="161"/>
      <c r="AE474" s="161"/>
      <c r="AF474" s="325" t="s">
        <v>367</v>
      </c>
      <c r="AG474" s="325"/>
      <c r="AH474" s="164">
        <f>AH473/M452</f>
        <v>0.33600000000000002</v>
      </c>
      <c r="AI474" s="161"/>
      <c r="AJ474" s="161"/>
      <c r="AK474" s="161"/>
      <c r="AL474" s="247"/>
      <c r="AM474" s="257"/>
      <c r="AN474" s="230">
        <f>K474*1.25</f>
        <v>1170.895</v>
      </c>
      <c r="AO474" s="286"/>
      <c r="AP474" s="284">
        <f t="shared" si="209"/>
        <v>936.71600000000001</v>
      </c>
      <c r="AQ474" s="281">
        <f t="shared" si="210"/>
        <v>320</v>
      </c>
      <c r="AR474" s="284">
        <f t="shared" si="211"/>
        <v>616.38</v>
      </c>
      <c r="AS474" s="281">
        <f t="shared" si="212"/>
        <v>0.33600000000000002</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454</v>
      </c>
      <c r="M475" s="116" t="s">
        <v>107</v>
      </c>
      <c r="N475" s="116" t="s">
        <v>108</v>
      </c>
      <c r="O475" s="170" t="s">
        <v>388</v>
      </c>
      <c r="P475" s="326" t="s">
        <v>377</v>
      </c>
      <c r="Q475" s="326"/>
      <c r="R475" s="101" t="s">
        <v>454</v>
      </c>
      <c r="S475" s="116" t="s">
        <v>0</v>
      </c>
      <c r="T475" s="118"/>
      <c r="U475" s="116" t="s">
        <v>288</v>
      </c>
      <c r="V475" s="116" t="s">
        <v>289</v>
      </c>
      <c r="W475" s="116" t="s">
        <v>292</v>
      </c>
      <c r="X475" s="140"/>
      <c r="Y475" s="116" t="s">
        <v>290</v>
      </c>
      <c r="Z475" s="116" t="s">
        <v>356</v>
      </c>
      <c r="AA475" s="116" t="s">
        <v>357</v>
      </c>
      <c r="AB475" s="116" t="s">
        <v>319</v>
      </c>
      <c r="AC475" s="116" t="s">
        <v>320</v>
      </c>
      <c r="AD475" s="116" t="s">
        <v>318</v>
      </c>
      <c r="AE475" s="140"/>
      <c r="AF475" s="116" t="s">
        <v>294</v>
      </c>
      <c r="AG475" s="116" t="s">
        <v>356</v>
      </c>
      <c r="AH475" s="116" t="s">
        <v>357</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one</v>
      </c>
      <c r="M476" s="121">
        <f>I498</f>
        <v>1</v>
      </c>
      <c r="N476" s="132" t="s">
        <v>701</v>
      </c>
      <c r="O476" s="121" t="s">
        <v>349</v>
      </c>
      <c r="P476" s="169" t="s">
        <v>381</v>
      </c>
      <c r="Q476" s="169" t="s">
        <v>377</v>
      </c>
      <c r="R476" s="169"/>
      <c r="S476" s="133">
        <f>M476</f>
        <v>1</v>
      </c>
      <c r="T476" s="119"/>
      <c r="U476" s="121" t="s">
        <v>293</v>
      </c>
      <c r="V476" s="133">
        <f>S476</f>
        <v>1</v>
      </c>
      <c r="W476" s="133">
        <f>VLOOKUP(U476,Sheet1!$B$6:$C$45,2,FALSE)*V476</f>
        <v>0</v>
      </c>
      <c r="X476" s="141"/>
      <c r="Y476" s="121" t="s">
        <v>293</v>
      </c>
      <c r="Z476" s="146">
        <f>VLOOKUP(Takeoffs!Y476,Sheet1!$B$6:$C$124,2,FALSE)</f>
        <v>0</v>
      </c>
      <c r="AA476" s="146">
        <f>Z476*AB476</f>
        <v>0</v>
      </c>
      <c r="AB476" s="143">
        <f>AD476*AC476</f>
        <v>1</v>
      </c>
      <c r="AC476" s="133">
        <f>S476</f>
        <v>1</v>
      </c>
      <c r="AD476" s="142">
        <v>1</v>
      </c>
      <c r="AE476" s="141"/>
      <c r="AF476" s="121" t="s">
        <v>293</v>
      </c>
      <c r="AG476" s="146">
        <f>VLOOKUP(Takeoffs!AF476,Sheet1!$B$6:$C$124,2,FALSE)</f>
        <v>0</v>
      </c>
      <c r="AH476" s="146">
        <f>AG476*AI476</f>
        <v>0</v>
      </c>
      <c r="AI476" s="143">
        <f>AK476*AJ476</f>
        <v>0</v>
      </c>
      <c r="AJ476" s="133">
        <f>S476</f>
        <v>1</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342</v>
      </c>
      <c r="P477" s="121"/>
      <c r="Q477" s="66"/>
      <c r="R477" s="121"/>
      <c r="S477" s="133">
        <f>M476</f>
        <v>1</v>
      </c>
      <c r="T477" s="120"/>
      <c r="U477" s="121" t="s">
        <v>233</v>
      </c>
      <c r="V477" s="133">
        <f t="shared" ref="V477:V496" si="214">S477</f>
        <v>1</v>
      </c>
      <c r="W477" s="133">
        <f>VLOOKUP(U477,Sheet1!$B$6:$C$45,2,FALSE)*V477</f>
        <v>1</v>
      </c>
      <c r="X477" s="141"/>
      <c r="Y477" s="121" t="s">
        <v>293</v>
      </c>
      <c r="Z477" s="146">
        <f>VLOOKUP(Takeoffs!Y477,Sheet1!$B$6:$C$124,2,FALSE)</f>
        <v>0</v>
      </c>
      <c r="AA477" s="146">
        <f t="shared" ref="AA477:AA496" si="215">Z477*AB477</f>
        <v>0</v>
      </c>
      <c r="AB477" s="143">
        <f t="shared" ref="AB477:AB496" si="216">AD477*AC477</f>
        <v>1</v>
      </c>
      <c r="AC477" s="133">
        <f t="shared" ref="AC477:AC496" si="217">S477</f>
        <v>1</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1</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443</v>
      </c>
      <c r="P478" s="121" t="s">
        <v>542</v>
      </c>
      <c r="Q478" s="66" t="s">
        <v>690</v>
      </c>
      <c r="R478" s="121"/>
      <c r="S478" s="133">
        <f>M476</f>
        <v>1</v>
      </c>
      <c r="T478" s="120"/>
      <c r="U478" s="121" t="s">
        <v>293</v>
      </c>
      <c r="V478" s="133">
        <f t="shared" si="214"/>
        <v>1</v>
      </c>
      <c r="W478" s="133">
        <f>VLOOKUP(U478,Sheet1!$B$6:$C$45,2,FALSE)*V478</f>
        <v>0</v>
      </c>
      <c r="X478" s="141"/>
      <c r="Y478" s="121" t="s">
        <v>293</v>
      </c>
      <c r="Z478" s="146">
        <f>VLOOKUP(Takeoffs!Y478,Sheet1!$B$6:$C$124,2,FALSE)</f>
        <v>0</v>
      </c>
      <c r="AA478" s="146">
        <f t="shared" si="215"/>
        <v>0</v>
      </c>
      <c r="AB478" s="143">
        <f t="shared" si="216"/>
        <v>1</v>
      </c>
      <c r="AC478" s="133">
        <f t="shared" si="217"/>
        <v>1</v>
      </c>
      <c r="AD478" s="142">
        <v>1</v>
      </c>
      <c r="AE478" s="141"/>
      <c r="AF478" s="122" t="s">
        <v>268</v>
      </c>
      <c r="AG478" s="146">
        <f>VLOOKUP(Takeoffs!AF478,Sheet1!$B$6:$C$124,2,FALSE)</f>
        <v>1.02</v>
      </c>
      <c r="AH478" s="146">
        <f t="shared" si="218"/>
        <v>5.0999999999999996</v>
      </c>
      <c r="AI478" s="143">
        <f t="shared" si="219"/>
        <v>5</v>
      </c>
      <c r="AJ478" s="133">
        <f t="shared" si="220"/>
        <v>1</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408</v>
      </c>
      <c r="P479" s="121"/>
      <c r="Q479" s="66"/>
      <c r="R479" s="121"/>
      <c r="S479" s="133">
        <f>M476</f>
        <v>1</v>
      </c>
      <c r="T479" s="120"/>
      <c r="U479" s="121" t="s">
        <v>293</v>
      </c>
      <c r="V479" s="133">
        <f t="shared" si="214"/>
        <v>1</v>
      </c>
      <c r="W479" s="133">
        <f>VLOOKUP(U479,Sheet1!$B$6:$C$45,2,FALSE)*V479</f>
        <v>0</v>
      </c>
      <c r="X479" s="141"/>
      <c r="Y479" s="122" t="s">
        <v>247</v>
      </c>
      <c r="Z479" s="146">
        <f>VLOOKUP(Takeoffs!Y479,Sheet1!$B$6:$C$124,2,FALSE)</f>
        <v>23.76</v>
      </c>
      <c r="AA479" s="146">
        <f t="shared" si="215"/>
        <v>23.76</v>
      </c>
      <c r="AB479" s="143">
        <f t="shared" si="216"/>
        <v>1</v>
      </c>
      <c r="AC479" s="133">
        <f t="shared" si="217"/>
        <v>1</v>
      </c>
      <c r="AD479" s="142">
        <v>1</v>
      </c>
      <c r="AE479" s="141"/>
      <c r="AF479" s="121" t="s">
        <v>293</v>
      </c>
      <c r="AG479" s="146">
        <f>VLOOKUP(Takeoffs!AF479,Sheet1!$B$6:$C$124,2,FALSE)</f>
        <v>0</v>
      </c>
      <c r="AH479" s="146">
        <f t="shared" si="218"/>
        <v>0</v>
      </c>
      <c r="AI479" s="143">
        <f t="shared" si="219"/>
        <v>0</v>
      </c>
      <c r="AJ479" s="133">
        <f t="shared" si="220"/>
        <v>1</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1</v>
      </c>
      <c r="T480" s="120"/>
      <c r="U480" s="121" t="s">
        <v>293</v>
      </c>
      <c r="V480" s="133">
        <f t="shared" si="214"/>
        <v>1</v>
      </c>
      <c r="W480" s="133">
        <f>VLOOKUP(U480,Sheet1!$B$6:$C$45,2,FALSE)*V480</f>
        <v>0</v>
      </c>
      <c r="X480" s="141"/>
      <c r="Y480" s="121" t="s">
        <v>293</v>
      </c>
      <c r="Z480" s="146">
        <f>VLOOKUP(Takeoffs!Y480,Sheet1!$B$6:$C$124,2,FALSE)</f>
        <v>0</v>
      </c>
      <c r="AA480" s="146">
        <f t="shared" si="215"/>
        <v>0</v>
      </c>
      <c r="AB480" s="143">
        <f t="shared" si="216"/>
        <v>1</v>
      </c>
      <c r="AC480" s="133">
        <f t="shared" si="217"/>
        <v>1</v>
      </c>
      <c r="AD480" s="142">
        <v>1</v>
      </c>
      <c r="AE480" s="141"/>
      <c r="AF480" s="121" t="s">
        <v>293</v>
      </c>
      <c r="AG480" s="146">
        <f>VLOOKUP(Takeoffs!AF480,Sheet1!$B$6:$C$124,2,FALSE)</f>
        <v>0</v>
      </c>
      <c r="AH480" s="146">
        <f t="shared" si="218"/>
        <v>0</v>
      </c>
      <c r="AI480" s="143">
        <f t="shared" si="219"/>
        <v>0</v>
      </c>
      <c r="AJ480" s="133">
        <f t="shared" si="220"/>
        <v>1</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1</v>
      </c>
      <c r="T481" s="120"/>
      <c r="U481" s="121" t="s">
        <v>293</v>
      </c>
      <c r="V481" s="133">
        <f t="shared" si="214"/>
        <v>1</v>
      </c>
      <c r="W481" s="133">
        <f>VLOOKUP(U481,Sheet1!$B$6:$C$45,2,FALSE)*V481</f>
        <v>0</v>
      </c>
      <c r="X481" s="141"/>
      <c r="Y481" s="121" t="s">
        <v>293</v>
      </c>
      <c r="Z481" s="146">
        <f>VLOOKUP(Takeoffs!Y481,Sheet1!$B$6:$C$124,2,FALSE)</f>
        <v>0</v>
      </c>
      <c r="AA481" s="146">
        <f t="shared" si="215"/>
        <v>0</v>
      </c>
      <c r="AB481" s="143">
        <f t="shared" si="216"/>
        <v>1</v>
      </c>
      <c r="AC481" s="133">
        <f t="shared" si="217"/>
        <v>1</v>
      </c>
      <c r="AD481" s="142">
        <v>1</v>
      </c>
      <c r="AE481" s="141"/>
      <c r="AF481" s="121" t="s">
        <v>293</v>
      </c>
      <c r="AG481" s="146">
        <f>VLOOKUP(Takeoffs!AF481,Sheet1!$B$6:$C$124,2,FALSE)</f>
        <v>0</v>
      </c>
      <c r="AH481" s="146">
        <f t="shared" si="218"/>
        <v>0</v>
      </c>
      <c r="AI481" s="143">
        <f t="shared" si="219"/>
        <v>0</v>
      </c>
      <c r="AJ481" s="133">
        <f t="shared" si="220"/>
        <v>1</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1</v>
      </c>
      <c r="T482" s="120"/>
      <c r="U482" s="121" t="s">
        <v>293</v>
      </c>
      <c r="V482" s="133">
        <f t="shared" si="214"/>
        <v>1</v>
      </c>
      <c r="W482" s="133">
        <f>VLOOKUP(U482,Sheet1!$B$6:$C$45,2,FALSE)*V482</f>
        <v>0</v>
      </c>
      <c r="X482" s="141"/>
      <c r="Y482" s="121" t="s">
        <v>293</v>
      </c>
      <c r="Z482" s="146">
        <f>VLOOKUP(Takeoffs!Y482,Sheet1!$B$6:$C$124,2,FALSE)</f>
        <v>0</v>
      </c>
      <c r="AA482" s="146">
        <f t="shared" si="215"/>
        <v>0</v>
      </c>
      <c r="AB482" s="143">
        <f t="shared" si="216"/>
        <v>1</v>
      </c>
      <c r="AC482" s="133">
        <f t="shared" si="217"/>
        <v>1</v>
      </c>
      <c r="AD482" s="142">
        <v>1</v>
      </c>
      <c r="AE482" s="141"/>
      <c r="AF482" s="121" t="s">
        <v>293</v>
      </c>
      <c r="AG482" s="146">
        <f>VLOOKUP(Takeoffs!AF482,Sheet1!$B$6:$C$124,2,FALSE)</f>
        <v>0</v>
      </c>
      <c r="AH482" s="146">
        <f t="shared" si="218"/>
        <v>0</v>
      </c>
      <c r="AI482" s="143">
        <f t="shared" si="219"/>
        <v>0</v>
      </c>
      <c r="AJ482" s="133">
        <f t="shared" si="220"/>
        <v>1</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1</v>
      </c>
      <c r="T483" s="120"/>
      <c r="U483" s="121" t="s">
        <v>293</v>
      </c>
      <c r="V483" s="133">
        <f t="shared" si="214"/>
        <v>1</v>
      </c>
      <c r="W483" s="133">
        <f>VLOOKUP(U483,Sheet1!$B$6:$C$45,2,FALSE)*V483</f>
        <v>0</v>
      </c>
      <c r="X483" s="141"/>
      <c r="Y483" s="121" t="s">
        <v>293</v>
      </c>
      <c r="Z483" s="146">
        <f>VLOOKUP(Takeoffs!Y483,Sheet1!$B$6:$C$124,2,FALSE)</f>
        <v>0</v>
      </c>
      <c r="AA483" s="146">
        <f t="shared" si="215"/>
        <v>0</v>
      </c>
      <c r="AB483" s="143">
        <f t="shared" si="216"/>
        <v>1</v>
      </c>
      <c r="AC483" s="133">
        <f t="shared" si="217"/>
        <v>1</v>
      </c>
      <c r="AD483" s="142">
        <v>1</v>
      </c>
      <c r="AE483" s="141"/>
      <c r="AF483" s="121" t="s">
        <v>293</v>
      </c>
      <c r="AG483" s="146">
        <f>VLOOKUP(Takeoffs!AF483,Sheet1!$B$6:$C$124,2,FALSE)</f>
        <v>0</v>
      </c>
      <c r="AH483" s="146">
        <f t="shared" si="218"/>
        <v>0</v>
      </c>
      <c r="AI483" s="143">
        <f t="shared" si="219"/>
        <v>0</v>
      </c>
      <c r="AJ483" s="133">
        <f t="shared" si="220"/>
        <v>1</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330</v>
      </c>
      <c r="P484" s="121"/>
      <c r="Q484" s="66"/>
      <c r="R484" s="121"/>
      <c r="S484" s="133">
        <f>M476</f>
        <v>1</v>
      </c>
      <c r="T484" s="120"/>
      <c r="U484" s="121" t="s">
        <v>293</v>
      </c>
      <c r="V484" s="133">
        <f t="shared" si="214"/>
        <v>1</v>
      </c>
      <c r="W484" s="133">
        <f>VLOOKUP(U484,Sheet1!$B$6:$C$45,2,FALSE)*V484</f>
        <v>0</v>
      </c>
      <c r="X484" s="141"/>
      <c r="Y484" s="121" t="s">
        <v>293</v>
      </c>
      <c r="Z484" s="146">
        <f>VLOOKUP(Takeoffs!Y484,Sheet1!$B$6:$C$124,2,FALSE)</f>
        <v>0</v>
      </c>
      <c r="AA484" s="146">
        <f t="shared" si="215"/>
        <v>0</v>
      </c>
      <c r="AB484" s="143">
        <f t="shared" si="216"/>
        <v>1</v>
      </c>
      <c r="AC484" s="133">
        <f t="shared" si="217"/>
        <v>1</v>
      </c>
      <c r="AD484" s="142">
        <v>1</v>
      </c>
      <c r="AE484" s="141"/>
      <c r="AF484" s="121" t="s">
        <v>293</v>
      </c>
      <c r="AG484" s="146">
        <f>VLOOKUP(Takeoffs!AF484,Sheet1!$B$6:$C$124,2,FALSE)</f>
        <v>0</v>
      </c>
      <c r="AH484" s="146">
        <f t="shared" si="218"/>
        <v>0</v>
      </c>
      <c r="AI484" s="143">
        <f t="shared" si="219"/>
        <v>0</v>
      </c>
      <c r="AJ484" s="133">
        <f t="shared" si="220"/>
        <v>1</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1</v>
      </c>
      <c r="T485" s="120"/>
      <c r="U485" s="121" t="s">
        <v>293</v>
      </c>
      <c r="V485" s="133">
        <f t="shared" si="214"/>
        <v>1</v>
      </c>
      <c r="W485" s="133">
        <f>VLOOKUP(U485,Sheet1!$B$6:$C$45,2,FALSE)*V485</f>
        <v>0</v>
      </c>
      <c r="X485" s="141"/>
      <c r="Y485" s="121" t="s">
        <v>293</v>
      </c>
      <c r="Z485" s="146">
        <f>VLOOKUP(Takeoffs!Y485,Sheet1!$B$6:$C$124,2,FALSE)</f>
        <v>0</v>
      </c>
      <c r="AA485" s="146">
        <f t="shared" si="215"/>
        <v>0</v>
      </c>
      <c r="AB485" s="143">
        <f t="shared" si="216"/>
        <v>1</v>
      </c>
      <c r="AC485" s="133">
        <f t="shared" si="217"/>
        <v>1</v>
      </c>
      <c r="AD485" s="142">
        <v>1</v>
      </c>
      <c r="AE485" s="141"/>
      <c r="AF485" s="121" t="s">
        <v>293</v>
      </c>
      <c r="AG485" s="146">
        <f>VLOOKUP(Takeoffs!AF485,Sheet1!$B$6:$C$124,2,FALSE)</f>
        <v>0</v>
      </c>
      <c r="AH485" s="146">
        <f t="shared" si="218"/>
        <v>0</v>
      </c>
      <c r="AI485" s="143">
        <f t="shared" si="219"/>
        <v>0</v>
      </c>
      <c r="AJ485" s="133">
        <f t="shared" si="220"/>
        <v>1</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1</v>
      </c>
      <c r="T486" s="120"/>
      <c r="U486" s="121" t="s">
        <v>293</v>
      </c>
      <c r="V486" s="133">
        <f t="shared" si="214"/>
        <v>1</v>
      </c>
      <c r="W486" s="133">
        <f>VLOOKUP(U486,Sheet1!$B$6:$C$45,2,FALSE)*V486</f>
        <v>0</v>
      </c>
      <c r="X486" s="141"/>
      <c r="Y486" s="121" t="s">
        <v>293</v>
      </c>
      <c r="Z486" s="146">
        <f>VLOOKUP(Takeoffs!Y486,Sheet1!$B$6:$C$124,2,FALSE)</f>
        <v>0</v>
      </c>
      <c r="AA486" s="146">
        <f t="shared" si="215"/>
        <v>0</v>
      </c>
      <c r="AB486" s="143">
        <f t="shared" si="216"/>
        <v>1</v>
      </c>
      <c r="AC486" s="133">
        <f t="shared" si="217"/>
        <v>1</v>
      </c>
      <c r="AD486" s="142">
        <v>1</v>
      </c>
      <c r="AE486" s="141"/>
      <c r="AF486" s="121" t="s">
        <v>293</v>
      </c>
      <c r="AG486" s="146">
        <f>VLOOKUP(Takeoffs!AF486,Sheet1!$B$6:$C$124,2,FALSE)</f>
        <v>0</v>
      </c>
      <c r="AH486" s="146">
        <f t="shared" si="218"/>
        <v>0</v>
      </c>
      <c r="AI486" s="143">
        <f t="shared" si="219"/>
        <v>0</v>
      </c>
      <c r="AJ486" s="133">
        <f t="shared" si="220"/>
        <v>1</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1</v>
      </c>
      <c r="T487" s="120"/>
      <c r="U487" s="121" t="s">
        <v>293</v>
      </c>
      <c r="V487" s="133">
        <f t="shared" si="214"/>
        <v>1</v>
      </c>
      <c r="W487" s="133">
        <f>VLOOKUP(U487,Sheet1!$B$6:$C$45,2,FALSE)*V487</f>
        <v>0</v>
      </c>
      <c r="X487" s="141"/>
      <c r="Y487" s="121" t="s">
        <v>293</v>
      </c>
      <c r="Z487" s="146">
        <f>VLOOKUP(Takeoffs!Y487,Sheet1!$B$6:$C$124,2,FALSE)</f>
        <v>0</v>
      </c>
      <c r="AA487" s="146">
        <f t="shared" si="215"/>
        <v>0</v>
      </c>
      <c r="AB487" s="143">
        <f t="shared" si="216"/>
        <v>1</v>
      </c>
      <c r="AC487" s="133">
        <f t="shared" si="217"/>
        <v>1</v>
      </c>
      <c r="AD487" s="142">
        <v>1</v>
      </c>
      <c r="AE487" s="141"/>
      <c r="AF487" s="121" t="s">
        <v>293</v>
      </c>
      <c r="AG487" s="146">
        <f>VLOOKUP(Takeoffs!AF487,Sheet1!$B$6:$C$124,2,FALSE)</f>
        <v>0</v>
      </c>
      <c r="AH487" s="146">
        <f t="shared" si="218"/>
        <v>0</v>
      </c>
      <c r="AI487" s="143">
        <f t="shared" si="219"/>
        <v>0</v>
      </c>
      <c r="AJ487" s="133">
        <f t="shared" si="220"/>
        <v>1</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1</v>
      </c>
      <c r="T488" s="120"/>
      <c r="U488" s="121" t="s">
        <v>293</v>
      </c>
      <c r="V488" s="133">
        <f t="shared" si="214"/>
        <v>1</v>
      </c>
      <c r="W488" s="133">
        <f>VLOOKUP(U488,Sheet1!$B$6:$C$45,2,FALSE)*V488</f>
        <v>0</v>
      </c>
      <c r="X488" s="141"/>
      <c r="Y488" s="121" t="s">
        <v>293</v>
      </c>
      <c r="Z488" s="146">
        <f>VLOOKUP(Takeoffs!Y488,Sheet1!$B$6:$C$124,2,FALSE)</f>
        <v>0</v>
      </c>
      <c r="AA488" s="146">
        <f t="shared" si="215"/>
        <v>0</v>
      </c>
      <c r="AB488" s="143">
        <f t="shared" si="216"/>
        <v>1</v>
      </c>
      <c r="AC488" s="133">
        <f t="shared" si="217"/>
        <v>1</v>
      </c>
      <c r="AD488" s="142">
        <v>1</v>
      </c>
      <c r="AE488" s="141"/>
      <c r="AF488" s="152" t="s">
        <v>420</v>
      </c>
      <c r="AG488" s="146">
        <f>VLOOKUP(Takeoffs!AF488,Sheet1!$B$6:$C$124,2,FALSE)</f>
        <v>0.33600000000000002</v>
      </c>
      <c r="AH488" s="146">
        <f t="shared" si="218"/>
        <v>0.33600000000000002</v>
      </c>
      <c r="AI488" s="143">
        <f t="shared" si="219"/>
        <v>1</v>
      </c>
      <c r="AJ488" s="133">
        <f t="shared" si="220"/>
        <v>1</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1</v>
      </c>
      <c r="T489" s="120"/>
      <c r="U489" s="121" t="s">
        <v>232</v>
      </c>
      <c r="V489" s="133">
        <f t="shared" si="214"/>
        <v>1</v>
      </c>
      <c r="W489" s="133">
        <f>VLOOKUP(U489,Sheet1!$B$6:$C$45,2,FALSE)*V489</f>
        <v>1</v>
      </c>
      <c r="X489" s="141"/>
      <c r="Y489" s="135" t="s">
        <v>424</v>
      </c>
      <c r="Z489" s="146">
        <f>VLOOKUP(Takeoffs!Y489,Sheet1!$B$6:$C$124,2,FALSE)</f>
        <v>23.4</v>
      </c>
      <c r="AA489" s="146">
        <f t="shared" si="215"/>
        <v>23.4</v>
      </c>
      <c r="AB489" s="143">
        <f t="shared" si="216"/>
        <v>1</v>
      </c>
      <c r="AC489" s="133">
        <f t="shared" si="217"/>
        <v>1</v>
      </c>
      <c r="AD489" s="142">
        <v>1</v>
      </c>
      <c r="AE489" s="141"/>
      <c r="AF489" s="121" t="s">
        <v>293</v>
      </c>
      <c r="AG489" s="146">
        <f>VLOOKUP(Takeoffs!AF489,Sheet1!$B$6:$C$124,2,FALSE)</f>
        <v>0</v>
      </c>
      <c r="AH489" s="146">
        <f t="shared" si="218"/>
        <v>0</v>
      </c>
      <c r="AI489" s="143">
        <f t="shared" si="219"/>
        <v>0</v>
      </c>
      <c r="AJ489" s="133">
        <f t="shared" si="220"/>
        <v>1</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699</v>
      </c>
      <c r="P490" s="121"/>
      <c r="Q490" s="66"/>
      <c r="R490" s="121"/>
      <c r="S490" s="133">
        <f>M476</f>
        <v>1</v>
      </c>
      <c r="T490" s="120"/>
      <c r="U490" s="121" t="s">
        <v>293</v>
      </c>
      <c r="V490" s="133">
        <f t="shared" si="214"/>
        <v>1</v>
      </c>
      <c r="W490" s="133">
        <f>VLOOKUP(U490,Sheet1!$B$6:$C$45,2,FALSE)*V490</f>
        <v>0</v>
      </c>
      <c r="X490" s="141"/>
      <c r="Y490" s="121" t="s">
        <v>293</v>
      </c>
      <c r="Z490" s="146">
        <f>VLOOKUP(Takeoffs!Y490,Sheet1!$B$6:$C$124,2,FALSE)</f>
        <v>0</v>
      </c>
      <c r="AA490" s="146">
        <f t="shared" si="215"/>
        <v>0</v>
      </c>
      <c r="AB490" s="143">
        <f t="shared" si="216"/>
        <v>1</v>
      </c>
      <c r="AC490" s="133">
        <f t="shared" si="217"/>
        <v>1</v>
      </c>
      <c r="AD490" s="142">
        <v>1</v>
      </c>
      <c r="AE490" s="141"/>
      <c r="AF490" s="121" t="s">
        <v>293</v>
      </c>
      <c r="AG490" s="146">
        <f>VLOOKUP(Takeoffs!AF490,Sheet1!$B$6:$C$124,2,FALSE)</f>
        <v>0</v>
      </c>
      <c r="AH490" s="146">
        <f t="shared" si="218"/>
        <v>0</v>
      </c>
      <c r="AI490" s="143">
        <f t="shared" si="219"/>
        <v>0</v>
      </c>
      <c r="AJ490" s="133">
        <f t="shared" si="220"/>
        <v>1</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333</v>
      </c>
      <c r="S491" s="133">
        <f>M476</f>
        <v>1</v>
      </c>
      <c r="T491" s="120"/>
      <c r="U491" s="121" t="s">
        <v>293</v>
      </c>
      <c r="V491" s="133">
        <f t="shared" si="214"/>
        <v>1</v>
      </c>
      <c r="W491" s="133">
        <f>VLOOKUP(U491,Sheet1!$B$6:$C$45,2,FALSE)*V491</f>
        <v>0</v>
      </c>
      <c r="X491" s="141"/>
      <c r="Y491" s="121" t="s">
        <v>293</v>
      </c>
      <c r="Z491" s="146">
        <f>VLOOKUP(Takeoffs!Y491,Sheet1!$B$6:$C$124,2,FALSE)</f>
        <v>0</v>
      </c>
      <c r="AA491" s="146">
        <f t="shared" si="215"/>
        <v>0</v>
      </c>
      <c r="AB491" s="143">
        <f t="shared" si="216"/>
        <v>2</v>
      </c>
      <c r="AC491" s="133">
        <f t="shared" si="217"/>
        <v>1</v>
      </c>
      <c r="AD491" s="142">
        <v>2</v>
      </c>
      <c r="AE491" s="141"/>
      <c r="AF491" s="121" t="s">
        <v>293</v>
      </c>
      <c r="AG491" s="146">
        <f>VLOOKUP(Takeoffs!AF491,Sheet1!$B$6:$C$124,2,FALSE)</f>
        <v>0</v>
      </c>
      <c r="AH491" s="146">
        <f t="shared" si="218"/>
        <v>0</v>
      </c>
      <c r="AI491" s="143">
        <f t="shared" si="219"/>
        <v>0</v>
      </c>
      <c r="AJ491" s="133">
        <f t="shared" si="220"/>
        <v>1</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1</v>
      </c>
      <c r="T492" s="120"/>
      <c r="U492" s="121" t="s">
        <v>293</v>
      </c>
      <c r="V492" s="133">
        <f t="shared" si="214"/>
        <v>1</v>
      </c>
      <c r="W492" s="133">
        <f>VLOOKUP(U492,Sheet1!$B$6:$C$45,2,FALSE)*V492</f>
        <v>0</v>
      </c>
      <c r="X492" s="141"/>
      <c r="Y492" s="135" t="s">
        <v>700</v>
      </c>
      <c r="Z492" s="146">
        <f>VLOOKUP(Takeoffs!Y492,Sheet1!$B$6:$C$124,2,FALSE)</f>
        <v>29.04</v>
      </c>
      <c r="AA492" s="146">
        <f t="shared" si="215"/>
        <v>29.04</v>
      </c>
      <c r="AB492" s="143">
        <f t="shared" si="216"/>
        <v>1</v>
      </c>
      <c r="AC492" s="133">
        <f t="shared" si="217"/>
        <v>1</v>
      </c>
      <c r="AD492" s="142">
        <v>1</v>
      </c>
      <c r="AE492" s="141"/>
      <c r="AF492" s="121" t="s">
        <v>293</v>
      </c>
      <c r="AG492" s="146">
        <f>VLOOKUP(Takeoffs!AF492,Sheet1!$B$6:$C$124,2,FALSE)</f>
        <v>0</v>
      </c>
      <c r="AH492" s="146">
        <f t="shared" si="218"/>
        <v>0</v>
      </c>
      <c r="AI492" s="143">
        <f t="shared" si="219"/>
        <v>0</v>
      </c>
      <c r="AJ492" s="133">
        <f t="shared" si="220"/>
        <v>1</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1</v>
      </c>
      <c r="T493" s="120"/>
      <c r="U493" s="121" t="s">
        <v>293</v>
      </c>
      <c r="V493" s="133">
        <f t="shared" si="214"/>
        <v>1</v>
      </c>
      <c r="W493" s="133">
        <f>VLOOKUP(U493,Sheet1!$B$6:$C$45,2,FALSE)*V493</f>
        <v>0</v>
      </c>
      <c r="X493" s="141"/>
      <c r="Y493" s="121" t="s">
        <v>293</v>
      </c>
      <c r="Z493" s="146">
        <f>VLOOKUP(Takeoffs!Y493,Sheet1!$B$6:$C$124,2,FALSE)</f>
        <v>0</v>
      </c>
      <c r="AA493" s="146">
        <f t="shared" si="215"/>
        <v>0</v>
      </c>
      <c r="AB493" s="143">
        <f t="shared" si="216"/>
        <v>1</v>
      </c>
      <c r="AC493" s="133">
        <f t="shared" si="217"/>
        <v>1</v>
      </c>
      <c r="AD493" s="142">
        <v>1</v>
      </c>
      <c r="AE493" s="141"/>
      <c r="AF493" s="121" t="s">
        <v>293</v>
      </c>
      <c r="AG493" s="146">
        <f>VLOOKUP(Takeoffs!AF493,Sheet1!$B$6:$C$124,2,FALSE)</f>
        <v>0</v>
      </c>
      <c r="AH493" s="146">
        <f t="shared" si="218"/>
        <v>0</v>
      </c>
      <c r="AI493" s="143">
        <f t="shared" si="219"/>
        <v>0</v>
      </c>
      <c r="AJ493" s="133">
        <f t="shared" si="220"/>
        <v>1</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340</v>
      </c>
      <c r="P494" s="121"/>
      <c r="Q494" s="66"/>
      <c r="R494" s="121"/>
      <c r="S494" s="133">
        <f>M476</f>
        <v>1</v>
      </c>
      <c r="T494" s="120"/>
      <c r="U494" s="121" t="s">
        <v>293</v>
      </c>
      <c r="V494" s="133">
        <f t="shared" si="214"/>
        <v>1</v>
      </c>
      <c r="W494" s="133">
        <f>VLOOKUP(U494,Sheet1!$B$6:$C$45,2,FALSE)*V494</f>
        <v>0</v>
      </c>
      <c r="X494" s="141"/>
      <c r="Y494" s="122" t="s">
        <v>335</v>
      </c>
      <c r="Z494" s="146">
        <f>VLOOKUP(Takeoffs!Y494,Sheet1!$B$6:$C$124,2,FALSE)</f>
        <v>60</v>
      </c>
      <c r="AA494" s="146">
        <f t="shared" si="215"/>
        <v>60</v>
      </c>
      <c r="AB494" s="143">
        <f t="shared" si="216"/>
        <v>1</v>
      </c>
      <c r="AC494" s="133">
        <f t="shared" si="217"/>
        <v>1</v>
      </c>
      <c r="AD494" s="142">
        <v>1</v>
      </c>
      <c r="AE494" s="141"/>
      <c r="AF494" s="121" t="s">
        <v>293</v>
      </c>
      <c r="AG494" s="146">
        <f>VLOOKUP(Takeoffs!AF494,Sheet1!$B$6:$C$124,2,FALSE)</f>
        <v>0</v>
      </c>
      <c r="AH494" s="146">
        <f t="shared" si="218"/>
        <v>0</v>
      </c>
      <c r="AI494" s="143">
        <f t="shared" si="219"/>
        <v>0</v>
      </c>
      <c r="AJ494" s="133">
        <f t="shared" si="220"/>
        <v>1</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1</v>
      </c>
      <c r="T495" s="120"/>
      <c r="U495" s="121" t="s">
        <v>293</v>
      </c>
      <c r="V495" s="133">
        <f t="shared" si="214"/>
        <v>1</v>
      </c>
      <c r="W495" s="133">
        <f>VLOOKUP(U495,Sheet1!$B$6:$C$45,2,FALSE)*V495</f>
        <v>0</v>
      </c>
      <c r="X495" s="141"/>
      <c r="Y495" s="121" t="s">
        <v>293</v>
      </c>
      <c r="Z495" s="146">
        <f>VLOOKUP(Takeoffs!Y495,Sheet1!$B$6:$C$124,2,FALSE)</f>
        <v>0</v>
      </c>
      <c r="AA495" s="146">
        <f t="shared" si="215"/>
        <v>0</v>
      </c>
      <c r="AB495" s="143">
        <f t="shared" si="216"/>
        <v>1</v>
      </c>
      <c r="AC495" s="133">
        <f t="shared" si="217"/>
        <v>1</v>
      </c>
      <c r="AD495" s="142">
        <v>1</v>
      </c>
      <c r="AE495" s="141"/>
      <c r="AF495" s="121" t="s">
        <v>293</v>
      </c>
      <c r="AG495" s="146">
        <f>VLOOKUP(Takeoffs!AF495,Sheet1!$B$6:$C$124,2,FALSE)</f>
        <v>0</v>
      </c>
      <c r="AH495" s="146">
        <f t="shared" si="218"/>
        <v>0</v>
      </c>
      <c r="AI495" s="143">
        <f t="shared" si="219"/>
        <v>0</v>
      </c>
      <c r="AJ495" s="133">
        <f t="shared" si="220"/>
        <v>1</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410</v>
      </c>
      <c r="P496" s="121"/>
      <c r="Q496" s="66"/>
      <c r="R496" s="121"/>
      <c r="S496" s="133">
        <f>M476</f>
        <v>1</v>
      </c>
      <c r="T496" s="120"/>
      <c r="U496" s="121" t="s">
        <v>293</v>
      </c>
      <c r="V496" s="133">
        <f t="shared" si="214"/>
        <v>1</v>
      </c>
      <c r="W496" s="133">
        <f>VLOOKUP(U496,Sheet1!$B$6:$C$45,2,FALSE)*V496</f>
        <v>0</v>
      </c>
      <c r="X496" s="141"/>
      <c r="Y496" s="121" t="s">
        <v>293</v>
      </c>
      <c r="Z496" s="146">
        <f>VLOOKUP(Takeoffs!Y496,Sheet1!$B$6:$C$124,2,FALSE)</f>
        <v>0</v>
      </c>
      <c r="AA496" s="146">
        <f t="shared" si="215"/>
        <v>0</v>
      </c>
      <c r="AB496" s="143">
        <f t="shared" si="216"/>
        <v>1</v>
      </c>
      <c r="AC496" s="133">
        <f t="shared" si="217"/>
        <v>1</v>
      </c>
      <c r="AD496" s="142">
        <v>1</v>
      </c>
      <c r="AE496" s="141"/>
      <c r="AF496" s="121" t="s">
        <v>293</v>
      </c>
      <c r="AG496" s="146">
        <f>VLOOKUP(Takeoffs!AF496,Sheet1!$B$6:$C$124,2,FALSE)</f>
        <v>0</v>
      </c>
      <c r="AH496" s="146">
        <f t="shared" si="218"/>
        <v>0</v>
      </c>
      <c r="AI496" s="143">
        <f t="shared" si="219"/>
        <v>0</v>
      </c>
      <c r="AJ496" s="133">
        <f t="shared" si="220"/>
        <v>1</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379</v>
      </c>
      <c r="L497" s="128" t="s">
        <v>380</v>
      </c>
      <c r="N497" s="129"/>
      <c r="O497" s="130" t="s">
        <v>359</v>
      </c>
      <c r="P497" s="131">
        <f>V497+AA497+AH497</f>
        <v>301.63599999999997</v>
      </c>
      <c r="Q497" s="131"/>
      <c r="R497" s="131"/>
      <c r="S497" s="130"/>
      <c r="T497" s="127"/>
      <c r="U497" s="126" t="s">
        <v>353</v>
      </c>
      <c r="V497" s="127">
        <f>W497*80</f>
        <v>160</v>
      </c>
      <c r="W497" s="147">
        <f>SUM(W476:W496)</f>
        <v>2</v>
      </c>
      <c r="X497" s="148"/>
      <c r="Y497" s="127" t="s">
        <v>354</v>
      </c>
      <c r="Z497" s="116"/>
      <c r="AA497" s="116">
        <f>SUM(AA476:AA496)</f>
        <v>136.19999999999999</v>
      </c>
      <c r="AB497" s="149"/>
      <c r="AC497" s="149"/>
      <c r="AD497" s="149"/>
      <c r="AE497" s="149"/>
      <c r="AF497" s="127" t="s">
        <v>358</v>
      </c>
      <c r="AG497" s="116"/>
      <c r="AH497" s="116">
        <f>SUM(AH476:AH496)</f>
        <v>5.4359999999999999</v>
      </c>
      <c r="AI497" s="149"/>
      <c r="AJ497" s="149"/>
      <c r="AK497" s="149"/>
      <c r="AL497" s="149"/>
      <c r="AM497" s="150">
        <f>P497</f>
        <v>301.63599999999997</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494</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1</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one (1)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301.63599999999997</v>
      </c>
      <c r="L498" s="234" t="str">
        <f>CONCATENATE(Q477,Q478,Q479,Q480,Q481,Q482,Q483,Q484,Q485,Q486,Q487,Q488,Q489,Q490,Q491,Q492,Q493,Q494,Q495,Q496,)</f>
        <v xml:space="preserve">local power supply </v>
      </c>
      <c r="M498" s="166" t="s">
        <v>369</v>
      </c>
      <c r="N498" s="160" t="str">
        <f>N476</f>
        <v>DOL fan with current switch interlock to other circuit- from local power supply</v>
      </c>
      <c r="O498" s="160" t="s">
        <v>367</v>
      </c>
      <c r="P498" s="82">
        <f>P497/M476</f>
        <v>301.63599999999997</v>
      </c>
      <c r="Q498" s="161"/>
      <c r="R498" s="161"/>
      <c r="S498" s="160"/>
      <c r="T498" s="161"/>
      <c r="U498" s="327" t="s">
        <v>368</v>
      </c>
      <c r="V498" s="327"/>
      <c r="W498" s="162">
        <f>W497/M476</f>
        <v>2</v>
      </c>
      <c r="X498" s="163"/>
      <c r="Y498" s="325" t="s">
        <v>367</v>
      </c>
      <c r="Z498" s="325"/>
      <c r="AA498" s="164">
        <f>AA497/M476</f>
        <v>136.19999999999999</v>
      </c>
      <c r="AB498" s="161"/>
      <c r="AC498" s="161"/>
      <c r="AD498" s="161"/>
      <c r="AE498" s="161"/>
      <c r="AF498" s="325" t="s">
        <v>367</v>
      </c>
      <c r="AG498" s="325"/>
      <c r="AH498" s="164">
        <f>AH497/M476</f>
        <v>5.4359999999999999</v>
      </c>
      <c r="AI498" s="161"/>
      <c r="AJ498" s="161"/>
      <c r="AK498" s="161"/>
      <c r="AL498" s="247"/>
      <c r="AM498" s="257"/>
      <c r="AN498" s="236">
        <f>K498*$D$9</f>
        <v>75.408999999999992</v>
      </c>
      <c r="AO498" s="286"/>
      <c r="AP498" s="284">
        <f t="shared" si="209"/>
        <v>301.63599999999997</v>
      </c>
      <c r="AQ498" s="281">
        <f t="shared" si="210"/>
        <v>160</v>
      </c>
      <c r="AR498" s="284">
        <f t="shared" si="211"/>
        <v>136.19999999999999</v>
      </c>
      <c r="AS498" s="281">
        <f t="shared" si="212"/>
        <v>5.4359999999999999</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454</v>
      </c>
      <c r="M499" s="116" t="s">
        <v>107</v>
      </c>
      <c r="N499" s="116" t="s">
        <v>108</v>
      </c>
      <c r="O499" s="170" t="s">
        <v>388</v>
      </c>
      <c r="P499" s="326" t="s">
        <v>377</v>
      </c>
      <c r="Q499" s="326"/>
      <c r="R499" s="101" t="s">
        <v>454</v>
      </c>
      <c r="S499" s="116" t="s">
        <v>0</v>
      </c>
      <c r="T499" s="118"/>
      <c r="U499" s="116" t="s">
        <v>288</v>
      </c>
      <c r="V499" s="116" t="s">
        <v>289</v>
      </c>
      <c r="W499" s="116" t="s">
        <v>292</v>
      </c>
      <c r="X499" s="140"/>
      <c r="Y499" s="116" t="s">
        <v>290</v>
      </c>
      <c r="Z499" s="116" t="s">
        <v>356</v>
      </c>
      <c r="AA499" s="116" t="s">
        <v>357</v>
      </c>
      <c r="AB499" s="116" t="s">
        <v>319</v>
      </c>
      <c r="AC499" s="116" t="s">
        <v>320</v>
      </c>
      <c r="AD499" s="116" t="s">
        <v>318</v>
      </c>
      <c r="AE499" s="140"/>
      <c r="AF499" s="116" t="s">
        <v>294</v>
      </c>
      <c r="AG499" s="116" t="s">
        <v>356</v>
      </c>
      <c r="AH499" s="116" t="s">
        <v>357</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one</v>
      </c>
      <c r="M500" s="121">
        <f>I522</f>
        <v>1</v>
      </c>
      <c r="N500" s="132" t="s">
        <v>652</v>
      </c>
      <c r="O500" s="121" t="s">
        <v>349</v>
      </c>
      <c r="P500" s="169" t="s">
        <v>381</v>
      </c>
      <c r="Q500" s="169" t="s">
        <v>377</v>
      </c>
      <c r="R500" s="169"/>
      <c r="S500" s="133">
        <f>M500</f>
        <v>1</v>
      </c>
      <c r="T500" s="119"/>
      <c r="U500" s="121" t="s">
        <v>293</v>
      </c>
      <c r="V500" s="133">
        <f>S500</f>
        <v>1</v>
      </c>
      <c r="W500" s="133">
        <f>VLOOKUP(U500,Sheet1!$B$6:$C$45,2,FALSE)*V500</f>
        <v>0</v>
      </c>
      <c r="X500" s="141"/>
      <c r="Y500" s="121" t="s">
        <v>293</v>
      </c>
      <c r="Z500" s="146">
        <f>VLOOKUP(Takeoffs!Y500,Sheet1!$B$6:$C$124,2,FALSE)</f>
        <v>0</v>
      </c>
      <c r="AA500" s="146">
        <f>Z500*AB500</f>
        <v>0</v>
      </c>
      <c r="AB500" s="143">
        <f>AD500*AC500</f>
        <v>1</v>
      </c>
      <c r="AC500" s="133">
        <f>S500</f>
        <v>1</v>
      </c>
      <c r="AD500" s="142">
        <v>1</v>
      </c>
      <c r="AE500" s="141"/>
      <c r="AF500" s="121" t="s">
        <v>293</v>
      </c>
      <c r="AG500" s="146">
        <f>VLOOKUP(Takeoffs!AF500,Sheet1!$B$6:$C$124,2,FALSE)</f>
        <v>0</v>
      </c>
      <c r="AH500" s="146">
        <f>AG500*AI500</f>
        <v>0</v>
      </c>
      <c r="AI500" s="143">
        <f>AK500*AJ500</f>
        <v>0</v>
      </c>
      <c r="AJ500" s="133">
        <f>S500</f>
        <v>1</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342</v>
      </c>
      <c r="P501" s="121"/>
      <c r="Q501" s="66"/>
      <c r="R501" s="121"/>
      <c r="S501" s="133">
        <f>M500</f>
        <v>1</v>
      </c>
      <c r="T501" s="120"/>
      <c r="U501" s="121" t="s">
        <v>233</v>
      </c>
      <c r="V501" s="133">
        <f t="shared" ref="V501:V520" si="224">S501</f>
        <v>1</v>
      </c>
      <c r="W501" s="133">
        <f>VLOOKUP(U501,Sheet1!$B$6:$C$45,2,FALSE)*V501</f>
        <v>1</v>
      </c>
      <c r="X501" s="141"/>
      <c r="Y501" s="121" t="s">
        <v>293</v>
      </c>
      <c r="Z501" s="146">
        <f>VLOOKUP(Takeoffs!Y501,Sheet1!$B$6:$C$124,2,FALSE)</f>
        <v>0</v>
      </c>
      <c r="AA501" s="146">
        <f t="shared" ref="AA501:AA520" si="225">Z501*AB501</f>
        <v>0</v>
      </c>
      <c r="AB501" s="143">
        <f t="shared" ref="AB501:AB520" si="226">AD501*AC501</f>
        <v>1</v>
      </c>
      <c r="AC501" s="133">
        <f t="shared" ref="AC501:AC520" si="227">S501</f>
        <v>1</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1</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443</v>
      </c>
      <c r="P502" s="121" t="s">
        <v>542</v>
      </c>
      <c r="Q502" s="66" t="s">
        <v>690</v>
      </c>
      <c r="R502" s="121"/>
      <c r="S502" s="133">
        <f>M500</f>
        <v>1</v>
      </c>
      <c r="T502" s="120"/>
      <c r="U502" s="121" t="s">
        <v>363</v>
      </c>
      <c r="V502" s="133">
        <f t="shared" si="224"/>
        <v>1</v>
      </c>
      <c r="W502" s="133">
        <f>VLOOKUP(U502,Sheet1!$B$6:$C$45,2,FALSE)*V502</f>
        <v>1</v>
      </c>
      <c r="X502" s="141"/>
      <c r="Y502" s="121" t="s">
        <v>293</v>
      </c>
      <c r="Z502" s="146">
        <f>VLOOKUP(Takeoffs!Y502,Sheet1!$B$6:$C$124,2,FALSE)</f>
        <v>0</v>
      </c>
      <c r="AA502" s="146">
        <f t="shared" si="225"/>
        <v>0</v>
      </c>
      <c r="AB502" s="143">
        <f t="shared" si="226"/>
        <v>1</v>
      </c>
      <c r="AC502" s="133">
        <f t="shared" si="227"/>
        <v>1</v>
      </c>
      <c r="AD502" s="142">
        <v>1</v>
      </c>
      <c r="AE502" s="141"/>
      <c r="AF502" s="122" t="s">
        <v>268</v>
      </c>
      <c r="AG502" s="146">
        <f>VLOOKUP(Takeoffs!AF502,Sheet1!$B$6:$C$124,2,FALSE)</f>
        <v>1.02</v>
      </c>
      <c r="AH502" s="146">
        <f t="shared" si="228"/>
        <v>5.0999999999999996</v>
      </c>
      <c r="AI502" s="143">
        <f t="shared" si="229"/>
        <v>5</v>
      </c>
      <c r="AJ502" s="133">
        <f t="shared" si="230"/>
        <v>1</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408</v>
      </c>
      <c r="P503" s="121"/>
      <c r="Q503" s="66"/>
      <c r="R503" s="121"/>
      <c r="S503" s="133">
        <f>M500</f>
        <v>1</v>
      </c>
      <c r="T503" s="120"/>
      <c r="U503" s="121" t="s">
        <v>293</v>
      </c>
      <c r="V503" s="133">
        <f t="shared" si="224"/>
        <v>1</v>
      </c>
      <c r="W503" s="133">
        <f>VLOOKUP(U503,Sheet1!$B$6:$C$45,2,FALSE)*V503</f>
        <v>0</v>
      </c>
      <c r="X503" s="141"/>
      <c r="Y503" s="122" t="s">
        <v>247</v>
      </c>
      <c r="Z503" s="146">
        <f>VLOOKUP(Takeoffs!Y503,Sheet1!$B$6:$C$124,2,FALSE)</f>
        <v>23.76</v>
      </c>
      <c r="AA503" s="146">
        <f t="shared" si="225"/>
        <v>23.76</v>
      </c>
      <c r="AB503" s="143">
        <f t="shared" si="226"/>
        <v>1</v>
      </c>
      <c r="AC503" s="133">
        <f t="shared" si="227"/>
        <v>1</v>
      </c>
      <c r="AD503" s="142">
        <v>1</v>
      </c>
      <c r="AE503" s="141"/>
      <c r="AF503" s="121" t="s">
        <v>293</v>
      </c>
      <c r="AG503" s="146">
        <f>VLOOKUP(Takeoffs!AF503,Sheet1!$B$6:$C$124,2,FALSE)</f>
        <v>0</v>
      </c>
      <c r="AH503" s="146">
        <f t="shared" si="228"/>
        <v>0</v>
      </c>
      <c r="AI503" s="143">
        <f t="shared" si="229"/>
        <v>0</v>
      </c>
      <c r="AJ503" s="133">
        <f t="shared" si="230"/>
        <v>1</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1</v>
      </c>
      <c r="T504" s="120"/>
      <c r="U504" s="121" t="s">
        <v>293</v>
      </c>
      <c r="V504" s="133">
        <f t="shared" si="224"/>
        <v>1</v>
      </c>
      <c r="W504" s="133">
        <f>VLOOKUP(U504,Sheet1!$B$6:$C$45,2,FALSE)*V504</f>
        <v>0</v>
      </c>
      <c r="X504" s="141"/>
      <c r="Y504" s="121" t="s">
        <v>293</v>
      </c>
      <c r="Z504" s="146">
        <f>VLOOKUP(Takeoffs!Y504,Sheet1!$B$6:$C$124,2,FALSE)</f>
        <v>0</v>
      </c>
      <c r="AA504" s="146">
        <f t="shared" si="225"/>
        <v>0</v>
      </c>
      <c r="AB504" s="143">
        <f t="shared" si="226"/>
        <v>1</v>
      </c>
      <c r="AC504" s="133">
        <f t="shared" si="227"/>
        <v>1</v>
      </c>
      <c r="AD504" s="142">
        <v>1</v>
      </c>
      <c r="AE504" s="141"/>
      <c r="AF504" s="121" t="s">
        <v>293</v>
      </c>
      <c r="AG504" s="146">
        <f>VLOOKUP(Takeoffs!AF504,Sheet1!$B$6:$C$124,2,FALSE)</f>
        <v>0</v>
      </c>
      <c r="AH504" s="146">
        <f t="shared" si="228"/>
        <v>0</v>
      </c>
      <c r="AI504" s="143">
        <f t="shared" si="229"/>
        <v>0</v>
      </c>
      <c r="AJ504" s="133">
        <f t="shared" si="230"/>
        <v>1</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1</v>
      </c>
      <c r="T505" s="120"/>
      <c r="U505" s="121" t="s">
        <v>293</v>
      </c>
      <c r="V505" s="133">
        <f t="shared" si="224"/>
        <v>1</v>
      </c>
      <c r="W505" s="133">
        <f>VLOOKUP(U505,Sheet1!$B$6:$C$45,2,FALSE)*V505</f>
        <v>0</v>
      </c>
      <c r="X505" s="141"/>
      <c r="Y505" s="121" t="s">
        <v>293</v>
      </c>
      <c r="Z505" s="146">
        <f>VLOOKUP(Takeoffs!Y505,Sheet1!$B$6:$C$124,2,FALSE)</f>
        <v>0</v>
      </c>
      <c r="AA505" s="146">
        <f t="shared" si="225"/>
        <v>0</v>
      </c>
      <c r="AB505" s="143">
        <f t="shared" si="226"/>
        <v>1</v>
      </c>
      <c r="AC505" s="133">
        <f t="shared" si="227"/>
        <v>1</v>
      </c>
      <c r="AD505" s="142">
        <v>1</v>
      </c>
      <c r="AE505" s="141"/>
      <c r="AF505" s="121" t="s">
        <v>293</v>
      </c>
      <c r="AG505" s="146">
        <f>VLOOKUP(Takeoffs!AF505,Sheet1!$B$6:$C$124,2,FALSE)</f>
        <v>0</v>
      </c>
      <c r="AH505" s="146">
        <f t="shared" si="228"/>
        <v>0</v>
      </c>
      <c r="AI505" s="143">
        <f t="shared" si="229"/>
        <v>0</v>
      </c>
      <c r="AJ505" s="133">
        <f t="shared" si="230"/>
        <v>1</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1</v>
      </c>
      <c r="T506" s="120"/>
      <c r="U506" s="121" t="s">
        <v>293</v>
      </c>
      <c r="V506" s="133">
        <f t="shared" si="224"/>
        <v>1</v>
      </c>
      <c r="W506" s="133">
        <f>VLOOKUP(U506,Sheet1!$B$6:$C$45,2,FALSE)*V506</f>
        <v>0</v>
      </c>
      <c r="X506" s="141"/>
      <c r="Y506" s="121" t="s">
        <v>293</v>
      </c>
      <c r="Z506" s="146">
        <f>VLOOKUP(Takeoffs!Y506,Sheet1!$B$6:$C$124,2,FALSE)</f>
        <v>0</v>
      </c>
      <c r="AA506" s="146">
        <f t="shared" si="225"/>
        <v>0</v>
      </c>
      <c r="AB506" s="143">
        <f t="shared" si="226"/>
        <v>1</v>
      </c>
      <c r="AC506" s="133">
        <f t="shared" si="227"/>
        <v>1</v>
      </c>
      <c r="AD506" s="142">
        <v>1</v>
      </c>
      <c r="AE506" s="141"/>
      <c r="AF506" s="121" t="s">
        <v>293</v>
      </c>
      <c r="AG506" s="146">
        <f>VLOOKUP(Takeoffs!AF506,Sheet1!$B$6:$C$124,2,FALSE)</f>
        <v>0</v>
      </c>
      <c r="AH506" s="146">
        <f t="shared" si="228"/>
        <v>0</v>
      </c>
      <c r="AI506" s="143">
        <f t="shared" si="229"/>
        <v>0</v>
      </c>
      <c r="AJ506" s="133">
        <f t="shared" si="230"/>
        <v>1</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1</v>
      </c>
      <c r="T507" s="120"/>
      <c r="U507" s="121" t="s">
        <v>293</v>
      </c>
      <c r="V507" s="133">
        <f t="shared" si="224"/>
        <v>1</v>
      </c>
      <c r="W507" s="133">
        <f>VLOOKUP(U507,Sheet1!$B$6:$C$45,2,FALSE)*V507</f>
        <v>0</v>
      </c>
      <c r="X507" s="141"/>
      <c r="Y507" s="121" t="s">
        <v>293</v>
      </c>
      <c r="Z507" s="146">
        <f>VLOOKUP(Takeoffs!Y507,Sheet1!$B$6:$C$124,2,FALSE)</f>
        <v>0</v>
      </c>
      <c r="AA507" s="146">
        <f t="shared" si="225"/>
        <v>0</v>
      </c>
      <c r="AB507" s="143">
        <f t="shared" si="226"/>
        <v>1</v>
      </c>
      <c r="AC507" s="133">
        <f t="shared" si="227"/>
        <v>1</v>
      </c>
      <c r="AD507" s="142">
        <v>1</v>
      </c>
      <c r="AE507" s="141"/>
      <c r="AF507" s="121" t="s">
        <v>293</v>
      </c>
      <c r="AG507" s="146">
        <f>VLOOKUP(Takeoffs!AF507,Sheet1!$B$6:$C$124,2,FALSE)</f>
        <v>0</v>
      </c>
      <c r="AH507" s="146">
        <f t="shared" si="228"/>
        <v>0</v>
      </c>
      <c r="AI507" s="143">
        <f t="shared" si="229"/>
        <v>0</v>
      </c>
      <c r="AJ507" s="133">
        <f t="shared" si="230"/>
        <v>1</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330</v>
      </c>
      <c r="P508" s="121"/>
      <c r="Q508" s="66"/>
      <c r="R508" s="121"/>
      <c r="S508" s="133">
        <f>M500</f>
        <v>1</v>
      </c>
      <c r="T508" s="120"/>
      <c r="U508" s="121" t="s">
        <v>242</v>
      </c>
      <c r="V508" s="133">
        <f t="shared" si="224"/>
        <v>1</v>
      </c>
      <c r="W508" s="133">
        <f>VLOOKUP(U508,Sheet1!$B$6:$C$45,2,FALSE)*V508</f>
        <v>2</v>
      </c>
      <c r="X508" s="141"/>
      <c r="Y508" s="121" t="s">
        <v>293</v>
      </c>
      <c r="Z508" s="146">
        <f>VLOOKUP(Takeoffs!Y508,Sheet1!$B$6:$C$124,2,FALSE)</f>
        <v>0</v>
      </c>
      <c r="AA508" s="146">
        <f t="shared" si="225"/>
        <v>0</v>
      </c>
      <c r="AB508" s="143">
        <f t="shared" si="226"/>
        <v>1</v>
      </c>
      <c r="AC508" s="133">
        <f t="shared" si="227"/>
        <v>1</v>
      </c>
      <c r="AD508" s="142">
        <v>1</v>
      </c>
      <c r="AE508" s="141"/>
      <c r="AF508" s="121" t="s">
        <v>293</v>
      </c>
      <c r="AG508" s="146">
        <f>VLOOKUP(Takeoffs!AF508,Sheet1!$B$6:$C$124,2,FALSE)</f>
        <v>0</v>
      </c>
      <c r="AH508" s="146">
        <f t="shared" si="228"/>
        <v>0</v>
      </c>
      <c r="AI508" s="143">
        <f t="shared" si="229"/>
        <v>0</v>
      </c>
      <c r="AJ508" s="133">
        <f t="shared" si="230"/>
        <v>1</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1</v>
      </c>
      <c r="T509" s="120"/>
      <c r="U509" s="121" t="s">
        <v>293</v>
      </c>
      <c r="V509" s="133">
        <f t="shared" si="224"/>
        <v>1</v>
      </c>
      <c r="W509" s="133">
        <f>VLOOKUP(U509,Sheet1!$B$6:$C$45,2,FALSE)*V509</f>
        <v>0</v>
      </c>
      <c r="X509" s="141"/>
      <c r="Y509" s="121" t="s">
        <v>293</v>
      </c>
      <c r="Z509" s="146">
        <f>VLOOKUP(Takeoffs!Y509,Sheet1!$B$6:$C$124,2,FALSE)</f>
        <v>0</v>
      </c>
      <c r="AA509" s="146">
        <f t="shared" si="225"/>
        <v>0</v>
      </c>
      <c r="AB509" s="143">
        <f t="shared" si="226"/>
        <v>1</v>
      </c>
      <c r="AC509" s="133">
        <f t="shared" si="227"/>
        <v>1</v>
      </c>
      <c r="AD509" s="142">
        <v>1</v>
      </c>
      <c r="AE509" s="141"/>
      <c r="AF509" s="121" t="s">
        <v>293</v>
      </c>
      <c r="AG509" s="146">
        <f>VLOOKUP(Takeoffs!AF509,Sheet1!$B$6:$C$124,2,FALSE)</f>
        <v>0</v>
      </c>
      <c r="AH509" s="146">
        <f t="shared" si="228"/>
        <v>0</v>
      </c>
      <c r="AI509" s="143">
        <f t="shared" si="229"/>
        <v>0</v>
      </c>
      <c r="AJ509" s="133">
        <f t="shared" si="230"/>
        <v>1</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1</v>
      </c>
      <c r="T510" s="120"/>
      <c r="U510" s="121" t="s">
        <v>293</v>
      </c>
      <c r="V510" s="133">
        <f t="shared" si="224"/>
        <v>1</v>
      </c>
      <c r="W510" s="133">
        <f>VLOOKUP(U510,Sheet1!$B$6:$C$45,2,FALSE)*V510</f>
        <v>0</v>
      </c>
      <c r="X510" s="141"/>
      <c r="Y510" s="121" t="s">
        <v>293</v>
      </c>
      <c r="Z510" s="146">
        <f>VLOOKUP(Takeoffs!Y510,Sheet1!$B$6:$C$124,2,FALSE)</f>
        <v>0</v>
      </c>
      <c r="AA510" s="146">
        <f t="shared" si="225"/>
        <v>0</v>
      </c>
      <c r="AB510" s="143">
        <f t="shared" si="226"/>
        <v>1</v>
      </c>
      <c r="AC510" s="133">
        <f t="shared" si="227"/>
        <v>1</v>
      </c>
      <c r="AD510" s="142">
        <v>1</v>
      </c>
      <c r="AE510" s="141"/>
      <c r="AF510" s="121" t="s">
        <v>293</v>
      </c>
      <c r="AG510" s="146">
        <f>VLOOKUP(Takeoffs!AF510,Sheet1!$B$6:$C$124,2,FALSE)</f>
        <v>0</v>
      </c>
      <c r="AH510" s="146">
        <f t="shared" si="228"/>
        <v>0</v>
      </c>
      <c r="AI510" s="143">
        <f t="shared" si="229"/>
        <v>0</v>
      </c>
      <c r="AJ510" s="133">
        <f t="shared" si="230"/>
        <v>1</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1</v>
      </c>
      <c r="T511" s="120"/>
      <c r="U511" s="121" t="s">
        <v>293</v>
      </c>
      <c r="V511" s="133">
        <f t="shared" si="224"/>
        <v>1</v>
      </c>
      <c r="W511" s="133">
        <f>VLOOKUP(U511,Sheet1!$B$6:$C$45,2,FALSE)*V511</f>
        <v>0</v>
      </c>
      <c r="X511" s="141"/>
      <c r="Y511" s="121" t="s">
        <v>293</v>
      </c>
      <c r="Z511" s="146">
        <f>VLOOKUP(Takeoffs!Y511,Sheet1!$B$6:$C$124,2,FALSE)</f>
        <v>0</v>
      </c>
      <c r="AA511" s="146">
        <f t="shared" si="225"/>
        <v>0</v>
      </c>
      <c r="AB511" s="143">
        <f t="shared" si="226"/>
        <v>1</v>
      </c>
      <c r="AC511" s="133">
        <f t="shared" si="227"/>
        <v>1</v>
      </c>
      <c r="AD511" s="142">
        <v>1</v>
      </c>
      <c r="AE511" s="141"/>
      <c r="AF511" s="121" t="s">
        <v>293</v>
      </c>
      <c r="AG511" s="146">
        <f>VLOOKUP(Takeoffs!AF511,Sheet1!$B$6:$C$124,2,FALSE)</f>
        <v>0</v>
      </c>
      <c r="AH511" s="146">
        <f t="shared" si="228"/>
        <v>0</v>
      </c>
      <c r="AI511" s="143">
        <f t="shared" si="229"/>
        <v>0</v>
      </c>
      <c r="AJ511" s="133">
        <f t="shared" si="230"/>
        <v>1</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1</v>
      </c>
      <c r="T512" s="120"/>
      <c r="U512" s="121" t="s">
        <v>293</v>
      </c>
      <c r="V512" s="133">
        <f t="shared" si="224"/>
        <v>1</v>
      </c>
      <c r="W512" s="133">
        <f>VLOOKUP(U512,Sheet1!$B$6:$C$45,2,FALSE)*V512</f>
        <v>0</v>
      </c>
      <c r="X512" s="141"/>
      <c r="Y512" s="121" t="s">
        <v>293</v>
      </c>
      <c r="Z512" s="146">
        <f>VLOOKUP(Takeoffs!Y512,Sheet1!$B$6:$C$124,2,FALSE)</f>
        <v>0</v>
      </c>
      <c r="AA512" s="146">
        <f t="shared" si="225"/>
        <v>0</v>
      </c>
      <c r="AB512" s="143">
        <f t="shared" si="226"/>
        <v>1</v>
      </c>
      <c r="AC512" s="133">
        <f t="shared" si="227"/>
        <v>1</v>
      </c>
      <c r="AD512" s="142">
        <v>1</v>
      </c>
      <c r="AE512" s="141"/>
      <c r="AF512" s="152" t="s">
        <v>420</v>
      </c>
      <c r="AG512" s="146">
        <f>VLOOKUP(Takeoffs!AF512,Sheet1!$B$6:$C$124,2,FALSE)</f>
        <v>0.33600000000000002</v>
      </c>
      <c r="AH512" s="146">
        <f t="shared" si="228"/>
        <v>0.33600000000000002</v>
      </c>
      <c r="AI512" s="143">
        <f t="shared" si="229"/>
        <v>1</v>
      </c>
      <c r="AJ512" s="133">
        <f t="shared" si="230"/>
        <v>1</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1</v>
      </c>
      <c r="T513" s="120"/>
      <c r="U513" s="121" t="s">
        <v>232</v>
      </c>
      <c r="V513" s="133">
        <f t="shared" si="224"/>
        <v>1</v>
      </c>
      <c r="W513" s="133">
        <f>VLOOKUP(U513,Sheet1!$B$6:$C$45,2,FALSE)*V513</f>
        <v>1</v>
      </c>
      <c r="X513" s="141"/>
      <c r="Y513" s="122" t="s">
        <v>281</v>
      </c>
      <c r="Z513" s="146">
        <f>VLOOKUP(Takeoffs!Y513,Sheet1!$B$6:$C$124,2,FALSE)</f>
        <v>109.25999999999999</v>
      </c>
      <c r="AA513" s="146">
        <f t="shared" si="225"/>
        <v>109.25999999999999</v>
      </c>
      <c r="AB513" s="143">
        <f t="shared" si="226"/>
        <v>1</v>
      </c>
      <c r="AC513" s="133">
        <f t="shared" si="227"/>
        <v>1</v>
      </c>
      <c r="AD513" s="142">
        <v>1</v>
      </c>
      <c r="AE513" s="141"/>
      <c r="AF513" s="121" t="s">
        <v>293</v>
      </c>
      <c r="AG513" s="146">
        <f>VLOOKUP(Takeoffs!AF513,Sheet1!$B$6:$C$124,2,FALSE)</f>
        <v>0</v>
      </c>
      <c r="AH513" s="146">
        <f t="shared" si="228"/>
        <v>0</v>
      </c>
      <c r="AI513" s="143">
        <f t="shared" si="229"/>
        <v>0</v>
      </c>
      <c r="AJ513" s="133">
        <f t="shared" si="230"/>
        <v>1</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653</v>
      </c>
      <c r="P514" s="121"/>
      <c r="Q514" s="66"/>
      <c r="R514" s="121"/>
      <c r="S514" s="133">
        <f>M500</f>
        <v>1</v>
      </c>
      <c r="T514" s="120"/>
      <c r="U514" s="121" t="s">
        <v>293</v>
      </c>
      <c r="V514" s="133">
        <f t="shared" si="224"/>
        <v>1</v>
      </c>
      <c r="W514" s="133">
        <f>VLOOKUP(U514,Sheet1!$B$6:$C$45,2,FALSE)*V514</f>
        <v>0</v>
      </c>
      <c r="X514" s="141"/>
      <c r="Y514" s="122" t="s">
        <v>328</v>
      </c>
      <c r="Z514" s="146">
        <f>VLOOKUP(Takeoffs!Y514,Sheet1!$B$6:$C$124,2,FALSE)</f>
        <v>29.04</v>
      </c>
      <c r="AA514" s="146">
        <f t="shared" si="225"/>
        <v>29.04</v>
      </c>
      <c r="AB514" s="143">
        <f t="shared" si="226"/>
        <v>1</v>
      </c>
      <c r="AC514" s="133">
        <f t="shared" si="227"/>
        <v>1</v>
      </c>
      <c r="AD514" s="142">
        <v>1</v>
      </c>
      <c r="AE514" s="141"/>
      <c r="AF514" s="121" t="s">
        <v>293</v>
      </c>
      <c r="AG514" s="146">
        <f>VLOOKUP(Takeoffs!AF514,Sheet1!$B$6:$C$124,2,FALSE)</f>
        <v>0</v>
      </c>
      <c r="AH514" s="146">
        <f t="shared" si="228"/>
        <v>0</v>
      </c>
      <c r="AI514" s="143">
        <f t="shared" si="229"/>
        <v>0</v>
      </c>
      <c r="AJ514" s="133">
        <f t="shared" si="230"/>
        <v>1</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339</v>
      </c>
      <c r="P515" s="121"/>
      <c r="Q515" s="66"/>
      <c r="R515" s="121" t="s">
        <v>333</v>
      </c>
      <c r="S515" s="133">
        <f>M500</f>
        <v>1</v>
      </c>
      <c r="T515" s="120"/>
      <c r="U515" s="121" t="s">
        <v>293</v>
      </c>
      <c r="V515" s="133">
        <f t="shared" si="224"/>
        <v>1</v>
      </c>
      <c r="W515" s="133">
        <f>VLOOKUP(U515,Sheet1!$B$6:$C$45,2,FALSE)*V515</f>
        <v>0</v>
      </c>
      <c r="X515" s="141"/>
      <c r="Y515" s="122" t="s">
        <v>280</v>
      </c>
      <c r="Z515" s="146">
        <f>VLOOKUP(Takeoffs!Y515,Sheet1!$B$6:$C$124,2,FALSE)</f>
        <v>19.2</v>
      </c>
      <c r="AA515" s="146">
        <f t="shared" si="225"/>
        <v>38.4</v>
      </c>
      <c r="AB515" s="143">
        <f t="shared" si="226"/>
        <v>2</v>
      </c>
      <c r="AC515" s="133">
        <f t="shared" si="227"/>
        <v>1</v>
      </c>
      <c r="AD515" s="142">
        <v>2</v>
      </c>
      <c r="AE515" s="141"/>
      <c r="AF515" s="121" t="s">
        <v>293</v>
      </c>
      <c r="AG515" s="146">
        <f>VLOOKUP(Takeoffs!AF515,Sheet1!$B$6:$C$124,2,FALSE)</f>
        <v>0</v>
      </c>
      <c r="AH515" s="146">
        <f t="shared" si="228"/>
        <v>0</v>
      </c>
      <c r="AI515" s="143">
        <f t="shared" si="229"/>
        <v>0</v>
      </c>
      <c r="AJ515" s="133">
        <f t="shared" si="230"/>
        <v>1</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1</v>
      </c>
      <c r="T516" s="120"/>
      <c r="U516" s="121" t="s">
        <v>293</v>
      </c>
      <c r="V516" s="133">
        <f t="shared" si="224"/>
        <v>1</v>
      </c>
      <c r="W516" s="133">
        <f>VLOOKUP(U516,Sheet1!$B$6:$C$45,2,FALSE)*V516</f>
        <v>0</v>
      </c>
      <c r="X516" s="141"/>
      <c r="Y516" s="121" t="s">
        <v>293</v>
      </c>
      <c r="Z516" s="146">
        <f>VLOOKUP(Takeoffs!Y516,Sheet1!$B$6:$C$124,2,FALSE)</f>
        <v>0</v>
      </c>
      <c r="AA516" s="146">
        <f t="shared" si="225"/>
        <v>0</v>
      </c>
      <c r="AB516" s="143">
        <f t="shared" si="226"/>
        <v>1</v>
      </c>
      <c r="AC516" s="133">
        <f t="shared" si="227"/>
        <v>1</v>
      </c>
      <c r="AD516" s="142">
        <v>1</v>
      </c>
      <c r="AE516" s="141"/>
      <c r="AF516" s="121" t="s">
        <v>293</v>
      </c>
      <c r="AG516" s="146">
        <f>VLOOKUP(Takeoffs!AF516,Sheet1!$B$6:$C$124,2,FALSE)</f>
        <v>0</v>
      </c>
      <c r="AH516" s="146">
        <f t="shared" si="228"/>
        <v>0</v>
      </c>
      <c r="AI516" s="143">
        <f t="shared" si="229"/>
        <v>0</v>
      </c>
      <c r="AJ516" s="133">
        <f t="shared" si="230"/>
        <v>1</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331</v>
      </c>
      <c r="P517" s="121"/>
      <c r="Q517" s="66"/>
      <c r="R517" s="121" t="s">
        <v>305</v>
      </c>
      <c r="S517" s="133">
        <f>M500</f>
        <v>1</v>
      </c>
      <c r="T517" s="120"/>
      <c r="U517" s="121" t="s">
        <v>293</v>
      </c>
      <c r="V517" s="133">
        <f t="shared" si="224"/>
        <v>1</v>
      </c>
      <c r="W517" s="133">
        <f>VLOOKUP(U517,Sheet1!$B$6:$C$45,2,FALSE)*V517</f>
        <v>0</v>
      </c>
      <c r="X517" s="141"/>
      <c r="Y517" s="122" t="s">
        <v>277</v>
      </c>
      <c r="Z517" s="146">
        <f>VLOOKUP(Takeoffs!Y517,Sheet1!$B$6:$C$124,2,FALSE)</f>
        <v>69.540000000000006</v>
      </c>
      <c r="AA517" s="146">
        <f t="shared" si="225"/>
        <v>69.540000000000006</v>
      </c>
      <c r="AB517" s="143">
        <f t="shared" si="226"/>
        <v>1</v>
      </c>
      <c r="AC517" s="133">
        <f t="shared" si="227"/>
        <v>1</v>
      </c>
      <c r="AD517" s="142">
        <v>1</v>
      </c>
      <c r="AE517" s="141"/>
      <c r="AF517" s="121" t="s">
        <v>293</v>
      </c>
      <c r="AG517" s="146">
        <f>VLOOKUP(Takeoffs!AF517,Sheet1!$B$6:$C$124,2,FALSE)</f>
        <v>0</v>
      </c>
      <c r="AH517" s="146">
        <f t="shared" si="228"/>
        <v>0</v>
      </c>
      <c r="AI517" s="143">
        <f t="shared" si="229"/>
        <v>0</v>
      </c>
      <c r="AJ517" s="133">
        <f t="shared" si="230"/>
        <v>1</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340</v>
      </c>
      <c r="P518" s="121"/>
      <c r="Q518" s="66"/>
      <c r="R518" s="121"/>
      <c r="S518" s="133">
        <f>M500</f>
        <v>1</v>
      </c>
      <c r="T518" s="120"/>
      <c r="U518" s="121" t="s">
        <v>293</v>
      </c>
      <c r="V518" s="133">
        <f t="shared" si="224"/>
        <v>1</v>
      </c>
      <c r="W518" s="133">
        <f>VLOOKUP(U518,Sheet1!$B$6:$C$45,2,FALSE)*V518</f>
        <v>0</v>
      </c>
      <c r="X518" s="141"/>
      <c r="Y518" s="122" t="s">
        <v>335</v>
      </c>
      <c r="Z518" s="146">
        <f>VLOOKUP(Takeoffs!Y518,Sheet1!$B$6:$C$124,2,FALSE)</f>
        <v>60</v>
      </c>
      <c r="AA518" s="146">
        <f t="shared" si="225"/>
        <v>60</v>
      </c>
      <c r="AB518" s="143">
        <f t="shared" si="226"/>
        <v>1</v>
      </c>
      <c r="AC518" s="133">
        <f t="shared" si="227"/>
        <v>1</v>
      </c>
      <c r="AD518" s="142">
        <v>1</v>
      </c>
      <c r="AE518" s="141"/>
      <c r="AF518" s="121" t="s">
        <v>293</v>
      </c>
      <c r="AG518" s="146">
        <f>VLOOKUP(Takeoffs!AF518,Sheet1!$B$6:$C$124,2,FALSE)</f>
        <v>0</v>
      </c>
      <c r="AH518" s="146">
        <f t="shared" si="228"/>
        <v>0</v>
      </c>
      <c r="AI518" s="143">
        <f t="shared" si="229"/>
        <v>0</v>
      </c>
      <c r="AJ518" s="133">
        <f t="shared" si="230"/>
        <v>1</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409</v>
      </c>
      <c r="P519" s="121"/>
      <c r="Q519" s="66"/>
      <c r="R519" s="121"/>
      <c r="S519" s="133">
        <f>M500</f>
        <v>1</v>
      </c>
      <c r="T519" s="120"/>
      <c r="U519" s="121" t="s">
        <v>293</v>
      </c>
      <c r="V519" s="133">
        <f t="shared" si="224"/>
        <v>1</v>
      </c>
      <c r="W519" s="133">
        <f>VLOOKUP(U519,Sheet1!$B$6:$C$45,2,FALSE)*V519</f>
        <v>0</v>
      </c>
      <c r="X519" s="141"/>
      <c r="Y519" s="121" t="s">
        <v>274</v>
      </c>
      <c r="Z519" s="146">
        <f>VLOOKUP(Takeoffs!Y519,Sheet1!$B$6:$C$124,2,FALSE)</f>
        <v>360</v>
      </c>
      <c r="AA519" s="146">
        <f t="shared" si="225"/>
        <v>360</v>
      </c>
      <c r="AB519" s="143">
        <f t="shared" si="226"/>
        <v>1</v>
      </c>
      <c r="AC519" s="133">
        <f t="shared" si="227"/>
        <v>1</v>
      </c>
      <c r="AD519" s="142">
        <v>1</v>
      </c>
      <c r="AE519" s="141"/>
      <c r="AF519" s="121" t="s">
        <v>293</v>
      </c>
      <c r="AG519" s="146">
        <f>VLOOKUP(Takeoffs!AF519,Sheet1!$B$6:$C$124,2,FALSE)</f>
        <v>0</v>
      </c>
      <c r="AH519" s="146">
        <f t="shared" si="228"/>
        <v>0</v>
      </c>
      <c r="AI519" s="143">
        <f t="shared" si="229"/>
        <v>0</v>
      </c>
      <c r="AJ519" s="133">
        <f t="shared" si="230"/>
        <v>1</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410</v>
      </c>
      <c r="P520" s="121"/>
      <c r="Q520" s="66"/>
      <c r="R520" s="121"/>
      <c r="S520" s="133">
        <f>M500</f>
        <v>1</v>
      </c>
      <c r="T520" s="120"/>
      <c r="U520" s="121" t="s">
        <v>364</v>
      </c>
      <c r="V520" s="133">
        <f t="shared" si="224"/>
        <v>1</v>
      </c>
      <c r="W520" s="133">
        <f>VLOOKUP(U520,Sheet1!$B$6:$C$45,2,FALSE)*V520</f>
        <v>1</v>
      </c>
      <c r="X520" s="141"/>
      <c r="Y520" s="121" t="s">
        <v>293</v>
      </c>
      <c r="Z520" s="146">
        <f>VLOOKUP(Takeoffs!Y520,Sheet1!$B$6:$C$124,2,FALSE)</f>
        <v>0</v>
      </c>
      <c r="AA520" s="146">
        <f t="shared" si="225"/>
        <v>0</v>
      </c>
      <c r="AB520" s="143">
        <f t="shared" si="226"/>
        <v>1</v>
      </c>
      <c r="AC520" s="133">
        <f t="shared" si="227"/>
        <v>1</v>
      </c>
      <c r="AD520" s="142">
        <v>1</v>
      </c>
      <c r="AE520" s="141"/>
      <c r="AF520" s="121" t="s">
        <v>293</v>
      </c>
      <c r="AG520" s="146">
        <f>VLOOKUP(Takeoffs!AF520,Sheet1!$B$6:$C$124,2,FALSE)</f>
        <v>0</v>
      </c>
      <c r="AH520" s="146">
        <f t="shared" si="228"/>
        <v>0</v>
      </c>
      <c r="AI520" s="143">
        <f t="shared" si="229"/>
        <v>0</v>
      </c>
      <c r="AJ520" s="133">
        <f t="shared" si="230"/>
        <v>1</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379</v>
      </c>
      <c r="L521" s="128" t="s">
        <v>380</v>
      </c>
      <c r="N521" s="129"/>
      <c r="O521" s="130" t="s">
        <v>359</v>
      </c>
      <c r="P521" s="131">
        <f>V521+AA521+AH521</f>
        <v>1175.4359999999999</v>
      </c>
      <c r="Q521" s="131"/>
      <c r="R521" s="131"/>
      <c r="S521" s="130"/>
      <c r="T521" s="127"/>
      <c r="U521" s="126" t="s">
        <v>353</v>
      </c>
      <c r="V521" s="127">
        <f>W521*80</f>
        <v>480</v>
      </c>
      <c r="W521" s="147">
        <f>SUM(W500:W520)</f>
        <v>6</v>
      </c>
      <c r="X521" s="148"/>
      <c r="Y521" s="127" t="s">
        <v>354</v>
      </c>
      <c r="Z521" s="116"/>
      <c r="AA521" s="116">
        <f>SUM(AA500:AA520)</f>
        <v>690</v>
      </c>
      <c r="AB521" s="149"/>
      <c r="AC521" s="149"/>
      <c r="AD521" s="149"/>
      <c r="AE521" s="149"/>
      <c r="AF521" s="127" t="s">
        <v>358</v>
      </c>
      <c r="AG521" s="116"/>
      <c r="AH521" s="116">
        <f>SUM(AH500:AH520)</f>
        <v>5.4359999999999999</v>
      </c>
      <c r="AI521" s="149"/>
      <c r="AJ521" s="149"/>
      <c r="AK521" s="149"/>
      <c r="AL521" s="149"/>
      <c r="AM521" s="150">
        <f>P521</f>
        <v>1175.4359999999999</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494</v>
      </c>
      <c r="C522" s="217" t="str">
        <f>N500</f>
        <v>general fan with interlock to lighting circuit- from local power supply</v>
      </c>
      <c r="D522" s="260" t="str">
        <f>IF(B522="Shopping List",IF(ISNUMBER(SEARCH("MSSB",C522)),"MSSB",IF(ISNUMBER(SEARCH("local",C522)),"LOCAL","")))</f>
        <v>LOCAL</v>
      </c>
      <c r="E522" s="238"/>
      <c r="F522" s="217"/>
      <c r="G522" s="217"/>
      <c r="H522" s="245"/>
      <c r="I522" s="270">
        <v>1</v>
      </c>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one (1)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1175.4359999999999</v>
      </c>
      <c r="L522" s="234" t="str">
        <f>CONCATENATE(Q501,Q502,Q503,Q504,Q505,Q506,Q507,Q508,Q509,Q510,Q511,Q512,Q513,Q514,Q515,Q516,Q517,Q518,Q519,Q520,)</f>
        <v xml:space="preserve">local power supply </v>
      </c>
      <c r="M522" s="166" t="s">
        <v>369</v>
      </c>
      <c r="N522" s="160" t="str">
        <f>N500</f>
        <v>general fan with interlock to lighting circuit- from local power supply</v>
      </c>
      <c r="O522" s="160" t="s">
        <v>367</v>
      </c>
      <c r="P522" s="82">
        <f>P521/M500</f>
        <v>1175.4359999999999</v>
      </c>
      <c r="Q522" s="161"/>
      <c r="R522" s="161"/>
      <c r="S522" s="160"/>
      <c r="T522" s="161"/>
      <c r="U522" s="327" t="s">
        <v>368</v>
      </c>
      <c r="V522" s="327"/>
      <c r="W522" s="162">
        <f>W521/M500</f>
        <v>6</v>
      </c>
      <c r="X522" s="163"/>
      <c r="Y522" s="325" t="s">
        <v>367</v>
      </c>
      <c r="Z522" s="325"/>
      <c r="AA522" s="164">
        <f>AA521/M500</f>
        <v>690</v>
      </c>
      <c r="AB522" s="161"/>
      <c r="AC522" s="161"/>
      <c r="AD522" s="161"/>
      <c r="AE522" s="161"/>
      <c r="AF522" s="325" t="s">
        <v>367</v>
      </c>
      <c r="AG522" s="325"/>
      <c r="AH522" s="164">
        <f>AH521/M500</f>
        <v>5.4359999999999999</v>
      </c>
      <c r="AI522" s="161"/>
      <c r="AJ522" s="161"/>
      <c r="AK522" s="161"/>
      <c r="AL522" s="247"/>
      <c r="AM522" s="257"/>
      <c r="AN522" s="236">
        <f>K522*$D$9</f>
        <v>293.85899999999998</v>
      </c>
      <c r="AO522" s="286"/>
      <c r="AP522" s="284">
        <f t="shared" si="209"/>
        <v>1175.4359999999999</v>
      </c>
      <c r="AQ522" s="281">
        <f t="shared" si="210"/>
        <v>480</v>
      </c>
      <c r="AR522" s="284">
        <f t="shared" si="211"/>
        <v>690</v>
      </c>
      <c r="AS522" s="281">
        <f t="shared" si="212"/>
        <v>5.4359999999999999</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454</v>
      </c>
      <c r="M523" s="116" t="s">
        <v>107</v>
      </c>
      <c r="N523" s="116" t="s">
        <v>108</v>
      </c>
      <c r="O523" s="170" t="s">
        <v>388</v>
      </c>
      <c r="P523" s="326" t="s">
        <v>377</v>
      </c>
      <c r="Q523" s="326"/>
      <c r="R523" s="101" t="s">
        <v>454</v>
      </c>
      <c r="S523" s="116" t="s">
        <v>0</v>
      </c>
      <c r="T523" s="118"/>
      <c r="U523" s="116" t="s">
        <v>288</v>
      </c>
      <c r="V523" s="116" t="s">
        <v>289</v>
      </c>
      <c r="W523" s="116" t="s">
        <v>292</v>
      </c>
      <c r="X523" s="140"/>
      <c r="Y523" s="116" t="s">
        <v>290</v>
      </c>
      <c r="Z523" s="116" t="s">
        <v>356</v>
      </c>
      <c r="AA523" s="116" t="s">
        <v>357</v>
      </c>
      <c r="AB523" s="116" t="s">
        <v>319</v>
      </c>
      <c r="AC523" s="116" t="s">
        <v>320</v>
      </c>
      <c r="AD523" s="116" t="s">
        <v>318</v>
      </c>
      <c r="AE523" s="140"/>
      <c r="AF523" s="116" t="s">
        <v>294</v>
      </c>
      <c r="AG523" s="116" t="s">
        <v>356</v>
      </c>
      <c r="AH523" s="116" t="s">
        <v>357</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one</v>
      </c>
      <c r="M524" s="121">
        <f>I546</f>
        <v>1</v>
      </c>
      <c r="N524" s="132" t="s">
        <v>543</v>
      </c>
      <c r="O524" s="121" t="s">
        <v>349</v>
      </c>
      <c r="P524" s="169" t="s">
        <v>381</v>
      </c>
      <c r="Q524" s="169" t="s">
        <v>377</v>
      </c>
      <c r="R524" s="169"/>
      <c r="S524" s="133">
        <f>M524</f>
        <v>1</v>
      </c>
      <c r="T524" s="119"/>
      <c r="U524" s="121" t="s">
        <v>293</v>
      </c>
      <c r="V524" s="133">
        <f>S524</f>
        <v>1</v>
      </c>
      <c r="W524" s="133">
        <f>VLOOKUP(U524,Sheet1!$B$6:$C$45,2,FALSE)*V524</f>
        <v>0</v>
      </c>
      <c r="X524" s="141"/>
      <c r="Y524" s="121" t="s">
        <v>293</v>
      </c>
      <c r="Z524" s="146">
        <f>VLOOKUP(Takeoffs!Y524,Sheet1!$B$6:$C$124,2,FALSE)</f>
        <v>0</v>
      </c>
      <c r="AA524" s="146">
        <f>Z524*AB524</f>
        <v>0</v>
      </c>
      <c r="AB524" s="143">
        <f>AD524*AC524</f>
        <v>1</v>
      </c>
      <c r="AC524" s="133">
        <f>S524</f>
        <v>1</v>
      </c>
      <c r="AD524" s="142">
        <v>1</v>
      </c>
      <c r="AE524" s="141"/>
      <c r="AF524" s="121" t="s">
        <v>293</v>
      </c>
      <c r="AG524" s="146">
        <f>VLOOKUP(Takeoffs!AF524,Sheet1!$B$6:$C$124,2,FALSE)</f>
        <v>0</v>
      </c>
      <c r="AH524" s="146">
        <f>AG524*AI524</f>
        <v>0</v>
      </c>
      <c r="AI524" s="143">
        <f>AK524*AJ524</f>
        <v>0</v>
      </c>
      <c r="AJ524" s="133">
        <f>S524</f>
        <v>1</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342</v>
      </c>
      <c r="P525" s="121"/>
      <c r="Q525" s="66"/>
      <c r="R525" s="121"/>
      <c r="S525" s="133">
        <f>M524</f>
        <v>1</v>
      </c>
      <c r="T525" s="120"/>
      <c r="U525" s="121" t="s">
        <v>233</v>
      </c>
      <c r="V525" s="133">
        <f t="shared" ref="V525:V544" si="234">S525</f>
        <v>1</v>
      </c>
      <c r="W525" s="133">
        <f>VLOOKUP(U525,Sheet1!$B$6:$C$45,2,FALSE)*V525</f>
        <v>1</v>
      </c>
      <c r="X525" s="141"/>
      <c r="Y525" s="121" t="s">
        <v>293</v>
      </c>
      <c r="Z525" s="146">
        <f>VLOOKUP(Takeoffs!Y525,Sheet1!$B$6:$C$124,2,FALSE)</f>
        <v>0</v>
      </c>
      <c r="AA525" s="146">
        <f t="shared" ref="AA525:AA544" si="235">Z525*AB525</f>
        <v>0</v>
      </c>
      <c r="AB525" s="143">
        <f t="shared" ref="AB525:AB544" si="236">AD525*AC525</f>
        <v>1</v>
      </c>
      <c r="AC525" s="133">
        <f t="shared" ref="AC525:AC544" si="237">S525</f>
        <v>1</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1</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443</v>
      </c>
      <c r="P526" s="121" t="s">
        <v>542</v>
      </c>
      <c r="Q526" s="66" t="s">
        <v>690</v>
      </c>
      <c r="R526" s="121"/>
      <c r="S526" s="133">
        <f>M524</f>
        <v>1</v>
      </c>
      <c r="T526" s="120"/>
      <c r="U526" s="121" t="s">
        <v>363</v>
      </c>
      <c r="V526" s="133">
        <f t="shared" si="234"/>
        <v>1</v>
      </c>
      <c r="W526" s="133">
        <f>VLOOKUP(U526,Sheet1!$B$6:$C$45,2,FALSE)*V526</f>
        <v>1</v>
      </c>
      <c r="X526" s="141"/>
      <c r="Y526" s="121" t="s">
        <v>293</v>
      </c>
      <c r="Z526" s="146">
        <f>VLOOKUP(Takeoffs!Y526,Sheet1!$B$6:$C$124,2,FALSE)</f>
        <v>0</v>
      </c>
      <c r="AA526" s="146">
        <f t="shared" si="235"/>
        <v>0</v>
      </c>
      <c r="AB526" s="143">
        <f t="shared" si="236"/>
        <v>1</v>
      </c>
      <c r="AC526" s="133">
        <f t="shared" si="237"/>
        <v>1</v>
      </c>
      <c r="AD526" s="142">
        <v>1</v>
      </c>
      <c r="AE526" s="141"/>
      <c r="AF526" s="122" t="s">
        <v>268</v>
      </c>
      <c r="AG526" s="146">
        <f>VLOOKUP(Takeoffs!AF526,Sheet1!$B$6:$C$124,2,FALSE)</f>
        <v>1.02</v>
      </c>
      <c r="AH526" s="146">
        <f t="shared" si="238"/>
        <v>5.0999999999999996</v>
      </c>
      <c r="AI526" s="143">
        <f t="shared" si="239"/>
        <v>5</v>
      </c>
      <c r="AJ526" s="133">
        <f t="shared" si="240"/>
        <v>1</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408</v>
      </c>
      <c r="P527" s="121"/>
      <c r="Q527" s="66"/>
      <c r="R527" s="121"/>
      <c r="S527" s="133">
        <f>M524</f>
        <v>1</v>
      </c>
      <c r="T527" s="120"/>
      <c r="U527" s="121" t="s">
        <v>293</v>
      </c>
      <c r="V527" s="133">
        <f t="shared" si="234"/>
        <v>1</v>
      </c>
      <c r="W527" s="133">
        <f>VLOOKUP(U527,Sheet1!$B$6:$C$45,2,FALSE)*V527</f>
        <v>0</v>
      </c>
      <c r="X527" s="141"/>
      <c r="Y527" s="122" t="s">
        <v>247</v>
      </c>
      <c r="Z527" s="146">
        <f>VLOOKUP(Takeoffs!Y527,Sheet1!$B$6:$C$124,2,FALSE)</f>
        <v>23.76</v>
      </c>
      <c r="AA527" s="146">
        <f t="shared" si="235"/>
        <v>23.76</v>
      </c>
      <c r="AB527" s="143">
        <f t="shared" si="236"/>
        <v>1</v>
      </c>
      <c r="AC527" s="133">
        <f t="shared" si="237"/>
        <v>1</v>
      </c>
      <c r="AD527" s="142">
        <v>1</v>
      </c>
      <c r="AE527" s="141"/>
      <c r="AF527" s="121" t="s">
        <v>293</v>
      </c>
      <c r="AG527" s="146">
        <f>VLOOKUP(Takeoffs!AF527,Sheet1!$B$6:$C$124,2,FALSE)</f>
        <v>0</v>
      </c>
      <c r="AH527" s="146">
        <f t="shared" si="238"/>
        <v>0</v>
      </c>
      <c r="AI527" s="143">
        <f t="shared" si="239"/>
        <v>0</v>
      </c>
      <c r="AJ527" s="133">
        <f t="shared" si="240"/>
        <v>1</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1</v>
      </c>
      <c r="T528" s="120"/>
      <c r="U528" s="121" t="s">
        <v>293</v>
      </c>
      <c r="V528" s="133">
        <f t="shared" si="234"/>
        <v>1</v>
      </c>
      <c r="W528" s="133">
        <f>VLOOKUP(U528,Sheet1!$B$6:$C$45,2,FALSE)*V528</f>
        <v>0</v>
      </c>
      <c r="X528" s="141"/>
      <c r="Y528" s="121" t="s">
        <v>293</v>
      </c>
      <c r="Z528" s="146">
        <f>VLOOKUP(Takeoffs!Y528,Sheet1!$B$6:$C$124,2,FALSE)</f>
        <v>0</v>
      </c>
      <c r="AA528" s="146">
        <f t="shared" si="235"/>
        <v>0</v>
      </c>
      <c r="AB528" s="143">
        <f t="shared" si="236"/>
        <v>1</v>
      </c>
      <c r="AC528" s="133">
        <f t="shared" si="237"/>
        <v>1</v>
      </c>
      <c r="AD528" s="142">
        <v>1</v>
      </c>
      <c r="AE528" s="141"/>
      <c r="AF528" s="121" t="s">
        <v>293</v>
      </c>
      <c r="AG528" s="146">
        <f>VLOOKUP(Takeoffs!AF528,Sheet1!$B$6:$C$124,2,FALSE)</f>
        <v>0</v>
      </c>
      <c r="AH528" s="146">
        <f t="shared" si="238"/>
        <v>0</v>
      </c>
      <c r="AI528" s="143">
        <f t="shared" si="239"/>
        <v>0</v>
      </c>
      <c r="AJ528" s="133">
        <f t="shared" si="240"/>
        <v>1</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1</v>
      </c>
      <c r="T529" s="120"/>
      <c r="U529" s="121" t="s">
        <v>293</v>
      </c>
      <c r="V529" s="133">
        <f t="shared" si="234"/>
        <v>1</v>
      </c>
      <c r="W529" s="133">
        <f>VLOOKUP(U529,Sheet1!$B$6:$C$45,2,FALSE)*V529</f>
        <v>0</v>
      </c>
      <c r="X529" s="141"/>
      <c r="Y529" s="121" t="s">
        <v>293</v>
      </c>
      <c r="Z529" s="146">
        <f>VLOOKUP(Takeoffs!Y529,Sheet1!$B$6:$C$124,2,FALSE)</f>
        <v>0</v>
      </c>
      <c r="AA529" s="146">
        <f t="shared" si="235"/>
        <v>0</v>
      </c>
      <c r="AB529" s="143">
        <f t="shared" si="236"/>
        <v>1</v>
      </c>
      <c r="AC529" s="133">
        <f t="shared" si="237"/>
        <v>1</v>
      </c>
      <c r="AD529" s="142">
        <v>1</v>
      </c>
      <c r="AE529" s="141"/>
      <c r="AF529" s="121" t="s">
        <v>293</v>
      </c>
      <c r="AG529" s="146">
        <f>VLOOKUP(Takeoffs!AF529,Sheet1!$B$6:$C$124,2,FALSE)</f>
        <v>0</v>
      </c>
      <c r="AH529" s="146">
        <f t="shared" si="238"/>
        <v>0</v>
      </c>
      <c r="AI529" s="143">
        <f t="shared" si="239"/>
        <v>0</v>
      </c>
      <c r="AJ529" s="133">
        <f t="shared" si="240"/>
        <v>1</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1</v>
      </c>
      <c r="T530" s="120"/>
      <c r="U530" s="121" t="s">
        <v>293</v>
      </c>
      <c r="V530" s="133">
        <f t="shared" si="234"/>
        <v>1</v>
      </c>
      <c r="W530" s="133">
        <f>VLOOKUP(U530,Sheet1!$B$6:$C$45,2,FALSE)*V530</f>
        <v>0</v>
      </c>
      <c r="X530" s="141"/>
      <c r="Y530" s="121" t="s">
        <v>293</v>
      </c>
      <c r="Z530" s="146">
        <f>VLOOKUP(Takeoffs!Y530,Sheet1!$B$6:$C$124,2,FALSE)</f>
        <v>0</v>
      </c>
      <c r="AA530" s="146">
        <f t="shared" si="235"/>
        <v>0</v>
      </c>
      <c r="AB530" s="143">
        <f t="shared" si="236"/>
        <v>1</v>
      </c>
      <c r="AC530" s="133">
        <f t="shared" si="237"/>
        <v>1</v>
      </c>
      <c r="AD530" s="142">
        <v>1</v>
      </c>
      <c r="AE530" s="141"/>
      <c r="AF530" s="121" t="s">
        <v>293</v>
      </c>
      <c r="AG530" s="146">
        <f>VLOOKUP(Takeoffs!AF530,Sheet1!$B$6:$C$124,2,FALSE)</f>
        <v>0</v>
      </c>
      <c r="AH530" s="146">
        <f t="shared" si="238"/>
        <v>0</v>
      </c>
      <c r="AI530" s="143">
        <f t="shared" si="239"/>
        <v>0</v>
      </c>
      <c r="AJ530" s="133">
        <f t="shared" si="240"/>
        <v>1</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1</v>
      </c>
      <c r="T531" s="120"/>
      <c r="U531" s="121" t="s">
        <v>293</v>
      </c>
      <c r="V531" s="133">
        <f t="shared" si="234"/>
        <v>1</v>
      </c>
      <c r="W531" s="133">
        <f>VLOOKUP(U531,Sheet1!$B$6:$C$45,2,FALSE)*V531</f>
        <v>0</v>
      </c>
      <c r="X531" s="141"/>
      <c r="Y531" s="121" t="s">
        <v>293</v>
      </c>
      <c r="Z531" s="146">
        <f>VLOOKUP(Takeoffs!Y531,Sheet1!$B$6:$C$124,2,FALSE)</f>
        <v>0</v>
      </c>
      <c r="AA531" s="146">
        <f t="shared" si="235"/>
        <v>0</v>
      </c>
      <c r="AB531" s="143">
        <f t="shared" si="236"/>
        <v>1</v>
      </c>
      <c r="AC531" s="133">
        <f t="shared" si="237"/>
        <v>1</v>
      </c>
      <c r="AD531" s="142">
        <v>1</v>
      </c>
      <c r="AE531" s="141"/>
      <c r="AF531" s="121" t="s">
        <v>293</v>
      </c>
      <c r="AG531" s="146">
        <f>VLOOKUP(Takeoffs!AF531,Sheet1!$B$6:$C$124,2,FALSE)</f>
        <v>0</v>
      </c>
      <c r="AH531" s="146">
        <f t="shared" si="238"/>
        <v>0</v>
      </c>
      <c r="AI531" s="143">
        <f t="shared" si="239"/>
        <v>0</v>
      </c>
      <c r="AJ531" s="133">
        <f t="shared" si="240"/>
        <v>1</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330</v>
      </c>
      <c r="P532" s="121"/>
      <c r="Q532" s="66"/>
      <c r="R532" s="121"/>
      <c r="S532" s="133">
        <f>M524</f>
        <v>1</v>
      </c>
      <c r="T532" s="120"/>
      <c r="U532" s="121" t="s">
        <v>242</v>
      </c>
      <c r="V532" s="133">
        <f t="shared" si="234"/>
        <v>1</v>
      </c>
      <c r="W532" s="133">
        <f>VLOOKUP(U532,Sheet1!$B$6:$C$45,2,FALSE)*V532</f>
        <v>2</v>
      </c>
      <c r="X532" s="141"/>
      <c r="Y532" s="121" t="s">
        <v>293</v>
      </c>
      <c r="Z532" s="146">
        <f>VLOOKUP(Takeoffs!Y532,Sheet1!$B$6:$C$124,2,FALSE)</f>
        <v>0</v>
      </c>
      <c r="AA532" s="146">
        <f t="shared" si="235"/>
        <v>0</v>
      </c>
      <c r="AB532" s="143">
        <f t="shared" si="236"/>
        <v>1</v>
      </c>
      <c r="AC532" s="133">
        <f t="shared" si="237"/>
        <v>1</v>
      </c>
      <c r="AD532" s="142">
        <v>1</v>
      </c>
      <c r="AE532" s="141"/>
      <c r="AF532" s="121" t="s">
        <v>293</v>
      </c>
      <c r="AG532" s="146">
        <f>VLOOKUP(Takeoffs!AF532,Sheet1!$B$6:$C$124,2,FALSE)</f>
        <v>0</v>
      </c>
      <c r="AH532" s="146">
        <f t="shared" si="238"/>
        <v>0</v>
      </c>
      <c r="AI532" s="143">
        <f t="shared" si="239"/>
        <v>0</v>
      </c>
      <c r="AJ532" s="133">
        <f t="shared" si="240"/>
        <v>1</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1</v>
      </c>
      <c r="T533" s="120"/>
      <c r="U533" s="121" t="s">
        <v>293</v>
      </c>
      <c r="V533" s="133">
        <f t="shared" si="234"/>
        <v>1</v>
      </c>
      <c r="W533" s="133">
        <f>VLOOKUP(U533,Sheet1!$B$6:$C$45,2,FALSE)*V533</f>
        <v>0</v>
      </c>
      <c r="X533" s="141"/>
      <c r="Y533" s="121" t="s">
        <v>293</v>
      </c>
      <c r="Z533" s="146">
        <f>VLOOKUP(Takeoffs!Y533,Sheet1!$B$6:$C$124,2,FALSE)</f>
        <v>0</v>
      </c>
      <c r="AA533" s="146">
        <f t="shared" si="235"/>
        <v>0</v>
      </c>
      <c r="AB533" s="143">
        <f t="shared" si="236"/>
        <v>1</v>
      </c>
      <c r="AC533" s="133">
        <f t="shared" si="237"/>
        <v>1</v>
      </c>
      <c r="AD533" s="142">
        <v>1</v>
      </c>
      <c r="AE533" s="141"/>
      <c r="AF533" s="121" t="s">
        <v>293</v>
      </c>
      <c r="AG533" s="146">
        <f>VLOOKUP(Takeoffs!AF533,Sheet1!$B$6:$C$124,2,FALSE)</f>
        <v>0</v>
      </c>
      <c r="AH533" s="146">
        <f t="shared" si="238"/>
        <v>0</v>
      </c>
      <c r="AI533" s="143">
        <f t="shared" si="239"/>
        <v>0</v>
      </c>
      <c r="AJ533" s="133">
        <f t="shared" si="240"/>
        <v>1</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1</v>
      </c>
      <c r="T534" s="120"/>
      <c r="U534" s="121" t="s">
        <v>293</v>
      </c>
      <c r="V534" s="133">
        <f t="shared" si="234"/>
        <v>1</v>
      </c>
      <c r="W534" s="133">
        <f>VLOOKUP(U534,Sheet1!$B$6:$C$45,2,FALSE)*V534</f>
        <v>0</v>
      </c>
      <c r="X534" s="141"/>
      <c r="Y534" s="121" t="s">
        <v>293</v>
      </c>
      <c r="Z534" s="146">
        <f>VLOOKUP(Takeoffs!Y534,Sheet1!$B$6:$C$124,2,FALSE)</f>
        <v>0</v>
      </c>
      <c r="AA534" s="146">
        <f t="shared" si="235"/>
        <v>0</v>
      </c>
      <c r="AB534" s="143">
        <f t="shared" si="236"/>
        <v>1</v>
      </c>
      <c r="AC534" s="133">
        <f t="shared" si="237"/>
        <v>1</v>
      </c>
      <c r="AD534" s="142">
        <v>1</v>
      </c>
      <c r="AE534" s="141"/>
      <c r="AF534" s="121" t="s">
        <v>293</v>
      </c>
      <c r="AG534" s="146">
        <f>VLOOKUP(Takeoffs!AF534,Sheet1!$B$6:$C$124,2,FALSE)</f>
        <v>0</v>
      </c>
      <c r="AH534" s="146">
        <f t="shared" si="238"/>
        <v>0</v>
      </c>
      <c r="AI534" s="143">
        <f t="shared" si="239"/>
        <v>0</v>
      </c>
      <c r="AJ534" s="133">
        <f t="shared" si="240"/>
        <v>1</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1</v>
      </c>
      <c r="T535" s="120"/>
      <c r="U535" s="121" t="s">
        <v>293</v>
      </c>
      <c r="V535" s="133">
        <f t="shared" si="234"/>
        <v>1</v>
      </c>
      <c r="W535" s="133">
        <f>VLOOKUP(U535,Sheet1!$B$6:$C$45,2,FALSE)*V535</f>
        <v>0</v>
      </c>
      <c r="X535" s="141"/>
      <c r="Y535" s="121" t="s">
        <v>293</v>
      </c>
      <c r="Z535" s="146">
        <f>VLOOKUP(Takeoffs!Y535,Sheet1!$B$6:$C$124,2,FALSE)</f>
        <v>0</v>
      </c>
      <c r="AA535" s="146">
        <f t="shared" si="235"/>
        <v>0</v>
      </c>
      <c r="AB535" s="143">
        <f t="shared" si="236"/>
        <v>1</v>
      </c>
      <c r="AC535" s="133">
        <f t="shared" si="237"/>
        <v>1</v>
      </c>
      <c r="AD535" s="142">
        <v>1</v>
      </c>
      <c r="AE535" s="141"/>
      <c r="AF535" s="121" t="s">
        <v>293</v>
      </c>
      <c r="AG535" s="146">
        <f>VLOOKUP(Takeoffs!AF535,Sheet1!$B$6:$C$124,2,FALSE)</f>
        <v>0</v>
      </c>
      <c r="AH535" s="146">
        <f t="shared" si="238"/>
        <v>0</v>
      </c>
      <c r="AI535" s="143">
        <f t="shared" si="239"/>
        <v>0</v>
      </c>
      <c r="AJ535" s="133">
        <f t="shared" si="240"/>
        <v>1</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1</v>
      </c>
      <c r="T536" s="120"/>
      <c r="U536" s="121" t="s">
        <v>293</v>
      </c>
      <c r="V536" s="133">
        <f t="shared" si="234"/>
        <v>1</v>
      </c>
      <c r="W536" s="133">
        <f>VLOOKUP(U536,Sheet1!$B$6:$C$45,2,FALSE)*V536</f>
        <v>0</v>
      </c>
      <c r="X536" s="141"/>
      <c r="Y536" s="121" t="s">
        <v>293</v>
      </c>
      <c r="Z536" s="146">
        <f>VLOOKUP(Takeoffs!Y536,Sheet1!$B$6:$C$124,2,FALSE)</f>
        <v>0</v>
      </c>
      <c r="AA536" s="146">
        <f t="shared" si="235"/>
        <v>0</v>
      </c>
      <c r="AB536" s="143">
        <f t="shared" si="236"/>
        <v>1</v>
      </c>
      <c r="AC536" s="133">
        <f t="shared" si="237"/>
        <v>1</v>
      </c>
      <c r="AD536" s="142">
        <v>1</v>
      </c>
      <c r="AE536" s="141"/>
      <c r="AF536" s="152" t="s">
        <v>420</v>
      </c>
      <c r="AG536" s="146">
        <f>VLOOKUP(Takeoffs!AF536,Sheet1!$B$6:$C$124,2,FALSE)</f>
        <v>0.33600000000000002</v>
      </c>
      <c r="AH536" s="146">
        <f t="shared" si="238"/>
        <v>0.33600000000000002</v>
      </c>
      <c r="AI536" s="143">
        <f t="shared" si="239"/>
        <v>1</v>
      </c>
      <c r="AJ536" s="133">
        <f t="shared" si="240"/>
        <v>1</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1</v>
      </c>
      <c r="T537" s="120"/>
      <c r="U537" s="121" t="s">
        <v>232</v>
      </c>
      <c r="V537" s="133">
        <f t="shared" si="234"/>
        <v>1</v>
      </c>
      <c r="W537" s="133">
        <f>VLOOKUP(U537,Sheet1!$B$6:$C$45,2,FALSE)*V537</f>
        <v>1</v>
      </c>
      <c r="X537" s="141"/>
      <c r="Y537" s="122" t="s">
        <v>281</v>
      </c>
      <c r="Z537" s="146">
        <f>VLOOKUP(Takeoffs!Y537,Sheet1!$B$6:$C$124,2,FALSE)</f>
        <v>109.25999999999999</v>
      </c>
      <c r="AA537" s="146">
        <f t="shared" si="235"/>
        <v>109.25999999999999</v>
      </c>
      <c r="AB537" s="143">
        <f t="shared" si="236"/>
        <v>1</v>
      </c>
      <c r="AC537" s="133">
        <f t="shared" si="237"/>
        <v>1</v>
      </c>
      <c r="AD537" s="142">
        <v>1</v>
      </c>
      <c r="AE537" s="141"/>
      <c r="AF537" s="121" t="s">
        <v>293</v>
      </c>
      <c r="AG537" s="146">
        <f>VLOOKUP(Takeoffs!AF537,Sheet1!$B$6:$C$124,2,FALSE)</f>
        <v>0</v>
      </c>
      <c r="AH537" s="146">
        <f t="shared" si="238"/>
        <v>0</v>
      </c>
      <c r="AI537" s="143">
        <f t="shared" si="239"/>
        <v>0</v>
      </c>
      <c r="AJ537" s="133">
        <f t="shared" si="240"/>
        <v>1</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544</v>
      </c>
      <c r="P538" s="121"/>
      <c r="Q538" s="66"/>
      <c r="R538" s="121"/>
      <c r="S538" s="133">
        <f>M524</f>
        <v>1</v>
      </c>
      <c r="T538" s="120"/>
      <c r="U538" s="121" t="s">
        <v>293</v>
      </c>
      <c r="V538" s="133">
        <f t="shared" si="234"/>
        <v>1</v>
      </c>
      <c r="W538" s="133">
        <f>VLOOKUP(U538,Sheet1!$B$6:$C$45,2,FALSE)*V538</f>
        <v>0</v>
      </c>
      <c r="X538" s="141"/>
      <c r="Y538" s="122" t="s">
        <v>328</v>
      </c>
      <c r="Z538" s="146">
        <f>VLOOKUP(Takeoffs!Y538,Sheet1!$B$6:$C$124,2,FALSE)</f>
        <v>29.04</v>
      </c>
      <c r="AA538" s="146">
        <f t="shared" si="235"/>
        <v>29.04</v>
      </c>
      <c r="AB538" s="143">
        <f t="shared" si="236"/>
        <v>1</v>
      </c>
      <c r="AC538" s="133">
        <f t="shared" si="237"/>
        <v>1</v>
      </c>
      <c r="AD538" s="142">
        <v>1</v>
      </c>
      <c r="AE538" s="141"/>
      <c r="AF538" s="121" t="s">
        <v>293</v>
      </c>
      <c r="AG538" s="146">
        <f>VLOOKUP(Takeoffs!AF538,Sheet1!$B$6:$C$124,2,FALSE)</f>
        <v>0</v>
      </c>
      <c r="AH538" s="146">
        <f t="shared" si="238"/>
        <v>0</v>
      </c>
      <c r="AI538" s="143">
        <f t="shared" si="239"/>
        <v>0</v>
      </c>
      <c r="AJ538" s="133">
        <f t="shared" si="240"/>
        <v>1</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339</v>
      </c>
      <c r="P539" s="121"/>
      <c r="Q539" s="66"/>
      <c r="R539" s="121" t="s">
        <v>333</v>
      </c>
      <c r="S539" s="133">
        <f>M524</f>
        <v>1</v>
      </c>
      <c r="T539" s="120"/>
      <c r="U539" s="121" t="s">
        <v>293</v>
      </c>
      <c r="V539" s="133">
        <f t="shared" si="234"/>
        <v>1</v>
      </c>
      <c r="W539" s="133">
        <f>VLOOKUP(U539,Sheet1!$B$6:$C$45,2,FALSE)*V539</f>
        <v>0</v>
      </c>
      <c r="X539" s="141"/>
      <c r="Y539" s="122" t="s">
        <v>280</v>
      </c>
      <c r="Z539" s="146">
        <f>VLOOKUP(Takeoffs!Y539,Sheet1!$B$6:$C$124,2,FALSE)</f>
        <v>19.2</v>
      </c>
      <c r="AA539" s="146">
        <f t="shared" si="235"/>
        <v>38.4</v>
      </c>
      <c r="AB539" s="143">
        <f t="shared" si="236"/>
        <v>2</v>
      </c>
      <c r="AC539" s="133">
        <f t="shared" si="237"/>
        <v>1</v>
      </c>
      <c r="AD539" s="142">
        <v>2</v>
      </c>
      <c r="AE539" s="141"/>
      <c r="AF539" s="121" t="s">
        <v>293</v>
      </c>
      <c r="AG539" s="146">
        <f>VLOOKUP(Takeoffs!AF539,Sheet1!$B$6:$C$124,2,FALSE)</f>
        <v>0</v>
      </c>
      <c r="AH539" s="146">
        <f t="shared" si="238"/>
        <v>0</v>
      </c>
      <c r="AI539" s="143">
        <f t="shared" si="239"/>
        <v>0</v>
      </c>
      <c r="AJ539" s="133">
        <f t="shared" si="240"/>
        <v>1</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1</v>
      </c>
      <c r="T540" s="120"/>
      <c r="U540" s="121" t="s">
        <v>293</v>
      </c>
      <c r="V540" s="133">
        <f t="shared" si="234"/>
        <v>1</v>
      </c>
      <c r="W540" s="133">
        <f>VLOOKUP(U540,Sheet1!$B$6:$C$45,2,FALSE)*V540</f>
        <v>0</v>
      </c>
      <c r="X540" s="141"/>
      <c r="Y540" s="121" t="s">
        <v>293</v>
      </c>
      <c r="Z540" s="146">
        <f>VLOOKUP(Takeoffs!Y540,Sheet1!$B$6:$C$124,2,FALSE)</f>
        <v>0</v>
      </c>
      <c r="AA540" s="146">
        <f t="shared" si="235"/>
        <v>0</v>
      </c>
      <c r="AB540" s="143">
        <f t="shared" si="236"/>
        <v>1</v>
      </c>
      <c r="AC540" s="133">
        <f t="shared" si="237"/>
        <v>1</v>
      </c>
      <c r="AD540" s="142">
        <v>1</v>
      </c>
      <c r="AE540" s="141"/>
      <c r="AF540" s="121" t="s">
        <v>293</v>
      </c>
      <c r="AG540" s="146">
        <f>VLOOKUP(Takeoffs!AF540,Sheet1!$B$6:$C$124,2,FALSE)</f>
        <v>0</v>
      </c>
      <c r="AH540" s="146">
        <f t="shared" si="238"/>
        <v>0</v>
      </c>
      <c r="AI540" s="143">
        <f t="shared" si="239"/>
        <v>0</v>
      </c>
      <c r="AJ540" s="133">
        <f t="shared" si="240"/>
        <v>1</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331</v>
      </c>
      <c r="P541" s="121"/>
      <c r="Q541" s="66"/>
      <c r="R541" s="121" t="s">
        <v>305</v>
      </c>
      <c r="S541" s="133">
        <f>M524</f>
        <v>1</v>
      </c>
      <c r="T541" s="120"/>
      <c r="U541" s="121" t="s">
        <v>293</v>
      </c>
      <c r="V541" s="133">
        <f t="shared" si="234"/>
        <v>1</v>
      </c>
      <c r="W541" s="133">
        <f>VLOOKUP(U541,Sheet1!$B$6:$C$45,2,FALSE)*V541</f>
        <v>0</v>
      </c>
      <c r="X541" s="141"/>
      <c r="Y541" s="122" t="s">
        <v>277</v>
      </c>
      <c r="Z541" s="146">
        <f>VLOOKUP(Takeoffs!Y541,Sheet1!$B$6:$C$124,2,FALSE)</f>
        <v>69.540000000000006</v>
      </c>
      <c r="AA541" s="146">
        <f t="shared" si="235"/>
        <v>69.540000000000006</v>
      </c>
      <c r="AB541" s="143">
        <f t="shared" si="236"/>
        <v>1</v>
      </c>
      <c r="AC541" s="133">
        <f t="shared" si="237"/>
        <v>1</v>
      </c>
      <c r="AD541" s="142">
        <v>1</v>
      </c>
      <c r="AE541" s="141"/>
      <c r="AF541" s="121" t="s">
        <v>293</v>
      </c>
      <c r="AG541" s="146">
        <f>VLOOKUP(Takeoffs!AF541,Sheet1!$B$6:$C$124,2,FALSE)</f>
        <v>0</v>
      </c>
      <c r="AH541" s="146">
        <f t="shared" si="238"/>
        <v>0</v>
      </c>
      <c r="AI541" s="143">
        <f t="shared" si="239"/>
        <v>0</v>
      </c>
      <c r="AJ541" s="133">
        <f t="shared" si="240"/>
        <v>1</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340</v>
      </c>
      <c r="P542" s="121"/>
      <c r="Q542" s="66"/>
      <c r="R542" s="121"/>
      <c r="S542" s="133">
        <f>M524</f>
        <v>1</v>
      </c>
      <c r="T542" s="120"/>
      <c r="U542" s="121" t="s">
        <v>293</v>
      </c>
      <c r="V542" s="133">
        <f t="shared" si="234"/>
        <v>1</v>
      </c>
      <c r="W542" s="133">
        <f>VLOOKUP(U542,Sheet1!$B$6:$C$45,2,FALSE)*V542</f>
        <v>0</v>
      </c>
      <c r="X542" s="141"/>
      <c r="Y542" s="122" t="s">
        <v>335</v>
      </c>
      <c r="Z542" s="146">
        <f>VLOOKUP(Takeoffs!Y542,Sheet1!$B$6:$C$124,2,FALSE)</f>
        <v>60</v>
      </c>
      <c r="AA542" s="146">
        <f t="shared" si="235"/>
        <v>60</v>
      </c>
      <c r="AB542" s="143">
        <f t="shared" si="236"/>
        <v>1</v>
      </c>
      <c r="AC542" s="133">
        <f t="shared" si="237"/>
        <v>1</v>
      </c>
      <c r="AD542" s="142">
        <v>1</v>
      </c>
      <c r="AE542" s="141"/>
      <c r="AF542" s="121" t="s">
        <v>293</v>
      </c>
      <c r="AG542" s="146">
        <f>VLOOKUP(Takeoffs!AF542,Sheet1!$B$6:$C$124,2,FALSE)</f>
        <v>0</v>
      </c>
      <c r="AH542" s="146">
        <f t="shared" si="238"/>
        <v>0</v>
      </c>
      <c r="AI542" s="143">
        <f t="shared" si="239"/>
        <v>0</v>
      </c>
      <c r="AJ542" s="133">
        <f t="shared" si="240"/>
        <v>1</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409</v>
      </c>
      <c r="P543" s="121"/>
      <c r="Q543" s="66"/>
      <c r="R543" s="121"/>
      <c r="S543" s="133">
        <f>M524</f>
        <v>1</v>
      </c>
      <c r="T543" s="120"/>
      <c r="U543" s="121" t="s">
        <v>293</v>
      </c>
      <c r="V543" s="133">
        <f t="shared" si="234"/>
        <v>1</v>
      </c>
      <c r="W543" s="133">
        <f>VLOOKUP(U543,Sheet1!$B$6:$C$45,2,FALSE)*V543</f>
        <v>0</v>
      </c>
      <c r="X543" s="141"/>
      <c r="Y543" s="121" t="s">
        <v>274</v>
      </c>
      <c r="Z543" s="146">
        <f>VLOOKUP(Takeoffs!Y543,Sheet1!$B$6:$C$124,2,FALSE)</f>
        <v>360</v>
      </c>
      <c r="AA543" s="146">
        <f t="shared" si="235"/>
        <v>360</v>
      </c>
      <c r="AB543" s="143">
        <f t="shared" si="236"/>
        <v>1</v>
      </c>
      <c r="AC543" s="133">
        <f t="shared" si="237"/>
        <v>1</v>
      </c>
      <c r="AD543" s="142">
        <v>1</v>
      </c>
      <c r="AE543" s="141"/>
      <c r="AF543" s="121" t="s">
        <v>293</v>
      </c>
      <c r="AG543" s="146">
        <f>VLOOKUP(Takeoffs!AF543,Sheet1!$B$6:$C$124,2,FALSE)</f>
        <v>0</v>
      </c>
      <c r="AH543" s="146">
        <f t="shared" si="238"/>
        <v>0</v>
      </c>
      <c r="AI543" s="143">
        <f t="shared" si="239"/>
        <v>0</v>
      </c>
      <c r="AJ543" s="133">
        <f t="shared" si="240"/>
        <v>1</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410</v>
      </c>
      <c r="P544" s="121"/>
      <c r="Q544" s="66"/>
      <c r="R544" s="121"/>
      <c r="S544" s="133">
        <f>M524</f>
        <v>1</v>
      </c>
      <c r="T544" s="120"/>
      <c r="U544" s="121" t="s">
        <v>364</v>
      </c>
      <c r="V544" s="133">
        <f t="shared" si="234"/>
        <v>1</v>
      </c>
      <c r="W544" s="133">
        <f>VLOOKUP(U544,Sheet1!$B$6:$C$45,2,FALSE)*V544</f>
        <v>1</v>
      </c>
      <c r="X544" s="141"/>
      <c r="Y544" s="121" t="s">
        <v>293</v>
      </c>
      <c r="Z544" s="146">
        <f>VLOOKUP(Takeoffs!Y544,Sheet1!$B$6:$C$124,2,FALSE)</f>
        <v>0</v>
      </c>
      <c r="AA544" s="146">
        <f t="shared" si="235"/>
        <v>0</v>
      </c>
      <c r="AB544" s="143">
        <f t="shared" si="236"/>
        <v>1</v>
      </c>
      <c r="AC544" s="133">
        <f t="shared" si="237"/>
        <v>1</v>
      </c>
      <c r="AD544" s="142">
        <v>1</v>
      </c>
      <c r="AE544" s="141"/>
      <c r="AF544" s="121" t="s">
        <v>293</v>
      </c>
      <c r="AG544" s="146">
        <f>VLOOKUP(Takeoffs!AF544,Sheet1!$B$6:$C$124,2,FALSE)</f>
        <v>0</v>
      </c>
      <c r="AH544" s="146">
        <f t="shared" si="238"/>
        <v>0</v>
      </c>
      <c r="AI544" s="143">
        <f t="shared" si="239"/>
        <v>0</v>
      </c>
      <c r="AJ544" s="133">
        <f t="shared" si="240"/>
        <v>1</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379</v>
      </c>
      <c r="L545" s="128" t="s">
        <v>380</v>
      </c>
      <c r="N545" s="129"/>
      <c r="O545" s="130" t="s">
        <v>359</v>
      </c>
      <c r="P545" s="131">
        <f>V545+AA545+AH545</f>
        <v>1175.4359999999999</v>
      </c>
      <c r="Q545" s="131"/>
      <c r="R545" s="131"/>
      <c r="S545" s="130"/>
      <c r="T545" s="127"/>
      <c r="U545" s="126" t="s">
        <v>353</v>
      </c>
      <c r="V545" s="127">
        <f>W545*80</f>
        <v>480</v>
      </c>
      <c r="W545" s="147">
        <f>SUM(W524:W544)</f>
        <v>6</v>
      </c>
      <c r="X545" s="148"/>
      <c r="Y545" s="127" t="s">
        <v>354</v>
      </c>
      <c r="Z545" s="116"/>
      <c r="AA545" s="116">
        <f>SUM(AA524:AA544)</f>
        <v>690</v>
      </c>
      <c r="AB545" s="149"/>
      <c r="AC545" s="149"/>
      <c r="AD545" s="149"/>
      <c r="AE545" s="149"/>
      <c r="AF545" s="127" t="s">
        <v>358</v>
      </c>
      <c r="AG545" s="116"/>
      <c r="AH545" s="116">
        <f>SUM(AH524:AH544)</f>
        <v>5.4359999999999999</v>
      </c>
      <c r="AI545" s="149"/>
      <c r="AJ545" s="149"/>
      <c r="AK545" s="149"/>
      <c r="AL545" s="149"/>
      <c r="AM545" s="150">
        <f>P545</f>
        <v>1175.4359999999999</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494</v>
      </c>
      <c r="C546" s="217" t="str">
        <f>N524</f>
        <v>general fan with interlock - from local power supply</v>
      </c>
      <c r="D546" s="260" t="str">
        <f>IF(B546="Shopping List",IF(ISNUMBER(SEARCH("MSSB",C546)),"MSSB",IF(ISNUMBER(SEARCH("local",C546)),"LOCAL","")))</f>
        <v>LOCAL</v>
      </c>
      <c r="E546" s="238"/>
      <c r="F546" s="217"/>
      <c r="G546" s="217"/>
      <c r="H546" s="245"/>
      <c r="I546" s="270">
        <v>1</v>
      </c>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one (1)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1175.4359999999999</v>
      </c>
      <c r="L546" s="234" t="str">
        <f>CONCATENATE(Q525,Q526,Q527,Q528,Q529,Q530,Q531,Q532,Q533,Q534,Q535,Q536,Q537,Q538,Q539,Q540,Q541,Q542,Q543,Q544,)</f>
        <v xml:space="preserve">local power supply </v>
      </c>
      <c r="M546" s="166" t="s">
        <v>369</v>
      </c>
      <c r="N546" s="160" t="str">
        <f>N524</f>
        <v>general fan with interlock - from local power supply</v>
      </c>
      <c r="O546" s="160" t="s">
        <v>367</v>
      </c>
      <c r="P546" s="82">
        <f>P545/M524</f>
        <v>1175.4359999999999</v>
      </c>
      <c r="Q546" s="161"/>
      <c r="R546" s="161"/>
      <c r="S546" s="160"/>
      <c r="T546" s="161"/>
      <c r="U546" s="327" t="s">
        <v>368</v>
      </c>
      <c r="V546" s="327"/>
      <c r="W546" s="162">
        <f>W545/M524</f>
        <v>6</v>
      </c>
      <c r="X546" s="163"/>
      <c r="Y546" s="325" t="s">
        <v>367</v>
      </c>
      <c r="Z546" s="325"/>
      <c r="AA546" s="164">
        <f>AA545/M524</f>
        <v>690</v>
      </c>
      <c r="AB546" s="161"/>
      <c r="AC546" s="161"/>
      <c r="AD546" s="161"/>
      <c r="AE546" s="161"/>
      <c r="AF546" s="325" t="s">
        <v>367</v>
      </c>
      <c r="AG546" s="325"/>
      <c r="AH546" s="164">
        <f>AH545/M524</f>
        <v>5.4359999999999999</v>
      </c>
      <c r="AI546" s="161"/>
      <c r="AJ546" s="161"/>
      <c r="AK546" s="161"/>
      <c r="AL546" s="247"/>
      <c r="AM546" s="257"/>
      <c r="AN546" s="236">
        <f>K546*$D$9</f>
        <v>293.85899999999998</v>
      </c>
      <c r="AO546" s="286"/>
      <c r="AP546" s="284">
        <f t="shared" si="243"/>
        <v>1175.4359999999999</v>
      </c>
      <c r="AQ546" s="281">
        <f t="shared" si="244"/>
        <v>480</v>
      </c>
      <c r="AR546" s="284">
        <f t="shared" si="245"/>
        <v>690</v>
      </c>
      <c r="AS546" s="281">
        <f t="shared" si="246"/>
        <v>5.4359999999999999</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454</v>
      </c>
      <c r="M547" s="2" t="s">
        <v>107</v>
      </c>
      <c r="N547" s="2" t="s">
        <v>108</v>
      </c>
      <c r="O547" s="97" t="s">
        <v>388</v>
      </c>
      <c r="P547" s="326" t="s">
        <v>377</v>
      </c>
      <c r="Q547" s="326"/>
      <c r="R547" s="101" t="s">
        <v>454</v>
      </c>
      <c r="S547" s="2" t="s">
        <v>0</v>
      </c>
      <c r="T547" s="9"/>
      <c r="U547" s="2" t="s">
        <v>288</v>
      </c>
      <c r="V547" s="2" t="s">
        <v>289</v>
      </c>
      <c r="W547" s="2" t="s">
        <v>292</v>
      </c>
      <c r="X547" s="58"/>
      <c r="Y547" s="2" t="s">
        <v>290</v>
      </c>
      <c r="Z547" s="2" t="s">
        <v>356</v>
      </c>
      <c r="AA547" s="2" t="s">
        <v>357</v>
      </c>
      <c r="AB547" s="2" t="s">
        <v>319</v>
      </c>
      <c r="AC547" s="2" t="s">
        <v>320</v>
      </c>
      <c r="AD547" s="2" t="s">
        <v>318</v>
      </c>
      <c r="AE547" s="58"/>
      <c r="AF547" s="2" t="s">
        <v>294</v>
      </c>
      <c r="AG547" s="2" t="s">
        <v>356</v>
      </c>
      <c r="AH547" s="2" t="s">
        <v>357</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one</v>
      </c>
      <c r="M548" s="121">
        <f>I570</f>
        <v>1</v>
      </c>
      <c r="N548" s="27" t="s">
        <v>348</v>
      </c>
      <c r="O548" s="12" t="s">
        <v>349</v>
      </c>
      <c r="P548" s="96" t="s">
        <v>381</v>
      </c>
      <c r="Q548" s="96" t="s">
        <v>377</v>
      </c>
      <c r="R548" s="96"/>
      <c r="S548" s="28">
        <f>M548</f>
        <v>1</v>
      </c>
      <c r="T548" s="10"/>
      <c r="U548" s="12" t="s">
        <v>293</v>
      </c>
      <c r="V548" s="28">
        <f>S548</f>
        <v>1</v>
      </c>
      <c r="W548" s="28">
        <f>VLOOKUP(U548,Sheet1!$B$6:$C$45,2,FALSE)*V548</f>
        <v>0</v>
      </c>
      <c r="X548" s="59"/>
      <c r="Y548" s="12" t="s">
        <v>293</v>
      </c>
      <c r="Z548" s="68">
        <f>VLOOKUP(Takeoffs!Y548,Sheet1!$B$6:$C$124,2,FALSE)</f>
        <v>0</v>
      </c>
      <c r="AA548" s="68">
        <f>Z548*AB548</f>
        <v>0</v>
      </c>
      <c r="AB548" s="63">
        <f>AD548*AC548</f>
        <v>1</v>
      </c>
      <c r="AC548" s="28">
        <f>S548</f>
        <v>1</v>
      </c>
      <c r="AD548" s="61">
        <v>1</v>
      </c>
      <c r="AE548" s="59"/>
      <c r="AF548" s="12" t="s">
        <v>293</v>
      </c>
      <c r="AG548" s="68">
        <f>VLOOKUP(Takeoffs!AF548,Sheet1!$B$6:$C$124,2,FALSE)</f>
        <v>0</v>
      </c>
      <c r="AH548" s="68">
        <f>AG548*AI548</f>
        <v>0</v>
      </c>
      <c r="AI548" s="63">
        <f>AK548*AJ548</f>
        <v>0</v>
      </c>
      <c r="AJ548" s="28">
        <f>S548</f>
        <v>1</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342</v>
      </c>
      <c r="P549" s="12"/>
      <c r="Q549" s="66"/>
      <c r="R549" s="12"/>
      <c r="S549" s="28">
        <f>M548</f>
        <v>1</v>
      </c>
      <c r="T549" s="11"/>
      <c r="U549" s="12" t="s">
        <v>233</v>
      </c>
      <c r="V549" s="28">
        <f t="shared" ref="V549:V568" si="249">S549</f>
        <v>1</v>
      </c>
      <c r="W549" s="28">
        <f>VLOOKUP(U549,Sheet1!$B$6:$C$45,2,FALSE)*V549</f>
        <v>1</v>
      </c>
      <c r="X549" s="59"/>
      <c r="Y549" s="12" t="s">
        <v>293</v>
      </c>
      <c r="Z549" s="68">
        <f>VLOOKUP(Takeoffs!Y549,Sheet1!$B$6:$C$124,2,FALSE)</f>
        <v>0</v>
      </c>
      <c r="AA549" s="68">
        <f t="shared" ref="AA549:AA568" si="250">Z549*AB549</f>
        <v>0</v>
      </c>
      <c r="AB549" s="63">
        <f t="shared" ref="AB549:AB568" si="251">AD549*AC549</f>
        <v>1</v>
      </c>
      <c r="AC549" s="28">
        <f>S549</f>
        <v>1</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1</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443</v>
      </c>
      <c r="P550" s="121" t="s">
        <v>542</v>
      </c>
      <c r="Q550" s="66" t="s">
        <v>690</v>
      </c>
      <c r="R550" s="12"/>
      <c r="S550" s="28">
        <f>M548</f>
        <v>1</v>
      </c>
      <c r="T550" s="11"/>
      <c r="U550" s="12" t="s">
        <v>363</v>
      </c>
      <c r="V550" s="28">
        <f t="shared" si="249"/>
        <v>1</v>
      </c>
      <c r="W550" s="28">
        <f>VLOOKUP(U550,Sheet1!$B$6:$C$45,2,FALSE)*V550</f>
        <v>1</v>
      </c>
      <c r="X550" s="59"/>
      <c r="Y550" s="12" t="s">
        <v>293</v>
      </c>
      <c r="Z550" s="68">
        <f>VLOOKUP(Takeoffs!Y550,Sheet1!$B$6:$C$124,2,FALSE)</f>
        <v>0</v>
      </c>
      <c r="AA550" s="68">
        <f t="shared" si="250"/>
        <v>0</v>
      </c>
      <c r="AB550" s="63">
        <f t="shared" si="251"/>
        <v>1</v>
      </c>
      <c r="AC550" s="28">
        <f>S550</f>
        <v>1</v>
      </c>
      <c r="AD550" s="61">
        <v>1</v>
      </c>
      <c r="AE550" s="59"/>
      <c r="AF550" s="13" t="s">
        <v>268</v>
      </c>
      <c r="AG550" s="68">
        <f>VLOOKUP(Takeoffs!AF550,Sheet1!$B$6:$C$124,2,FALSE)</f>
        <v>1.02</v>
      </c>
      <c r="AH550" s="68">
        <f t="shared" si="252"/>
        <v>5.0999999999999996</v>
      </c>
      <c r="AI550" s="63">
        <f t="shared" si="253"/>
        <v>5</v>
      </c>
      <c r="AJ550" s="28">
        <f t="shared" si="254"/>
        <v>1</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408</v>
      </c>
      <c r="P551" s="12"/>
      <c r="Q551" s="66"/>
      <c r="R551" s="12"/>
      <c r="S551" s="28">
        <f>M548</f>
        <v>1</v>
      </c>
      <c r="T551" s="11"/>
      <c r="U551" s="12" t="s">
        <v>293</v>
      </c>
      <c r="V551" s="28">
        <f t="shared" si="249"/>
        <v>1</v>
      </c>
      <c r="W551" s="28">
        <f>VLOOKUP(U551,Sheet1!$B$6:$C$45,2,FALSE)*V551</f>
        <v>0</v>
      </c>
      <c r="X551" s="59"/>
      <c r="Y551" s="13" t="s">
        <v>247</v>
      </c>
      <c r="Z551" s="68">
        <f>VLOOKUP(Takeoffs!Y551,Sheet1!$B$6:$C$124,2,FALSE)</f>
        <v>23.76</v>
      </c>
      <c r="AA551" s="68">
        <f t="shared" si="250"/>
        <v>23.76</v>
      </c>
      <c r="AB551" s="63">
        <f t="shared" si="251"/>
        <v>1</v>
      </c>
      <c r="AC551" s="28">
        <f t="shared" ref="AC551:AC568" si="256">S551</f>
        <v>1</v>
      </c>
      <c r="AD551" s="61">
        <v>1</v>
      </c>
      <c r="AE551" s="59"/>
      <c r="AF551" s="12" t="s">
        <v>293</v>
      </c>
      <c r="AG551" s="68">
        <f>VLOOKUP(Takeoffs!AF551,Sheet1!$B$6:$C$124,2,FALSE)</f>
        <v>0</v>
      </c>
      <c r="AH551" s="68">
        <f t="shared" si="252"/>
        <v>0</v>
      </c>
      <c r="AI551" s="63">
        <f t="shared" si="253"/>
        <v>0</v>
      </c>
      <c r="AJ551" s="28">
        <f t="shared" si="254"/>
        <v>1</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1</v>
      </c>
      <c r="T552" s="11"/>
      <c r="U552" s="12" t="s">
        <v>293</v>
      </c>
      <c r="V552" s="28">
        <f t="shared" si="249"/>
        <v>1</v>
      </c>
      <c r="W552" s="28">
        <f>VLOOKUP(U552,Sheet1!$B$6:$C$45,2,FALSE)*V552</f>
        <v>0</v>
      </c>
      <c r="X552" s="59"/>
      <c r="Y552" s="12" t="s">
        <v>293</v>
      </c>
      <c r="Z552" s="68">
        <f>VLOOKUP(Takeoffs!Y552,Sheet1!$B$6:$C$124,2,FALSE)</f>
        <v>0</v>
      </c>
      <c r="AA552" s="68">
        <f t="shared" si="250"/>
        <v>0</v>
      </c>
      <c r="AB552" s="63">
        <f t="shared" si="251"/>
        <v>1</v>
      </c>
      <c r="AC552" s="28">
        <f t="shared" si="256"/>
        <v>1</v>
      </c>
      <c r="AD552" s="61">
        <v>1</v>
      </c>
      <c r="AE552" s="59"/>
      <c r="AF552" s="12" t="s">
        <v>293</v>
      </c>
      <c r="AG552" s="68">
        <f>VLOOKUP(Takeoffs!AF552,Sheet1!$B$6:$C$124,2,FALSE)</f>
        <v>0</v>
      </c>
      <c r="AH552" s="68">
        <f t="shared" si="252"/>
        <v>0</v>
      </c>
      <c r="AI552" s="63">
        <f t="shared" si="253"/>
        <v>0</v>
      </c>
      <c r="AJ552" s="28">
        <f t="shared" si="254"/>
        <v>1</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1</v>
      </c>
      <c r="T553" s="11"/>
      <c r="U553" s="12" t="s">
        <v>293</v>
      </c>
      <c r="V553" s="28">
        <f t="shared" si="249"/>
        <v>1</v>
      </c>
      <c r="W553" s="28">
        <f>VLOOKUP(U553,Sheet1!$B$6:$C$45,2,FALSE)*V553</f>
        <v>0</v>
      </c>
      <c r="X553" s="59"/>
      <c r="Y553" s="12" t="s">
        <v>293</v>
      </c>
      <c r="Z553" s="68">
        <f>VLOOKUP(Takeoffs!Y553,Sheet1!$B$6:$C$124,2,FALSE)</f>
        <v>0</v>
      </c>
      <c r="AA553" s="68">
        <f t="shared" si="250"/>
        <v>0</v>
      </c>
      <c r="AB553" s="63">
        <f t="shared" si="251"/>
        <v>1</v>
      </c>
      <c r="AC553" s="28">
        <f t="shared" si="256"/>
        <v>1</v>
      </c>
      <c r="AD553" s="61">
        <v>1</v>
      </c>
      <c r="AE553" s="59"/>
      <c r="AF553" s="12" t="s">
        <v>293</v>
      </c>
      <c r="AG553" s="68">
        <f>VLOOKUP(Takeoffs!AF553,Sheet1!$B$6:$C$124,2,FALSE)</f>
        <v>0</v>
      </c>
      <c r="AH553" s="68">
        <f t="shared" si="252"/>
        <v>0</v>
      </c>
      <c r="AI553" s="63">
        <f t="shared" si="253"/>
        <v>0</v>
      </c>
      <c r="AJ553" s="28">
        <f t="shared" si="254"/>
        <v>1</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1</v>
      </c>
      <c r="T554" s="11"/>
      <c r="U554" s="12" t="s">
        <v>293</v>
      </c>
      <c r="V554" s="28">
        <f t="shared" si="249"/>
        <v>1</v>
      </c>
      <c r="W554" s="28">
        <f>VLOOKUP(U554,Sheet1!$B$6:$C$45,2,FALSE)*V554</f>
        <v>0</v>
      </c>
      <c r="X554" s="59"/>
      <c r="Y554" s="12" t="s">
        <v>293</v>
      </c>
      <c r="Z554" s="68">
        <f>VLOOKUP(Takeoffs!Y554,Sheet1!$B$6:$C$124,2,FALSE)</f>
        <v>0</v>
      </c>
      <c r="AA554" s="68">
        <f t="shared" si="250"/>
        <v>0</v>
      </c>
      <c r="AB554" s="63">
        <f t="shared" si="251"/>
        <v>1</v>
      </c>
      <c r="AC554" s="28">
        <f t="shared" si="256"/>
        <v>1</v>
      </c>
      <c r="AD554" s="61">
        <v>1</v>
      </c>
      <c r="AE554" s="59"/>
      <c r="AF554" s="12" t="s">
        <v>293</v>
      </c>
      <c r="AG554" s="68">
        <f>VLOOKUP(Takeoffs!AF554,Sheet1!$B$6:$C$124,2,FALSE)</f>
        <v>0</v>
      </c>
      <c r="AH554" s="68">
        <f t="shared" si="252"/>
        <v>0</v>
      </c>
      <c r="AI554" s="63">
        <f t="shared" si="253"/>
        <v>0</v>
      </c>
      <c r="AJ554" s="28">
        <f t="shared" si="254"/>
        <v>1</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1</v>
      </c>
      <c r="T555" s="11"/>
      <c r="U555" s="12" t="s">
        <v>293</v>
      </c>
      <c r="V555" s="28">
        <f t="shared" si="249"/>
        <v>1</v>
      </c>
      <c r="W555" s="28">
        <f>VLOOKUP(U555,Sheet1!$B$6:$C$45,2,FALSE)*V555</f>
        <v>0</v>
      </c>
      <c r="X555" s="59"/>
      <c r="Y555" s="12" t="s">
        <v>293</v>
      </c>
      <c r="Z555" s="68">
        <f>VLOOKUP(Takeoffs!Y555,Sheet1!$B$6:$C$124,2,FALSE)</f>
        <v>0</v>
      </c>
      <c r="AA555" s="68">
        <f t="shared" si="250"/>
        <v>0</v>
      </c>
      <c r="AB555" s="63">
        <f t="shared" si="251"/>
        <v>1</v>
      </c>
      <c r="AC555" s="28">
        <f t="shared" si="256"/>
        <v>1</v>
      </c>
      <c r="AD555" s="61">
        <v>1</v>
      </c>
      <c r="AE555" s="59"/>
      <c r="AF555" s="12" t="s">
        <v>293</v>
      </c>
      <c r="AG555" s="68">
        <f>VLOOKUP(Takeoffs!AF555,Sheet1!$B$6:$C$124,2,FALSE)</f>
        <v>0</v>
      </c>
      <c r="AH555" s="68">
        <f t="shared" si="252"/>
        <v>0</v>
      </c>
      <c r="AI555" s="63">
        <f t="shared" si="253"/>
        <v>0</v>
      </c>
      <c r="AJ555" s="28">
        <f t="shared" si="254"/>
        <v>1</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330</v>
      </c>
      <c r="P556" s="12"/>
      <c r="Q556" s="66"/>
      <c r="R556" s="12"/>
      <c r="S556" s="28">
        <f>M548</f>
        <v>1</v>
      </c>
      <c r="T556" s="11"/>
      <c r="U556" s="12" t="s">
        <v>242</v>
      </c>
      <c r="V556" s="28">
        <f t="shared" si="249"/>
        <v>1</v>
      </c>
      <c r="W556" s="28">
        <f>VLOOKUP(U556,Sheet1!$B$6:$C$45,2,FALSE)*V556</f>
        <v>2</v>
      </c>
      <c r="X556" s="59"/>
      <c r="Y556" s="12" t="s">
        <v>293</v>
      </c>
      <c r="Z556" s="68">
        <f>VLOOKUP(Takeoffs!Y556,Sheet1!$B$6:$C$124,2,FALSE)</f>
        <v>0</v>
      </c>
      <c r="AA556" s="68">
        <f t="shared" si="250"/>
        <v>0</v>
      </c>
      <c r="AB556" s="63">
        <f t="shared" si="251"/>
        <v>1</v>
      </c>
      <c r="AC556" s="28">
        <f t="shared" si="256"/>
        <v>1</v>
      </c>
      <c r="AD556" s="61">
        <v>1</v>
      </c>
      <c r="AE556" s="59"/>
      <c r="AF556" s="12" t="s">
        <v>293</v>
      </c>
      <c r="AG556" s="68">
        <f>VLOOKUP(Takeoffs!AF556,Sheet1!$B$6:$C$124,2,FALSE)</f>
        <v>0</v>
      </c>
      <c r="AH556" s="68">
        <f t="shared" si="252"/>
        <v>0</v>
      </c>
      <c r="AI556" s="63">
        <f t="shared" si="253"/>
        <v>0</v>
      </c>
      <c r="AJ556" s="28">
        <f t="shared" si="254"/>
        <v>1</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1</v>
      </c>
      <c r="T557" s="11"/>
      <c r="U557" s="12" t="s">
        <v>293</v>
      </c>
      <c r="V557" s="28">
        <f t="shared" si="249"/>
        <v>1</v>
      </c>
      <c r="W557" s="28">
        <f>VLOOKUP(U557,Sheet1!$B$6:$C$45,2,FALSE)*V557</f>
        <v>0</v>
      </c>
      <c r="X557" s="59"/>
      <c r="Y557" s="12" t="s">
        <v>293</v>
      </c>
      <c r="Z557" s="68">
        <f>VLOOKUP(Takeoffs!Y557,Sheet1!$B$6:$C$124,2,FALSE)</f>
        <v>0</v>
      </c>
      <c r="AA557" s="68">
        <f t="shared" si="250"/>
        <v>0</v>
      </c>
      <c r="AB557" s="63">
        <f t="shared" si="251"/>
        <v>1</v>
      </c>
      <c r="AC557" s="28">
        <f t="shared" si="256"/>
        <v>1</v>
      </c>
      <c r="AD557" s="61">
        <v>1</v>
      </c>
      <c r="AE557" s="59"/>
      <c r="AF557" s="12" t="s">
        <v>293</v>
      </c>
      <c r="AG557" s="68">
        <f>VLOOKUP(Takeoffs!AF557,Sheet1!$B$6:$C$124,2,FALSE)</f>
        <v>0</v>
      </c>
      <c r="AH557" s="68">
        <f t="shared" si="252"/>
        <v>0</v>
      </c>
      <c r="AI557" s="63">
        <f t="shared" si="253"/>
        <v>0</v>
      </c>
      <c r="AJ557" s="28">
        <f t="shared" si="254"/>
        <v>1</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1</v>
      </c>
      <c r="T558" s="11"/>
      <c r="U558" s="12" t="s">
        <v>293</v>
      </c>
      <c r="V558" s="28">
        <f t="shared" si="249"/>
        <v>1</v>
      </c>
      <c r="W558" s="28">
        <f>VLOOKUP(U558,Sheet1!$B$6:$C$45,2,FALSE)*V558</f>
        <v>0</v>
      </c>
      <c r="X558" s="59"/>
      <c r="Y558" s="12" t="s">
        <v>293</v>
      </c>
      <c r="Z558" s="68">
        <f>VLOOKUP(Takeoffs!Y558,Sheet1!$B$6:$C$124,2,FALSE)</f>
        <v>0</v>
      </c>
      <c r="AA558" s="68">
        <f t="shared" si="250"/>
        <v>0</v>
      </c>
      <c r="AB558" s="63">
        <f t="shared" si="251"/>
        <v>1</v>
      </c>
      <c r="AC558" s="28">
        <f t="shared" si="256"/>
        <v>1</v>
      </c>
      <c r="AD558" s="61">
        <v>1</v>
      </c>
      <c r="AE558" s="59"/>
      <c r="AF558" s="12" t="s">
        <v>293</v>
      </c>
      <c r="AG558" s="68">
        <f>VLOOKUP(Takeoffs!AF558,Sheet1!$B$6:$C$124,2,FALSE)</f>
        <v>0</v>
      </c>
      <c r="AH558" s="68">
        <f t="shared" si="252"/>
        <v>0</v>
      </c>
      <c r="AI558" s="63">
        <f t="shared" si="253"/>
        <v>0</v>
      </c>
      <c r="AJ558" s="28">
        <f t="shared" si="254"/>
        <v>1</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1</v>
      </c>
      <c r="T559" s="11"/>
      <c r="U559" s="12" t="s">
        <v>293</v>
      </c>
      <c r="V559" s="28">
        <f t="shared" si="249"/>
        <v>1</v>
      </c>
      <c r="W559" s="28">
        <f>VLOOKUP(U559,Sheet1!$B$6:$C$45,2,FALSE)*V559</f>
        <v>0</v>
      </c>
      <c r="X559" s="59"/>
      <c r="Y559" s="12" t="s">
        <v>293</v>
      </c>
      <c r="Z559" s="68">
        <f>VLOOKUP(Takeoffs!Y559,Sheet1!$B$6:$C$124,2,FALSE)</f>
        <v>0</v>
      </c>
      <c r="AA559" s="68">
        <f t="shared" si="250"/>
        <v>0</v>
      </c>
      <c r="AB559" s="63">
        <f t="shared" si="251"/>
        <v>1</v>
      </c>
      <c r="AC559" s="28">
        <f t="shared" si="256"/>
        <v>1</v>
      </c>
      <c r="AD559" s="61">
        <v>1</v>
      </c>
      <c r="AE559" s="59"/>
      <c r="AF559" s="12" t="s">
        <v>293</v>
      </c>
      <c r="AG559" s="68">
        <f>VLOOKUP(Takeoffs!AF559,Sheet1!$B$6:$C$124,2,FALSE)</f>
        <v>0</v>
      </c>
      <c r="AH559" s="68">
        <f t="shared" si="252"/>
        <v>0</v>
      </c>
      <c r="AI559" s="63">
        <f t="shared" si="253"/>
        <v>0</v>
      </c>
      <c r="AJ559" s="28">
        <f t="shared" si="254"/>
        <v>1</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1</v>
      </c>
      <c r="T560" s="11"/>
      <c r="U560" s="12" t="s">
        <v>293</v>
      </c>
      <c r="V560" s="28">
        <f t="shared" si="249"/>
        <v>1</v>
      </c>
      <c r="W560" s="28">
        <f>VLOOKUP(U560,Sheet1!$B$6:$C$45,2,FALSE)*V560</f>
        <v>0</v>
      </c>
      <c r="X560" s="59"/>
      <c r="Y560" s="12" t="s">
        <v>293</v>
      </c>
      <c r="Z560" s="68">
        <f>VLOOKUP(Takeoffs!Y560,Sheet1!$B$6:$C$124,2,FALSE)</f>
        <v>0</v>
      </c>
      <c r="AA560" s="68">
        <f t="shared" si="250"/>
        <v>0</v>
      </c>
      <c r="AB560" s="63">
        <f t="shared" si="251"/>
        <v>1</v>
      </c>
      <c r="AC560" s="28">
        <f t="shared" si="256"/>
        <v>1</v>
      </c>
      <c r="AD560" s="61">
        <v>1</v>
      </c>
      <c r="AE560" s="59"/>
      <c r="AF560" s="73" t="s">
        <v>420</v>
      </c>
      <c r="AG560" s="68">
        <f>VLOOKUP(Takeoffs!AF560,Sheet1!$B$6:$C$124,2,FALSE)</f>
        <v>0.33600000000000002</v>
      </c>
      <c r="AH560" s="68">
        <f t="shared" si="252"/>
        <v>0.33600000000000002</v>
      </c>
      <c r="AI560" s="63">
        <f t="shared" si="253"/>
        <v>1</v>
      </c>
      <c r="AJ560" s="28">
        <f t="shared" si="254"/>
        <v>1</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1</v>
      </c>
      <c r="T561" s="11"/>
      <c r="U561" s="12" t="s">
        <v>232</v>
      </c>
      <c r="V561" s="28">
        <f t="shared" si="249"/>
        <v>1</v>
      </c>
      <c r="W561" s="28">
        <f>VLOOKUP(U561,Sheet1!$B$6:$C$45,2,FALSE)*V561</f>
        <v>1</v>
      </c>
      <c r="X561" s="59"/>
      <c r="Y561" s="13" t="s">
        <v>281</v>
      </c>
      <c r="Z561" s="68">
        <f>VLOOKUP(Takeoffs!Y561,Sheet1!$B$6:$C$124,2,FALSE)</f>
        <v>109.25999999999999</v>
      </c>
      <c r="AA561" s="68">
        <f t="shared" si="250"/>
        <v>109.25999999999999</v>
      </c>
      <c r="AB561" s="63">
        <f t="shared" si="251"/>
        <v>1</v>
      </c>
      <c r="AC561" s="28">
        <f t="shared" si="256"/>
        <v>1</v>
      </c>
      <c r="AD561" s="61">
        <v>1</v>
      </c>
      <c r="AE561" s="59"/>
      <c r="AF561" s="12" t="s">
        <v>293</v>
      </c>
      <c r="AG561" s="68">
        <f>VLOOKUP(Takeoffs!AF561,Sheet1!$B$6:$C$124,2,FALSE)</f>
        <v>0</v>
      </c>
      <c r="AH561" s="68">
        <f t="shared" si="252"/>
        <v>0</v>
      </c>
      <c r="AI561" s="63">
        <f t="shared" si="253"/>
        <v>0</v>
      </c>
      <c r="AJ561" s="28">
        <f t="shared" si="254"/>
        <v>1</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347</v>
      </c>
      <c r="P562" s="12" t="s">
        <v>382</v>
      </c>
      <c r="Q562" s="66" t="s">
        <v>386</v>
      </c>
      <c r="R562" s="12"/>
      <c r="S562" s="28">
        <f>M548</f>
        <v>1</v>
      </c>
      <c r="T562" s="11"/>
      <c r="U562" s="12" t="s">
        <v>293</v>
      </c>
      <c r="V562" s="28">
        <f t="shared" si="249"/>
        <v>1</v>
      </c>
      <c r="W562" s="28">
        <f>VLOOKUP(U562,Sheet1!$B$6:$C$45,2,FALSE)*V562</f>
        <v>0</v>
      </c>
      <c r="X562" s="59"/>
      <c r="Y562" s="13" t="s">
        <v>328</v>
      </c>
      <c r="Z562" s="68">
        <f>VLOOKUP(Takeoffs!Y562,Sheet1!$B$6:$C$124,2,FALSE)</f>
        <v>29.04</v>
      </c>
      <c r="AA562" s="68">
        <f t="shared" si="250"/>
        <v>29.04</v>
      </c>
      <c r="AB562" s="63">
        <f t="shared" si="251"/>
        <v>1</v>
      </c>
      <c r="AC562" s="28">
        <f t="shared" si="256"/>
        <v>1</v>
      </c>
      <c r="AD562" s="61">
        <v>1</v>
      </c>
      <c r="AE562" s="59"/>
      <c r="AF562" s="12" t="s">
        <v>293</v>
      </c>
      <c r="AG562" s="68">
        <f>VLOOKUP(Takeoffs!AF562,Sheet1!$B$6:$C$124,2,FALSE)</f>
        <v>0</v>
      </c>
      <c r="AH562" s="68">
        <f t="shared" si="252"/>
        <v>0</v>
      </c>
      <c r="AI562" s="63">
        <f t="shared" si="253"/>
        <v>0</v>
      </c>
      <c r="AJ562" s="28">
        <f t="shared" si="254"/>
        <v>1</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339</v>
      </c>
      <c r="P563" s="12"/>
      <c r="Q563" s="66"/>
      <c r="R563" s="12" t="s">
        <v>333</v>
      </c>
      <c r="S563" s="28">
        <f>M548</f>
        <v>1</v>
      </c>
      <c r="T563" s="11"/>
      <c r="U563" s="12" t="s">
        <v>293</v>
      </c>
      <c r="V563" s="28">
        <f t="shared" si="249"/>
        <v>1</v>
      </c>
      <c r="W563" s="28">
        <f>VLOOKUP(U563,Sheet1!$B$6:$C$45,2,FALSE)*V563</f>
        <v>0</v>
      </c>
      <c r="X563" s="59"/>
      <c r="Y563" s="13" t="s">
        <v>280</v>
      </c>
      <c r="Z563" s="68">
        <f>VLOOKUP(Takeoffs!Y563,Sheet1!$B$6:$C$124,2,FALSE)</f>
        <v>19.2</v>
      </c>
      <c r="AA563" s="68">
        <f t="shared" si="250"/>
        <v>38.4</v>
      </c>
      <c r="AB563" s="63">
        <f t="shared" si="251"/>
        <v>2</v>
      </c>
      <c r="AC563" s="28">
        <f t="shared" si="256"/>
        <v>1</v>
      </c>
      <c r="AD563" s="61">
        <v>2</v>
      </c>
      <c r="AE563" s="59"/>
      <c r="AF563" s="12" t="s">
        <v>293</v>
      </c>
      <c r="AG563" s="68">
        <f>VLOOKUP(Takeoffs!AF563,Sheet1!$B$6:$C$124,2,FALSE)</f>
        <v>0</v>
      </c>
      <c r="AH563" s="68">
        <f t="shared" si="252"/>
        <v>0</v>
      </c>
      <c r="AI563" s="63">
        <f t="shared" si="253"/>
        <v>0</v>
      </c>
      <c r="AJ563" s="28">
        <f t="shared" si="254"/>
        <v>1</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1</v>
      </c>
      <c r="T564" s="11"/>
      <c r="U564" s="12" t="s">
        <v>293</v>
      </c>
      <c r="V564" s="28">
        <f t="shared" si="249"/>
        <v>1</v>
      </c>
      <c r="W564" s="28">
        <f>VLOOKUP(U564,Sheet1!$B$6:$C$45,2,FALSE)*V564</f>
        <v>0</v>
      </c>
      <c r="X564" s="59"/>
      <c r="Y564" s="12" t="s">
        <v>293</v>
      </c>
      <c r="Z564" s="68">
        <f>VLOOKUP(Takeoffs!Y564,Sheet1!$B$6:$C$124,2,FALSE)</f>
        <v>0</v>
      </c>
      <c r="AA564" s="68">
        <f t="shared" si="250"/>
        <v>0</v>
      </c>
      <c r="AB564" s="63">
        <f t="shared" si="251"/>
        <v>1</v>
      </c>
      <c r="AC564" s="28">
        <f t="shared" si="256"/>
        <v>1</v>
      </c>
      <c r="AD564" s="61">
        <v>1</v>
      </c>
      <c r="AE564" s="59"/>
      <c r="AF564" s="12" t="s">
        <v>293</v>
      </c>
      <c r="AG564" s="68">
        <f>VLOOKUP(Takeoffs!AF564,Sheet1!$B$6:$C$124,2,FALSE)</f>
        <v>0</v>
      </c>
      <c r="AH564" s="68">
        <f t="shared" si="252"/>
        <v>0</v>
      </c>
      <c r="AI564" s="63">
        <f t="shared" si="253"/>
        <v>0</v>
      </c>
      <c r="AJ564" s="28">
        <f t="shared" si="254"/>
        <v>1</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331</v>
      </c>
      <c r="P565" s="12"/>
      <c r="Q565" s="66"/>
      <c r="R565" s="12" t="s">
        <v>305</v>
      </c>
      <c r="S565" s="28">
        <f>M548</f>
        <v>1</v>
      </c>
      <c r="T565" s="11"/>
      <c r="U565" s="12" t="s">
        <v>293</v>
      </c>
      <c r="V565" s="28">
        <f t="shared" si="249"/>
        <v>1</v>
      </c>
      <c r="W565" s="28">
        <f>VLOOKUP(U565,Sheet1!$B$6:$C$45,2,FALSE)*V565</f>
        <v>0</v>
      </c>
      <c r="X565" s="59"/>
      <c r="Y565" s="13" t="s">
        <v>277</v>
      </c>
      <c r="Z565" s="68">
        <f>VLOOKUP(Takeoffs!Y565,Sheet1!$B$6:$C$124,2,FALSE)</f>
        <v>69.540000000000006</v>
      </c>
      <c r="AA565" s="68">
        <f t="shared" si="250"/>
        <v>69.540000000000006</v>
      </c>
      <c r="AB565" s="63">
        <f t="shared" si="251"/>
        <v>1</v>
      </c>
      <c r="AC565" s="28">
        <f t="shared" si="256"/>
        <v>1</v>
      </c>
      <c r="AD565" s="61">
        <v>1</v>
      </c>
      <c r="AE565" s="59"/>
      <c r="AF565" s="12" t="s">
        <v>293</v>
      </c>
      <c r="AG565" s="68">
        <f>VLOOKUP(Takeoffs!AF565,Sheet1!$B$6:$C$124,2,FALSE)</f>
        <v>0</v>
      </c>
      <c r="AH565" s="68">
        <f t="shared" si="252"/>
        <v>0</v>
      </c>
      <c r="AI565" s="63">
        <f t="shared" si="253"/>
        <v>0</v>
      </c>
      <c r="AJ565" s="28">
        <f t="shared" si="254"/>
        <v>1</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340</v>
      </c>
      <c r="P566" s="12"/>
      <c r="Q566" s="66"/>
      <c r="R566" s="12"/>
      <c r="S566" s="28">
        <f>M548</f>
        <v>1</v>
      </c>
      <c r="T566" s="11"/>
      <c r="U566" s="12" t="s">
        <v>293</v>
      </c>
      <c r="V566" s="28">
        <f t="shared" si="249"/>
        <v>1</v>
      </c>
      <c r="W566" s="28">
        <f>VLOOKUP(U566,Sheet1!$B$6:$C$45,2,FALSE)*V566</f>
        <v>0</v>
      </c>
      <c r="X566" s="59"/>
      <c r="Y566" s="13" t="s">
        <v>335</v>
      </c>
      <c r="Z566" s="68">
        <f>VLOOKUP(Takeoffs!Y566,Sheet1!$B$6:$C$124,2,FALSE)</f>
        <v>60</v>
      </c>
      <c r="AA566" s="68">
        <f t="shared" si="250"/>
        <v>60</v>
      </c>
      <c r="AB566" s="63">
        <f t="shared" si="251"/>
        <v>1</v>
      </c>
      <c r="AC566" s="28">
        <f t="shared" si="256"/>
        <v>1</v>
      </c>
      <c r="AD566" s="61">
        <v>1</v>
      </c>
      <c r="AE566" s="59"/>
      <c r="AF566" s="12" t="s">
        <v>293</v>
      </c>
      <c r="AG566" s="68">
        <f>VLOOKUP(Takeoffs!AF566,Sheet1!$B$6:$C$124,2,FALSE)</f>
        <v>0</v>
      </c>
      <c r="AH566" s="68">
        <f t="shared" si="252"/>
        <v>0</v>
      </c>
      <c r="AI566" s="63">
        <f t="shared" si="253"/>
        <v>0</v>
      </c>
      <c r="AJ566" s="28">
        <f t="shared" si="254"/>
        <v>1</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409</v>
      </c>
      <c r="P567" s="12"/>
      <c r="Q567" s="66"/>
      <c r="R567" s="12"/>
      <c r="S567" s="28">
        <f>M548</f>
        <v>1</v>
      </c>
      <c r="T567" s="11"/>
      <c r="U567" s="12" t="s">
        <v>293</v>
      </c>
      <c r="V567" s="28">
        <f t="shared" si="249"/>
        <v>1</v>
      </c>
      <c r="W567" s="28">
        <f>VLOOKUP(U567,Sheet1!$B$6:$C$45,2,FALSE)*V567</f>
        <v>0</v>
      </c>
      <c r="X567" s="59"/>
      <c r="Y567" s="12" t="s">
        <v>274</v>
      </c>
      <c r="Z567" s="68">
        <f>VLOOKUP(Takeoffs!Y567,Sheet1!$B$6:$C$124,2,FALSE)</f>
        <v>360</v>
      </c>
      <c r="AA567" s="68">
        <f t="shared" si="250"/>
        <v>360</v>
      </c>
      <c r="AB567" s="63">
        <f t="shared" si="251"/>
        <v>1</v>
      </c>
      <c r="AC567" s="28">
        <f t="shared" si="256"/>
        <v>1</v>
      </c>
      <c r="AD567" s="61">
        <v>1</v>
      </c>
      <c r="AE567" s="59"/>
      <c r="AF567" s="12" t="s">
        <v>293</v>
      </c>
      <c r="AG567" s="68">
        <f>VLOOKUP(Takeoffs!AF567,Sheet1!$B$6:$C$124,2,FALSE)</f>
        <v>0</v>
      </c>
      <c r="AH567" s="68">
        <f t="shared" si="252"/>
        <v>0</v>
      </c>
      <c r="AI567" s="63">
        <f t="shared" si="253"/>
        <v>0</v>
      </c>
      <c r="AJ567" s="28">
        <f t="shared" si="254"/>
        <v>1</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410</v>
      </c>
      <c r="P568" s="12"/>
      <c r="Q568" s="66"/>
      <c r="R568" s="12"/>
      <c r="S568" s="28">
        <f>M548</f>
        <v>1</v>
      </c>
      <c r="T568" s="11"/>
      <c r="U568" s="12" t="s">
        <v>364</v>
      </c>
      <c r="V568" s="28">
        <f t="shared" si="249"/>
        <v>1</v>
      </c>
      <c r="W568" s="28">
        <f>VLOOKUP(U568,Sheet1!$B$6:$C$45,2,FALSE)*V568</f>
        <v>1</v>
      </c>
      <c r="X568" s="59"/>
      <c r="Y568" s="12" t="s">
        <v>293</v>
      </c>
      <c r="Z568" s="68">
        <f>VLOOKUP(Takeoffs!Y568,Sheet1!$B$6:$C$124,2,FALSE)</f>
        <v>0</v>
      </c>
      <c r="AA568" s="68">
        <f t="shared" si="250"/>
        <v>0</v>
      </c>
      <c r="AB568" s="63">
        <f t="shared" si="251"/>
        <v>1</v>
      </c>
      <c r="AC568" s="28">
        <f t="shared" si="256"/>
        <v>1</v>
      </c>
      <c r="AD568" s="61">
        <v>1</v>
      </c>
      <c r="AE568" s="59"/>
      <c r="AF568" s="12" t="s">
        <v>293</v>
      </c>
      <c r="AG568" s="68">
        <f>VLOOKUP(Takeoffs!AF568,Sheet1!$B$6:$C$124,2,FALSE)</f>
        <v>0</v>
      </c>
      <c r="AH568" s="68">
        <f t="shared" si="252"/>
        <v>0</v>
      </c>
      <c r="AI568" s="63">
        <f t="shared" si="253"/>
        <v>0</v>
      </c>
      <c r="AJ568" s="28">
        <f t="shared" si="254"/>
        <v>1</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379</v>
      </c>
      <c r="L569" s="21" t="s">
        <v>380</v>
      </c>
      <c r="N569" s="22"/>
      <c r="O569" s="23" t="s">
        <v>359</v>
      </c>
      <c r="P569" s="24">
        <f>V569+AA569+AH569</f>
        <v>1175.4359999999999</v>
      </c>
      <c r="Q569" s="24"/>
      <c r="R569" s="24"/>
      <c r="S569" s="23"/>
      <c r="T569" s="20"/>
      <c r="U569" s="19" t="s">
        <v>353</v>
      </c>
      <c r="V569" s="20">
        <f>W569*80</f>
        <v>480</v>
      </c>
      <c r="W569" s="69">
        <f>SUM(W548:W568)</f>
        <v>6</v>
      </c>
      <c r="X569" s="70"/>
      <c r="Y569" s="20" t="s">
        <v>354</v>
      </c>
      <c r="Z569" s="2"/>
      <c r="AA569" s="2">
        <f>SUM(AA548:AA568)</f>
        <v>690</v>
      </c>
      <c r="AB569" s="71"/>
      <c r="AC569" s="71"/>
      <c r="AD569" s="71"/>
      <c r="AE569" s="71"/>
      <c r="AF569" s="20" t="s">
        <v>358</v>
      </c>
      <c r="AG569" s="2"/>
      <c r="AH569" s="2">
        <f>SUM(AH548:AH568)</f>
        <v>5.4359999999999999</v>
      </c>
      <c r="AI569" s="71"/>
      <c r="AJ569" s="71"/>
      <c r="AK569" s="71"/>
      <c r="AL569" s="71"/>
      <c r="AM569" s="150">
        <f>P569</f>
        <v>1175.4359999999999</v>
      </c>
      <c r="AO569" s="286"/>
      <c r="AP569" s="284">
        <f t="shared" si="243"/>
        <v>0</v>
      </c>
      <c r="AQ569" s="281">
        <f t="shared" si="244"/>
        <v>0</v>
      </c>
      <c r="AR569" s="284">
        <f t="shared" si="245"/>
        <v>0</v>
      </c>
      <c r="AS569" s="281">
        <f t="shared" si="246"/>
        <v>0</v>
      </c>
      <c r="AT569" s="284">
        <f t="shared" si="247"/>
        <v>0</v>
      </c>
    </row>
    <row r="570" spans="1:97" s="234" customFormat="1" ht="185.6" thickBot="1" x14ac:dyDescent="0.85">
      <c r="A570" s="262">
        <f>ROW()</f>
        <v>570</v>
      </c>
      <c r="B570" s="234" t="s">
        <v>494</v>
      </c>
      <c r="C570" s="217" t="str">
        <f>N548</f>
        <v>general fan with fire shutdown - from local power supply</v>
      </c>
      <c r="D570" s="260" t="str">
        <f>IF(B570="Shopping List",IF(ISNUMBER(SEARCH("MSSB",C570)),"MSSB",IF(ISNUMBER(SEARCH("local",C570)),"LOCAL","")))</f>
        <v>LOCAL</v>
      </c>
      <c r="E570" s="238"/>
      <c r="F570" s="217"/>
      <c r="G570" s="217"/>
      <c r="H570" s="245"/>
      <c r="I570" s="270">
        <v>1</v>
      </c>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one (1)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1175.4359999999999</v>
      </c>
      <c r="L570" s="234" t="str">
        <f>CONCATENATE(Q549,Q550,Q551,Q552,Q553,Q554,Q555,Q556,Q557,Q558,Q559,Q560,Q561,Q562,Q563,Q564,Q565,Q566,Q567,Q568,)</f>
        <v>local power supply fire cabling from FIP.</v>
      </c>
      <c r="M570" s="91" t="s">
        <v>369</v>
      </c>
      <c r="N570" s="83" t="str">
        <f>N548</f>
        <v>general fan with fire shutdown - from local power supply</v>
      </c>
      <c r="O570" s="83" t="s">
        <v>367</v>
      </c>
      <c r="P570" s="82">
        <f>P569/M548</f>
        <v>1175.4359999999999</v>
      </c>
      <c r="Q570" s="84"/>
      <c r="R570" s="84"/>
      <c r="S570" s="83"/>
      <c r="T570" s="84"/>
      <c r="U570" s="327" t="s">
        <v>368</v>
      </c>
      <c r="V570" s="327"/>
      <c r="W570" s="85">
        <f>W569/M548</f>
        <v>6</v>
      </c>
      <c r="X570" s="86"/>
      <c r="Y570" s="325" t="s">
        <v>367</v>
      </c>
      <c r="Z570" s="325"/>
      <c r="AA570" s="87">
        <f>AA569/M548</f>
        <v>690</v>
      </c>
      <c r="AB570" s="84"/>
      <c r="AC570" s="84"/>
      <c r="AD570" s="84"/>
      <c r="AE570" s="84"/>
      <c r="AF570" s="325" t="s">
        <v>367</v>
      </c>
      <c r="AG570" s="325"/>
      <c r="AH570" s="87">
        <f>AH569/M548</f>
        <v>5.4359999999999999</v>
      </c>
      <c r="AI570" s="84"/>
      <c r="AJ570" s="84"/>
      <c r="AK570" s="84"/>
      <c r="AL570" s="247"/>
      <c r="AM570" s="257"/>
      <c r="AN570" s="236">
        <f>K570*$D$9</f>
        <v>293.85899999999998</v>
      </c>
      <c r="AO570" s="286"/>
      <c r="AP570" s="284">
        <f t="shared" si="243"/>
        <v>1175.4359999999999</v>
      </c>
      <c r="AQ570" s="281">
        <f t="shared" si="244"/>
        <v>480</v>
      </c>
      <c r="AR570" s="284">
        <f t="shared" si="245"/>
        <v>690</v>
      </c>
      <c r="AS570" s="281">
        <f t="shared" si="246"/>
        <v>5.4359999999999999</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5">
      <c r="A571" s="262">
        <f>ROW()</f>
        <v>571</v>
      </c>
      <c r="C571" s="211"/>
      <c r="D571" s="211"/>
      <c r="E571" s="211"/>
      <c r="F571" s="211"/>
      <c r="G571" s="211"/>
      <c r="H571" s="211"/>
      <c r="K571" s="116" t="s">
        <v>454</v>
      </c>
      <c r="M571" s="116" t="s">
        <v>107</v>
      </c>
      <c r="N571" s="116" t="s">
        <v>108</v>
      </c>
      <c r="O571" s="170" t="s">
        <v>388</v>
      </c>
      <c r="P571" s="326" t="s">
        <v>377</v>
      </c>
      <c r="Q571" s="326"/>
      <c r="R571" s="101" t="s">
        <v>454</v>
      </c>
      <c r="S571" s="116" t="s">
        <v>0</v>
      </c>
      <c r="T571" s="118"/>
      <c r="U571" s="116" t="s">
        <v>288</v>
      </c>
      <c r="V571" s="116" t="s">
        <v>289</v>
      </c>
      <c r="W571" s="116" t="s">
        <v>292</v>
      </c>
      <c r="X571" s="140"/>
      <c r="Y571" s="116" t="s">
        <v>290</v>
      </c>
      <c r="Z571" s="116" t="s">
        <v>356</v>
      </c>
      <c r="AA571" s="116" t="s">
        <v>357</v>
      </c>
      <c r="AB571" s="116" t="s">
        <v>319</v>
      </c>
      <c r="AC571" s="116" t="s">
        <v>320</v>
      </c>
      <c r="AD571" s="116" t="s">
        <v>318</v>
      </c>
      <c r="AE571" s="140"/>
      <c r="AF571" s="116" t="s">
        <v>294</v>
      </c>
      <c r="AG571" s="116" t="s">
        <v>356</v>
      </c>
      <c r="AH571" s="116" t="s">
        <v>357</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5">
      <c r="A572" s="262">
        <f>ROW()</f>
        <v>572</v>
      </c>
      <c r="C572" s="208"/>
      <c r="D572" s="208"/>
      <c r="E572" s="208"/>
      <c r="F572" s="208"/>
      <c r="G572" s="208"/>
      <c r="H572" s="208"/>
      <c r="L572" s="124" t="str">
        <f>VLOOKUP(M572,Sheet2!$D$2:$E$1024,2,FALSE)</f>
        <v>one</v>
      </c>
      <c r="M572" s="121">
        <f>I594</f>
        <v>1</v>
      </c>
      <c r="N572" s="132" t="s">
        <v>704</v>
      </c>
      <c r="O572" s="121" t="s">
        <v>133</v>
      </c>
      <c r="P572" s="169" t="s">
        <v>381</v>
      </c>
      <c r="Q572" s="169" t="s">
        <v>377</v>
      </c>
      <c r="R572" s="169"/>
      <c r="S572" s="133">
        <f>M572</f>
        <v>1</v>
      </c>
      <c r="T572" s="119"/>
      <c r="U572" s="121" t="s">
        <v>293</v>
      </c>
      <c r="V572" s="133">
        <f>S572</f>
        <v>1</v>
      </c>
      <c r="W572" s="133">
        <f>VLOOKUP(U572,Sheet1!$B$6:$C$45,2,FALSE)*V572</f>
        <v>0</v>
      </c>
      <c r="X572" s="141"/>
      <c r="Y572" s="121" t="s">
        <v>293</v>
      </c>
      <c r="Z572" s="146">
        <f>VLOOKUP(Takeoffs!Y572,Sheet1!$B$6:$C$124,2,FALSE)</f>
        <v>0</v>
      </c>
      <c r="AA572" s="146">
        <f>Z572*AB572</f>
        <v>0</v>
      </c>
      <c r="AB572" s="143">
        <f>AD572*AC572</f>
        <v>1</v>
      </c>
      <c r="AC572" s="133">
        <f>S572</f>
        <v>1</v>
      </c>
      <c r="AD572" s="142">
        <v>1</v>
      </c>
      <c r="AE572" s="141"/>
      <c r="AF572" s="121" t="s">
        <v>293</v>
      </c>
      <c r="AG572" s="146">
        <f>VLOOKUP(Takeoffs!AF572,Sheet1!$B$6:$C$124,2,FALSE)</f>
        <v>0</v>
      </c>
      <c r="AH572" s="146">
        <f>AG572*AI572</f>
        <v>0</v>
      </c>
      <c r="AI572" s="143">
        <f>AK572*AJ572</f>
        <v>0</v>
      </c>
      <c r="AJ572" s="133">
        <f>S572</f>
        <v>1</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1</v>
      </c>
      <c r="T573" s="120"/>
      <c r="U573" s="121" t="s">
        <v>293</v>
      </c>
      <c r="V573" s="133">
        <f t="shared" ref="V573:V592" si="259">S573</f>
        <v>1</v>
      </c>
      <c r="W573" s="133">
        <f>VLOOKUP(U573,Sheet1!$B$6:$C$45,2,FALSE)*V573</f>
        <v>0</v>
      </c>
      <c r="X573" s="141"/>
      <c r="Y573" s="121" t="s">
        <v>293</v>
      </c>
      <c r="Z573" s="146">
        <f>VLOOKUP(Takeoffs!Y573,Sheet1!$B$6:$C$124,2,FALSE)</f>
        <v>0</v>
      </c>
      <c r="AA573" s="146">
        <f t="shared" ref="AA573:AA592" si="260">Z573*AB573</f>
        <v>0</v>
      </c>
      <c r="AB573" s="143">
        <f t="shared" ref="AB573:AB592" si="261">AD573*AC573</f>
        <v>1</v>
      </c>
      <c r="AC573" s="133">
        <f t="shared" ref="AC573:AC592" si="262">S573</f>
        <v>1</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1</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1</v>
      </c>
      <c r="T574" s="120"/>
      <c r="U574" s="121" t="s">
        <v>293</v>
      </c>
      <c r="V574" s="133">
        <f t="shared" si="259"/>
        <v>1</v>
      </c>
      <c r="W574" s="133">
        <f>VLOOKUP(U574,Sheet1!$B$6:$C$45,2,FALSE)*V574</f>
        <v>0</v>
      </c>
      <c r="X574" s="141"/>
      <c r="Y574" s="121" t="s">
        <v>293</v>
      </c>
      <c r="Z574" s="146">
        <f>VLOOKUP(Takeoffs!Y574,Sheet1!$B$6:$C$124,2,FALSE)</f>
        <v>0</v>
      </c>
      <c r="AA574" s="146">
        <f t="shared" si="260"/>
        <v>0</v>
      </c>
      <c r="AB574" s="143">
        <f t="shared" si="261"/>
        <v>1</v>
      </c>
      <c r="AC574" s="133">
        <f t="shared" si="262"/>
        <v>1</v>
      </c>
      <c r="AD574" s="142">
        <v>1</v>
      </c>
      <c r="AE574" s="141"/>
      <c r="AF574" s="122" t="s">
        <v>268</v>
      </c>
      <c r="AG574" s="146">
        <f>VLOOKUP(Takeoffs!AF574,Sheet1!$B$6:$C$124,2,FALSE)</f>
        <v>1.02</v>
      </c>
      <c r="AH574" s="146">
        <f t="shared" si="263"/>
        <v>5.0999999999999996</v>
      </c>
      <c r="AI574" s="143">
        <f t="shared" si="264"/>
        <v>5</v>
      </c>
      <c r="AJ574" s="133">
        <f t="shared" si="265"/>
        <v>1</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540</v>
      </c>
      <c r="P575" s="121" t="s">
        <v>542</v>
      </c>
      <c r="Q575" s="66" t="s">
        <v>541</v>
      </c>
      <c r="R575" s="121"/>
      <c r="S575" s="133">
        <f>M572</f>
        <v>1</v>
      </c>
      <c r="T575" s="120"/>
      <c r="U575" s="121" t="s">
        <v>363</v>
      </c>
      <c r="V575" s="133">
        <f t="shared" si="259"/>
        <v>1</v>
      </c>
      <c r="W575" s="133">
        <f>VLOOKUP(U575,Sheet1!$B$6:$C$45,2,FALSE)*V575</f>
        <v>1</v>
      </c>
      <c r="X575" s="141"/>
      <c r="Y575" s="121" t="s">
        <v>293</v>
      </c>
      <c r="Z575" s="146">
        <f>VLOOKUP(Takeoffs!Y575,Sheet1!$B$6:$C$124,2,FALSE)</f>
        <v>0</v>
      </c>
      <c r="AA575" s="146">
        <f t="shared" si="260"/>
        <v>0</v>
      </c>
      <c r="AB575" s="143">
        <f t="shared" si="261"/>
        <v>1</v>
      </c>
      <c r="AC575" s="133">
        <f t="shared" si="262"/>
        <v>1</v>
      </c>
      <c r="AD575" s="142">
        <v>1</v>
      </c>
      <c r="AE575" s="141"/>
      <c r="AF575" s="121" t="s">
        <v>293</v>
      </c>
      <c r="AG575" s="146">
        <f>VLOOKUP(Takeoffs!AF575,Sheet1!$B$6:$C$124,2,FALSE)</f>
        <v>0</v>
      </c>
      <c r="AH575" s="146">
        <f t="shared" si="263"/>
        <v>0</v>
      </c>
      <c r="AI575" s="143">
        <f t="shared" si="264"/>
        <v>0</v>
      </c>
      <c r="AJ575" s="133">
        <f t="shared" si="265"/>
        <v>1</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648</v>
      </c>
      <c r="P576" s="121"/>
      <c r="Q576" s="66"/>
      <c r="R576" s="121"/>
      <c r="S576" s="133">
        <f>M572</f>
        <v>1</v>
      </c>
      <c r="T576" s="120"/>
      <c r="U576" s="121" t="s">
        <v>293</v>
      </c>
      <c r="V576" s="133">
        <f t="shared" si="259"/>
        <v>1</v>
      </c>
      <c r="W576" s="133">
        <f>VLOOKUP(U576,Sheet1!$B$6:$C$45,2,FALSE)*V576</f>
        <v>0</v>
      </c>
      <c r="X576" s="141"/>
      <c r="Y576" s="122" t="s">
        <v>277</v>
      </c>
      <c r="Z576" s="146">
        <f>VLOOKUP(Takeoffs!Y576,Sheet1!$B$6:$C$124,2,FALSE)</f>
        <v>69.540000000000006</v>
      </c>
      <c r="AA576" s="146">
        <f t="shared" si="260"/>
        <v>69.540000000000006</v>
      </c>
      <c r="AB576" s="143">
        <f t="shared" si="261"/>
        <v>1</v>
      </c>
      <c r="AC576" s="133">
        <f t="shared" si="262"/>
        <v>1</v>
      </c>
      <c r="AD576" s="142">
        <v>1</v>
      </c>
      <c r="AE576" s="141"/>
      <c r="AF576" s="121" t="s">
        <v>293</v>
      </c>
      <c r="AG576" s="146">
        <f>VLOOKUP(Takeoffs!AF576,Sheet1!$B$6:$C$124,2,FALSE)</f>
        <v>0</v>
      </c>
      <c r="AH576" s="146">
        <f t="shared" si="263"/>
        <v>0</v>
      </c>
      <c r="AI576" s="143">
        <f t="shared" si="264"/>
        <v>0</v>
      </c>
      <c r="AJ576" s="133">
        <f t="shared" si="265"/>
        <v>1</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702</v>
      </c>
      <c r="P577" s="121"/>
      <c r="Q577" s="66"/>
      <c r="R577" s="121"/>
      <c r="S577" s="133">
        <f>M572</f>
        <v>1</v>
      </c>
      <c r="T577" s="120"/>
      <c r="U577" s="121" t="s">
        <v>364</v>
      </c>
      <c r="V577" s="133">
        <f t="shared" si="259"/>
        <v>1</v>
      </c>
      <c r="W577" s="133">
        <f>VLOOKUP(U577,Sheet1!$B$6:$C$45,2,FALSE)*V577</f>
        <v>1</v>
      </c>
      <c r="X577" s="141"/>
      <c r="Y577" s="135" t="s">
        <v>703</v>
      </c>
      <c r="Z577" s="146">
        <f>VLOOKUP(Takeoffs!Y577,Sheet1!$B$6:$C$124,2,FALSE)</f>
        <v>60</v>
      </c>
      <c r="AA577" s="146">
        <f t="shared" si="260"/>
        <v>60</v>
      </c>
      <c r="AB577" s="143">
        <f t="shared" si="261"/>
        <v>1</v>
      </c>
      <c r="AC577" s="133">
        <f t="shared" si="262"/>
        <v>1</v>
      </c>
      <c r="AD577" s="142">
        <v>1</v>
      </c>
      <c r="AE577" s="141"/>
      <c r="AF577" s="135" t="s">
        <v>269</v>
      </c>
      <c r="AG577" s="146">
        <f>VLOOKUP(Takeoffs!AF577,Sheet1!$B$6:$C$124,2,FALSE)</f>
        <v>1.056</v>
      </c>
      <c r="AH577" s="146">
        <f t="shared" si="263"/>
        <v>10.56</v>
      </c>
      <c r="AI577" s="143">
        <f t="shared" si="264"/>
        <v>10</v>
      </c>
      <c r="AJ577" s="133">
        <f t="shared" si="265"/>
        <v>1</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678</v>
      </c>
      <c r="P578" s="121"/>
      <c r="Q578" s="66"/>
      <c r="R578" s="121"/>
      <c r="S578" s="133">
        <f>M572</f>
        <v>1</v>
      </c>
      <c r="T578" s="120"/>
      <c r="U578" s="121" t="s">
        <v>293</v>
      </c>
      <c r="V578" s="133">
        <f t="shared" si="259"/>
        <v>1</v>
      </c>
      <c r="W578" s="133">
        <f>VLOOKUP(U578,Sheet1!$B$6:$C$45,2,FALSE)*V578</f>
        <v>0</v>
      </c>
      <c r="X578" s="141"/>
      <c r="Y578" s="121" t="s">
        <v>293</v>
      </c>
      <c r="Z578" s="146">
        <f>VLOOKUP(Takeoffs!Y578,Sheet1!$B$6:$C$124,2,FALSE)</f>
        <v>0</v>
      </c>
      <c r="AA578" s="146">
        <f t="shared" si="260"/>
        <v>0</v>
      </c>
      <c r="AB578" s="143">
        <f t="shared" si="261"/>
        <v>1</v>
      </c>
      <c r="AC578" s="133">
        <f t="shared" si="262"/>
        <v>1</v>
      </c>
      <c r="AD578" s="142">
        <v>1</v>
      </c>
      <c r="AE578" s="141"/>
      <c r="AF578" s="121" t="s">
        <v>293</v>
      </c>
      <c r="AG578" s="146">
        <f>VLOOKUP(Takeoffs!AF578,Sheet1!$B$6:$C$124,2,FALSE)</f>
        <v>0</v>
      </c>
      <c r="AH578" s="146">
        <f t="shared" si="263"/>
        <v>0</v>
      </c>
      <c r="AI578" s="143">
        <f t="shared" si="264"/>
        <v>0</v>
      </c>
      <c r="AJ578" s="133">
        <f t="shared" si="265"/>
        <v>1</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539</v>
      </c>
      <c r="P579" s="121"/>
      <c r="Q579" s="66"/>
      <c r="R579" s="121"/>
      <c r="S579" s="133">
        <f>M572</f>
        <v>1</v>
      </c>
      <c r="T579" s="120"/>
      <c r="U579" s="121" t="s">
        <v>293</v>
      </c>
      <c r="V579" s="133">
        <f t="shared" si="259"/>
        <v>1</v>
      </c>
      <c r="W579" s="133">
        <f>VLOOKUP(U579,Sheet1!$B$6:$C$45,2,FALSE)*V579</f>
        <v>0</v>
      </c>
      <c r="X579" s="141"/>
      <c r="Y579" s="122" t="s">
        <v>335</v>
      </c>
      <c r="Z579" s="146">
        <f>VLOOKUP(Takeoffs!Y579,Sheet1!$B$6:$C$124,2,FALSE)</f>
        <v>60</v>
      </c>
      <c r="AA579" s="146">
        <f t="shared" si="260"/>
        <v>60</v>
      </c>
      <c r="AB579" s="143">
        <f t="shared" si="261"/>
        <v>1</v>
      </c>
      <c r="AC579" s="133">
        <f t="shared" si="262"/>
        <v>1</v>
      </c>
      <c r="AD579" s="142">
        <v>1</v>
      </c>
      <c r="AE579" s="141"/>
      <c r="AF579" s="121" t="s">
        <v>293</v>
      </c>
      <c r="AG579" s="146">
        <f>VLOOKUP(Takeoffs!AF579,Sheet1!$B$6:$C$124,2,FALSE)</f>
        <v>0</v>
      </c>
      <c r="AH579" s="146">
        <f t="shared" si="263"/>
        <v>0</v>
      </c>
      <c r="AI579" s="143">
        <f t="shared" si="264"/>
        <v>0</v>
      </c>
      <c r="AJ579" s="133">
        <f t="shared" si="265"/>
        <v>1</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1</v>
      </c>
      <c r="T580" s="120"/>
      <c r="U580" s="121" t="s">
        <v>293</v>
      </c>
      <c r="V580" s="133">
        <f t="shared" si="259"/>
        <v>1</v>
      </c>
      <c r="W580" s="133">
        <f>VLOOKUP(U580,Sheet1!$B$6:$C$45,2,FALSE)*V580</f>
        <v>0</v>
      </c>
      <c r="X580" s="141"/>
      <c r="Y580" s="121" t="s">
        <v>293</v>
      </c>
      <c r="Z580" s="146">
        <f>VLOOKUP(Takeoffs!Y580,Sheet1!$B$6:$C$124,2,FALSE)</f>
        <v>0</v>
      </c>
      <c r="AA580" s="146">
        <f t="shared" si="260"/>
        <v>0</v>
      </c>
      <c r="AB580" s="143">
        <f t="shared" si="261"/>
        <v>1</v>
      </c>
      <c r="AC580" s="133">
        <f t="shared" si="262"/>
        <v>1</v>
      </c>
      <c r="AD580" s="142">
        <v>1</v>
      </c>
      <c r="AE580" s="141"/>
      <c r="AF580" s="121" t="s">
        <v>293</v>
      </c>
      <c r="AG580" s="146">
        <f>VLOOKUP(Takeoffs!AF580,Sheet1!$B$6:$C$124,2,FALSE)</f>
        <v>0</v>
      </c>
      <c r="AH580" s="146">
        <f t="shared" si="263"/>
        <v>0</v>
      </c>
      <c r="AI580" s="143">
        <f t="shared" si="264"/>
        <v>0</v>
      </c>
      <c r="AJ580" s="133">
        <f t="shared" si="265"/>
        <v>1</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1</v>
      </c>
      <c r="T581" s="120"/>
      <c r="U581" s="121" t="s">
        <v>293</v>
      </c>
      <c r="V581" s="133">
        <f t="shared" si="259"/>
        <v>1</v>
      </c>
      <c r="W581" s="133">
        <f>VLOOKUP(U581,Sheet1!$B$6:$C$45,2,FALSE)*V581</f>
        <v>0</v>
      </c>
      <c r="X581" s="141"/>
      <c r="Y581" s="121" t="s">
        <v>293</v>
      </c>
      <c r="Z581" s="146">
        <f>VLOOKUP(Takeoffs!Y581,Sheet1!$B$6:$C$124,2,FALSE)</f>
        <v>0</v>
      </c>
      <c r="AA581" s="146">
        <f t="shared" si="260"/>
        <v>0</v>
      </c>
      <c r="AB581" s="143">
        <f t="shared" si="261"/>
        <v>1</v>
      </c>
      <c r="AC581" s="133">
        <f t="shared" si="262"/>
        <v>1</v>
      </c>
      <c r="AD581" s="142">
        <v>1</v>
      </c>
      <c r="AE581" s="141"/>
      <c r="AF581" s="121" t="s">
        <v>293</v>
      </c>
      <c r="AG581" s="146">
        <f>VLOOKUP(Takeoffs!AF581,Sheet1!$B$6:$C$124,2,FALSE)</f>
        <v>0</v>
      </c>
      <c r="AH581" s="146">
        <f t="shared" si="263"/>
        <v>0</v>
      </c>
      <c r="AI581" s="143">
        <f t="shared" si="264"/>
        <v>0</v>
      </c>
      <c r="AJ581" s="133">
        <f t="shared" si="265"/>
        <v>1</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1</v>
      </c>
      <c r="T582" s="120"/>
      <c r="U582" s="121" t="s">
        <v>293</v>
      </c>
      <c r="V582" s="133">
        <f t="shared" si="259"/>
        <v>1</v>
      </c>
      <c r="W582" s="133">
        <f>VLOOKUP(U582,Sheet1!$B$6:$C$45,2,FALSE)*V582</f>
        <v>0</v>
      </c>
      <c r="X582" s="141"/>
      <c r="Y582" s="121" t="s">
        <v>293</v>
      </c>
      <c r="Z582" s="146">
        <f>VLOOKUP(Takeoffs!Y582,Sheet1!$B$6:$C$124,2,FALSE)</f>
        <v>0</v>
      </c>
      <c r="AA582" s="146">
        <f t="shared" si="260"/>
        <v>0</v>
      </c>
      <c r="AB582" s="143">
        <f t="shared" si="261"/>
        <v>1</v>
      </c>
      <c r="AC582" s="133">
        <f t="shared" si="262"/>
        <v>1</v>
      </c>
      <c r="AD582" s="142">
        <v>1</v>
      </c>
      <c r="AE582" s="141"/>
      <c r="AF582" s="121" t="s">
        <v>293</v>
      </c>
      <c r="AG582" s="146">
        <f>VLOOKUP(Takeoffs!AF582,Sheet1!$B$6:$C$124,2,FALSE)</f>
        <v>0</v>
      </c>
      <c r="AH582" s="146">
        <f t="shared" si="263"/>
        <v>0</v>
      </c>
      <c r="AI582" s="143">
        <f t="shared" si="264"/>
        <v>0</v>
      </c>
      <c r="AJ582" s="133">
        <f t="shared" si="265"/>
        <v>1</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1</v>
      </c>
      <c r="T583" s="120"/>
      <c r="U583" s="121" t="s">
        <v>293</v>
      </c>
      <c r="V583" s="133">
        <f t="shared" si="259"/>
        <v>1</v>
      </c>
      <c r="W583" s="133">
        <f>VLOOKUP(U583,Sheet1!$B$6:$C$45,2,FALSE)*V583</f>
        <v>0</v>
      </c>
      <c r="X583" s="141"/>
      <c r="Y583" s="121" t="s">
        <v>293</v>
      </c>
      <c r="Z583" s="146">
        <f>VLOOKUP(Takeoffs!Y583,Sheet1!$B$6:$C$124,2,FALSE)</f>
        <v>0</v>
      </c>
      <c r="AA583" s="146">
        <f t="shared" si="260"/>
        <v>0</v>
      </c>
      <c r="AB583" s="143">
        <f t="shared" si="261"/>
        <v>1</v>
      </c>
      <c r="AC583" s="133">
        <f t="shared" si="262"/>
        <v>1</v>
      </c>
      <c r="AD583" s="142">
        <v>1</v>
      </c>
      <c r="AE583" s="141"/>
      <c r="AF583" s="121" t="s">
        <v>293</v>
      </c>
      <c r="AG583" s="146">
        <f>VLOOKUP(Takeoffs!AF583,Sheet1!$B$6:$C$124,2,FALSE)</f>
        <v>0</v>
      </c>
      <c r="AH583" s="146">
        <f t="shared" si="263"/>
        <v>0</v>
      </c>
      <c r="AI583" s="143">
        <f t="shared" si="264"/>
        <v>0</v>
      </c>
      <c r="AJ583" s="133">
        <f t="shared" si="265"/>
        <v>1</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1</v>
      </c>
      <c r="T584" s="120"/>
      <c r="U584" s="121" t="s">
        <v>293</v>
      </c>
      <c r="V584" s="133">
        <f t="shared" si="259"/>
        <v>1</v>
      </c>
      <c r="W584" s="133">
        <f>VLOOKUP(U584,Sheet1!$B$6:$C$45,2,FALSE)*V584</f>
        <v>0</v>
      </c>
      <c r="X584" s="141"/>
      <c r="Y584" s="121" t="s">
        <v>293</v>
      </c>
      <c r="Z584" s="146">
        <f>VLOOKUP(Takeoffs!Y584,Sheet1!$B$6:$C$124,2,FALSE)</f>
        <v>0</v>
      </c>
      <c r="AA584" s="146">
        <f t="shared" si="260"/>
        <v>0</v>
      </c>
      <c r="AB584" s="143">
        <f t="shared" si="261"/>
        <v>1</v>
      </c>
      <c r="AC584" s="133">
        <f t="shared" si="262"/>
        <v>1</v>
      </c>
      <c r="AD584" s="142">
        <v>1</v>
      </c>
      <c r="AE584" s="141"/>
      <c r="AF584" s="121" t="s">
        <v>293</v>
      </c>
      <c r="AG584" s="146">
        <f>VLOOKUP(Takeoffs!AF584,Sheet1!$B$6:$C$124,2,FALSE)</f>
        <v>0</v>
      </c>
      <c r="AH584" s="146">
        <f t="shared" si="263"/>
        <v>0</v>
      </c>
      <c r="AI584" s="143">
        <f t="shared" si="264"/>
        <v>0</v>
      </c>
      <c r="AJ584" s="133">
        <f t="shared" si="265"/>
        <v>1</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1</v>
      </c>
      <c r="T585" s="120"/>
      <c r="U585" s="121" t="s">
        <v>293</v>
      </c>
      <c r="V585" s="133">
        <f t="shared" si="259"/>
        <v>1</v>
      </c>
      <c r="W585" s="133">
        <f>VLOOKUP(U585,Sheet1!$B$6:$C$45,2,FALSE)*V585</f>
        <v>0</v>
      </c>
      <c r="X585" s="141"/>
      <c r="Y585" s="121" t="s">
        <v>293</v>
      </c>
      <c r="Z585" s="146">
        <f>VLOOKUP(Takeoffs!Y585,Sheet1!$B$6:$C$124,2,FALSE)</f>
        <v>0</v>
      </c>
      <c r="AA585" s="146">
        <f t="shared" si="260"/>
        <v>0</v>
      </c>
      <c r="AB585" s="143">
        <f t="shared" si="261"/>
        <v>1</v>
      </c>
      <c r="AC585" s="133">
        <f t="shared" si="262"/>
        <v>1</v>
      </c>
      <c r="AD585" s="142">
        <v>1</v>
      </c>
      <c r="AE585" s="141"/>
      <c r="AF585" s="121" t="s">
        <v>293</v>
      </c>
      <c r="AG585" s="146">
        <f>VLOOKUP(Takeoffs!AF585,Sheet1!$B$6:$C$124,2,FALSE)</f>
        <v>0</v>
      </c>
      <c r="AH585" s="146">
        <f t="shared" si="263"/>
        <v>0</v>
      </c>
      <c r="AI585" s="143">
        <f t="shared" si="264"/>
        <v>0</v>
      </c>
      <c r="AJ585" s="133">
        <f t="shared" si="265"/>
        <v>1</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1</v>
      </c>
      <c r="T586" s="120"/>
      <c r="U586" s="121" t="s">
        <v>293</v>
      </c>
      <c r="V586" s="133">
        <f t="shared" si="259"/>
        <v>1</v>
      </c>
      <c r="W586" s="133">
        <f>VLOOKUP(U586,Sheet1!$B$6:$C$45,2,FALSE)*V586</f>
        <v>0</v>
      </c>
      <c r="X586" s="141"/>
      <c r="Y586" s="121" t="s">
        <v>293</v>
      </c>
      <c r="Z586" s="146">
        <f>VLOOKUP(Takeoffs!Y586,Sheet1!$B$6:$C$124,2,FALSE)</f>
        <v>0</v>
      </c>
      <c r="AA586" s="146">
        <f t="shared" si="260"/>
        <v>0</v>
      </c>
      <c r="AB586" s="143">
        <f t="shared" si="261"/>
        <v>1</v>
      </c>
      <c r="AC586" s="133">
        <f t="shared" si="262"/>
        <v>1</v>
      </c>
      <c r="AD586" s="142">
        <v>1</v>
      </c>
      <c r="AE586" s="141"/>
      <c r="AF586" s="121" t="s">
        <v>293</v>
      </c>
      <c r="AG586" s="146">
        <f>VLOOKUP(Takeoffs!AF586,Sheet1!$B$6:$C$124,2,FALSE)</f>
        <v>0</v>
      </c>
      <c r="AH586" s="146">
        <f t="shared" si="263"/>
        <v>0</v>
      </c>
      <c r="AI586" s="143">
        <f t="shared" si="264"/>
        <v>0</v>
      </c>
      <c r="AJ586" s="133">
        <f t="shared" si="265"/>
        <v>1</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1</v>
      </c>
      <c r="T587" s="120"/>
      <c r="U587" s="121" t="s">
        <v>293</v>
      </c>
      <c r="V587" s="133">
        <f t="shared" si="259"/>
        <v>1</v>
      </c>
      <c r="W587" s="133">
        <f>VLOOKUP(U587,Sheet1!$B$6:$C$45,2,FALSE)*V587</f>
        <v>0</v>
      </c>
      <c r="X587" s="141"/>
      <c r="Y587" s="121" t="s">
        <v>293</v>
      </c>
      <c r="Z587" s="146">
        <f>VLOOKUP(Takeoffs!Y587,Sheet1!$B$6:$C$124,2,FALSE)</f>
        <v>0</v>
      </c>
      <c r="AA587" s="146">
        <f t="shared" si="260"/>
        <v>0</v>
      </c>
      <c r="AB587" s="143">
        <f t="shared" si="261"/>
        <v>2</v>
      </c>
      <c r="AC587" s="133">
        <f t="shared" si="262"/>
        <v>1</v>
      </c>
      <c r="AD587" s="142">
        <v>2</v>
      </c>
      <c r="AE587" s="141"/>
      <c r="AF587" s="121" t="s">
        <v>293</v>
      </c>
      <c r="AG587" s="146">
        <f>VLOOKUP(Takeoffs!AF587,Sheet1!$B$6:$C$124,2,FALSE)</f>
        <v>0</v>
      </c>
      <c r="AH587" s="146">
        <f t="shared" si="263"/>
        <v>0</v>
      </c>
      <c r="AI587" s="143">
        <f t="shared" si="264"/>
        <v>0</v>
      </c>
      <c r="AJ587" s="133">
        <f t="shared" si="265"/>
        <v>1</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1</v>
      </c>
      <c r="T588" s="120"/>
      <c r="U588" s="121" t="s">
        <v>293</v>
      </c>
      <c r="V588" s="133">
        <f t="shared" si="259"/>
        <v>1</v>
      </c>
      <c r="W588" s="133">
        <f>VLOOKUP(U588,Sheet1!$B$6:$C$45,2,FALSE)*V588</f>
        <v>0</v>
      </c>
      <c r="X588" s="141"/>
      <c r="Y588" s="121" t="s">
        <v>293</v>
      </c>
      <c r="Z588" s="146">
        <f>VLOOKUP(Takeoffs!Y588,Sheet1!$B$6:$C$124,2,FALSE)</f>
        <v>0</v>
      </c>
      <c r="AA588" s="146">
        <f t="shared" si="260"/>
        <v>0</v>
      </c>
      <c r="AB588" s="143">
        <f t="shared" si="261"/>
        <v>1</v>
      </c>
      <c r="AC588" s="133">
        <f t="shared" si="262"/>
        <v>1</v>
      </c>
      <c r="AD588" s="142">
        <v>1</v>
      </c>
      <c r="AE588" s="141"/>
      <c r="AF588" s="121" t="s">
        <v>293</v>
      </c>
      <c r="AG588" s="146">
        <f>VLOOKUP(Takeoffs!AF588,Sheet1!$B$6:$C$124,2,FALSE)</f>
        <v>0</v>
      </c>
      <c r="AH588" s="146">
        <f t="shared" si="263"/>
        <v>0</v>
      </c>
      <c r="AI588" s="143">
        <f t="shared" si="264"/>
        <v>0</v>
      </c>
      <c r="AJ588" s="133">
        <f t="shared" si="265"/>
        <v>1</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1</v>
      </c>
      <c r="T589" s="120"/>
      <c r="U589" s="121" t="s">
        <v>293</v>
      </c>
      <c r="V589" s="133">
        <f t="shared" si="259"/>
        <v>1</v>
      </c>
      <c r="W589" s="133">
        <f>VLOOKUP(U589,Sheet1!$B$6:$C$45,2,FALSE)*V589</f>
        <v>0</v>
      </c>
      <c r="X589" s="141"/>
      <c r="Y589" s="121" t="s">
        <v>293</v>
      </c>
      <c r="Z589" s="146">
        <f>VLOOKUP(Takeoffs!Y589,Sheet1!$B$6:$C$124,2,FALSE)</f>
        <v>0</v>
      </c>
      <c r="AA589" s="146">
        <f t="shared" si="260"/>
        <v>0</v>
      </c>
      <c r="AB589" s="143">
        <f t="shared" si="261"/>
        <v>1</v>
      </c>
      <c r="AC589" s="133">
        <f t="shared" si="262"/>
        <v>1</v>
      </c>
      <c r="AD589" s="142">
        <v>1</v>
      </c>
      <c r="AE589" s="141"/>
      <c r="AF589" s="121" t="s">
        <v>293</v>
      </c>
      <c r="AG589" s="146">
        <f>VLOOKUP(Takeoffs!AF589,Sheet1!$B$6:$C$124,2,FALSE)</f>
        <v>0</v>
      </c>
      <c r="AH589" s="146">
        <f t="shared" si="263"/>
        <v>0</v>
      </c>
      <c r="AI589" s="143">
        <f t="shared" si="264"/>
        <v>0</v>
      </c>
      <c r="AJ589" s="133">
        <f t="shared" si="265"/>
        <v>1</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1</v>
      </c>
      <c r="T590" s="120"/>
      <c r="U590" s="121" t="s">
        <v>293</v>
      </c>
      <c r="V590" s="133">
        <f t="shared" si="259"/>
        <v>1</v>
      </c>
      <c r="W590" s="133">
        <f>VLOOKUP(U590,Sheet1!$B$6:$C$45,2,FALSE)*V590</f>
        <v>0</v>
      </c>
      <c r="X590" s="141"/>
      <c r="Y590" s="121" t="s">
        <v>293</v>
      </c>
      <c r="Z590" s="146">
        <f>VLOOKUP(Takeoffs!Y590,Sheet1!$B$6:$C$124,2,FALSE)</f>
        <v>0</v>
      </c>
      <c r="AA590" s="146">
        <f t="shared" si="260"/>
        <v>0</v>
      </c>
      <c r="AB590" s="143">
        <f t="shared" si="261"/>
        <v>1</v>
      </c>
      <c r="AC590" s="133">
        <f t="shared" si="262"/>
        <v>1</v>
      </c>
      <c r="AD590" s="142">
        <v>1</v>
      </c>
      <c r="AE590" s="141"/>
      <c r="AF590" s="121" t="s">
        <v>293</v>
      </c>
      <c r="AG590" s="146">
        <f>VLOOKUP(Takeoffs!AF590,Sheet1!$B$6:$C$124,2,FALSE)</f>
        <v>0</v>
      </c>
      <c r="AH590" s="146">
        <f t="shared" si="263"/>
        <v>0</v>
      </c>
      <c r="AI590" s="143">
        <f t="shared" si="264"/>
        <v>0</v>
      </c>
      <c r="AJ590" s="133">
        <f t="shared" si="265"/>
        <v>1</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1</v>
      </c>
      <c r="T591" s="120"/>
      <c r="U591" s="121" t="s">
        <v>293</v>
      </c>
      <c r="V591" s="133">
        <f t="shared" si="259"/>
        <v>1</v>
      </c>
      <c r="W591" s="133">
        <f>VLOOKUP(U591,Sheet1!$B$6:$C$45,2,FALSE)*V591</f>
        <v>0</v>
      </c>
      <c r="X591" s="141"/>
      <c r="Y591" s="121" t="s">
        <v>293</v>
      </c>
      <c r="Z591" s="146">
        <f>VLOOKUP(Takeoffs!Y591,Sheet1!$B$6:$C$124,2,FALSE)</f>
        <v>0</v>
      </c>
      <c r="AA591" s="146">
        <f t="shared" si="260"/>
        <v>0</v>
      </c>
      <c r="AB591" s="143">
        <f t="shared" si="261"/>
        <v>1</v>
      </c>
      <c r="AC591" s="133">
        <f t="shared" si="262"/>
        <v>1</v>
      </c>
      <c r="AD591" s="142">
        <v>1</v>
      </c>
      <c r="AE591" s="141"/>
      <c r="AF591" s="121" t="s">
        <v>293</v>
      </c>
      <c r="AG591" s="146">
        <f>VLOOKUP(Takeoffs!AF591,Sheet1!$B$6:$C$124,2,FALSE)</f>
        <v>0</v>
      </c>
      <c r="AH591" s="146">
        <f t="shared" si="263"/>
        <v>0</v>
      </c>
      <c r="AI591" s="143">
        <f t="shared" si="264"/>
        <v>0</v>
      </c>
      <c r="AJ591" s="133">
        <f t="shared" si="265"/>
        <v>1</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410</v>
      </c>
      <c r="P592" s="121"/>
      <c r="Q592" s="66"/>
      <c r="R592" s="121"/>
      <c r="S592" s="133">
        <f>M572</f>
        <v>1</v>
      </c>
      <c r="T592" s="120"/>
      <c r="U592" s="121" t="s">
        <v>293</v>
      </c>
      <c r="V592" s="133">
        <f t="shared" si="259"/>
        <v>1</v>
      </c>
      <c r="W592" s="133">
        <f>VLOOKUP(U592,Sheet1!$B$6:$C$45,2,FALSE)*V592</f>
        <v>0</v>
      </c>
      <c r="X592" s="141"/>
      <c r="Y592" s="121" t="s">
        <v>293</v>
      </c>
      <c r="Z592" s="146">
        <f>VLOOKUP(Takeoffs!Y592,Sheet1!$B$6:$C$124,2,FALSE)</f>
        <v>0</v>
      </c>
      <c r="AA592" s="146">
        <f t="shared" si="260"/>
        <v>0</v>
      </c>
      <c r="AB592" s="143">
        <f t="shared" si="261"/>
        <v>1</v>
      </c>
      <c r="AC592" s="133">
        <f t="shared" si="262"/>
        <v>1</v>
      </c>
      <c r="AD592" s="142">
        <v>1</v>
      </c>
      <c r="AE592" s="141"/>
      <c r="AF592" s="121" t="s">
        <v>293</v>
      </c>
      <c r="AG592" s="146">
        <f>VLOOKUP(Takeoffs!AF592,Sheet1!$B$6:$C$124,2,FALSE)</f>
        <v>0</v>
      </c>
      <c r="AH592" s="146">
        <f t="shared" si="263"/>
        <v>0</v>
      </c>
      <c r="AI592" s="143">
        <f t="shared" si="264"/>
        <v>0</v>
      </c>
      <c r="AJ592" s="133">
        <f t="shared" si="265"/>
        <v>1</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379</v>
      </c>
      <c r="L593" s="128" t="s">
        <v>380</v>
      </c>
      <c r="N593" s="129"/>
      <c r="O593" s="130" t="s">
        <v>359</v>
      </c>
      <c r="P593" s="155">
        <f>V593+AA593+AH593</f>
        <v>365.20000000000005</v>
      </c>
      <c r="Q593" s="155"/>
      <c r="R593" s="131"/>
      <c r="S593" s="130"/>
      <c r="T593" s="127"/>
      <c r="U593" s="126" t="s">
        <v>353</v>
      </c>
      <c r="V593" s="127">
        <f>W593*80</f>
        <v>160</v>
      </c>
      <c r="W593" s="147">
        <f>SUM(W572:W592)</f>
        <v>2</v>
      </c>
      <c r="X593" s="148"/>
      <c r="Y593" s="127" t="s">
        <v>354</v>
      </c>
      <c r="Z593" s="116"/>
      <c r="AA593" s="116">
        <f>SUM(AA572:AA592)</f>
        <v>189.54000000000002</v>
      </c>
      <c r="AB593" s="149"/>
      <c r="AC593" s="149"/>
      <c r="AD593" s="149"/>
      <c r="AE593" s="149"/>
      <c r="AF593" s="127" t="s">
        <v>358</v>
      </c>
      <c r="AG593" s="116"/>
      <c r="AH593" s="116">
        <f>SUM(AH572:AH592)</f>
        <v>15.66</v>
      </c>
      <c r="AI593" s="149"/>
      <c r="AJ593" s="149"/>
      <c r="AK593" s="149"/>
      <c r="AL593" s="149"/>
      <c r="AM593" s="150">
        <f>P593</f>
        <v>365.20000000000005</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494</v>
      </c>
      <c r="C594" s="217" t="str">
        <f>N572</f>
        <v>DOL fan from local power supply - With local switch and run on timer</v>
      </c>
      <c r="D594" s="260" t="str">
        <f>IF(B594="Shopping List",IF(ISNUMBER(SEARCH("MSSB",C594)),"MSSB",IF(ISNUMBER(SEARCH("local",C594)),"LOCAL","")))</f>
        <v>LOCAL</v>
      </c>
      <c r="E594" s="238"/>
      <c r="F594" s="217"/>
      <c r="G594" s="217"/>
      <c r="H594" s="245"/>
      <c r="I594" s="270">
        <v>1</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one (1)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365.20000000000005</v>
      </c>
      <c r="L594" s="234" t="str">
        <f>CONCATENATE(Q573,Q574,Q575,Q576,Q577,Q578,Q579,Q580,Q581,Q582,Q583,Q584,Q585,Q586,Q587,Q588,Q589,Q590,Q591,Q592,)</f>
        <v xml:space="preserve">supply of local power supply. </v>
      </c>
      <c r="M594" s="166" t="s">
        <v>369</v>
      </c>
      <c r="N594" s="160" t="str">
        <f>N572</f>
        <v>DOL fan from local power supply - With local switch and run on timer</v>
      </c>
      <c r="O594" s="185" t="s">
        <v>367</v>
      </c>
      <c r="P594" s="203">
        <f>P593/M572</f>
        <v>365.20000000000005</v>
      </c>
      <c r="Q594" s="195"/>
      <c r="R594" s="188"/>
      <c r="S594" s="160"/>
      <c r="T594" s="161"/>
      <c r="U594" s="327" t="s">
        <v>368</v>
      </c>
      <c r="V594" s="327"/>
      <c r="W594" s="162">
        <f>W593/M572</f>
        <v>2</v>
      </c>
      <c r="X594" s="163"/>
      <c r="Y594" s="325" t="s">
        <v>367</v>
      </c>
      <c r="Z594" s="325"/>
      <c r="AA594" s="164">
        <f>AA593/M572</f>
        <v>189.54000000000002</v>
      </c>
      <c r="AB594" s="161"/>
      <c r="AC594" s="161"/>
      <c r="AD594" s="161"/>
      <c r="AE594" s="161"/>
      <c r="AF594" s="325" t="s">
        <v>367</v>
      </c>
      <c r="AG594" s="325"/>
      <c r="AH594" s="164">
        <f>AH593/M572</f>
        <v>15.66</v>
      </c>
      <c r="AI594" s="161"/>
      <c r="AJ594" s="161"/>
      <c r="AK594" s="161"/>
      <c r="AL594" s="247"/>
      <c r="AM594" s="257"/>
      <c r="AN594" s="236">
        <f>K594*$D$9</f>
        <v>91.300000000000011</v>
      </c>
      <c r="AO594" s="286"/>
      <c r="AP594" s="284">
        <f t="shared" si="243"/>
        <v>365.20000000000005</v>
      </c>
      <c r="AQ594" s="281">
        <f t="shared" si="244"/>
        <v>160</v>
      </c>
      <c r="AR594" s="284">
        <f t="shared" si="245"/>
        <v>189.54000000000002</v>
      </c>
      <c r="AS594" s="281">
        <f t="shared" si="246"/>
        <v>15.66</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5">
      <c r="A595" s="262">
        <f>ROW()</f>
        <v>595</v>
      </c>
      <c r="C595" s="211"/>
      <c r="D595" s="211"/>
      <c r="E595" s="211"/>
      <c r="F595" s="211"/>
      <c r="G595" s="211"/>
      <c r="H595" s="211"/>
      <c r="K595" s="116" t="s">
        <v>454</v>
      </c>
      <c r="M595" s="116" t="s">
        <v>107</v>
      </c>
      <c r="N595" s="116" t="s">
        <v>108</v>
      </c>
      <c r="O595" s="170" t="s">
        <v>388</v>
      </c>
      <c r="P595" s="326" t="s">
        <v>377</v>
      </c>
      <c r="Q595" s="326"/>
      <c r="R595" s="101" t="s">
        <v>454</v>
      </c>
      <c r="S595" s="116" t="s">
        <v>0</v>
      </c>
      <c r="T595" s="118"/>
      <c r="U595" s="116" t="s">
        <v>288</v>
      </c>
      <c r="V595" s="116" t="s">
        <v>289</v>
      </c>
      <c r="W595" s="116" t="s">
        <v>292</v>
      </c>
      <c r="X595" s="140"/>
      <c r="Y595" s="116" t="s">
        <v>290</v>
      </c>
      <c r="Z595" s="116" t="s">
        <v>356</v>
      </c>
      <c r="AA595" s="116" t="s">
        <v>357</v>
      </c>
      <c r="AB595" s="116" t="s">
        <v>319</v>
      </c>
      <c r="AC595" s="116" t="s">
        <v>320</v>
      </c>
      <c r="AD595" s="116" t="s">
        <v>318</v>
      </c>
      <c r="AE595" s="140"/>
      <c r="AF595" s="116" t="s">
        <v>294</v>
      </c>
      <c r="AG595" s="116" t="s">
        <v>356</v>
      </c>
      <c r="AH595" s="116" t="s">
        <v>357</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5">
      <c r="A596" s="262">
        <f>ROW()</f>
        <v>596</v>
      </c>
      <c r="C596" s="208"/>
      <c r="D596" s="208"/>
      <c r="E596" s="208"/>
      <c r="F596" s="208"/>
      <c r="G596" s="208"/>
      <c r="H596" s="208"/>
      <c r="L596" s="124" t="str">
        <f>VLOOKUP(M596,Sheet2!$D$2:$E$1024,2,FALSE)</f>
        <v>one</v>
      </c>
      <c r="M596" s="121">
        <f>I618</f>
        <v>1</v>
      </c>
      <c r="N596" s="132" t="s">
        <v>651</v>
      </c>
      <c r="O596" s="121" t="s">
        <v>133</v>
      </c>
      <c r="P596" s="169" t="s">
        <v>381</v>
      </c>
      <c r="Q596" s="169" t="s">
        <v>377</v>
      </c>
      <c r="R596" s="169"/>
      <c r="S596" s="133">
        <f>M596</f>
        <v>1</v>
      </c>
      <c r="T596" s="119"/>
      <c r="U596" s="121" t="s">
        <v>293</v>
      </c>
      <c r="V596" s="133">
        <f>S596</f>
        <v>1</v>
      </c>
      <c r="W596" s="133">
        <f>VLOOKUP(U596,Sheet1!$B$6:$C$45,2,FALSE)*V596</f>
        <v>0</v>
      </c>
      <c r="X596" s="141"/>
      <c r="Y596" s="121" t="s">
        <v>293</v>
      </c>
      <c r="Z596" s="146">
        <f>VLOOKUP(Takeoffs!Y596,Sheet1!$B$6:$C$124,2,FALSE)</f>
        <v>0</v>
      </c>
      <c r="AA596" s="146">
        <f>Z596*AB596</f>
        <v>0</v>
      </c>
      <c r="AB596" s="143">
        <f>AD596*AC596</f>
        <v>1</v>
      </c>
      <c r="AC596" s="133">
        <f>S596</f>
        <v>1</v>
      </c>
      <c r="AD596" s="142">
        <v>1</v>
      </c>
      <c r="AE596" s="141"/>
      <c r="AF596" s="121" t="s">
        <v>293</v>
      </c>
      <c r="AG596" s="146">
        <f>VLOOKUP(Takeoffs!AF596,Sheet1!$B$6:$C$124,2,FALSE)</f>
        <v>0</v>
      </c>
      <c r="AH596" s="146">
        <f>AG596*AI596</f>
        <v>0</v>
      </c>
      <c r="AI596" s="143">
        <f>AK596*AJ596</f>
        <v>0</v>
      </c>
      <c r="AJ596" s="133">
        <f>S596</f>
        <v>1</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1</v>
      </c>
      <c r="T597" s="120"/>
      <c r="U597" s="121" t="s">
        <v>293</v>
      </c>
      <c r="V597" s="133">
        <f t="shared" ref="V597:V616" si="273">S597</f>
        <v>1</v>
      </c>
      <c r="W597" s="133">
        <f>VLOOKUP(U597,Sheet1!$B$6:$C$45,2,FALSE)*V597</f>
        <v>0</v>
      </c>
      <c r="X597" s="141"/>
      <c r="Y597" s="121" t="s">
        <v>293</v>
      </c>
      <c r="Z597" s="146">
        <f>VLOOKUP(Takeoffs!Y597,Sheet1!$B$6:$C$124,2,FALSE)</f>
        <v>0</v>
      </c>
      <c r="AA597" s="146">
        <f t="shared" ref="AA597:AA616" si="274">Z597*AB597</f>
        <v>0</v>
      </c>
      <c r="AB597" s="143">
        <f t="shared" ref="AB597:AB616" si="275">AD597*AC597</f>
        <v>1</v>
      </c>
      <c r="AC597" s="133">
        <f t="shared" ref="AC597:AC616" si="276">S597</f>
        <v>1</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1</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1</v>
      </c>
      <c r="T598" s="120"/>
      <c r="U598" s="121" t="s">
        <v>293</v>
      </c>
      <c r="V598" s="133">
        <f t="shared" si="273"/>
        <v>1</v>
      </c>
      <c r="W598" s="133">
        <f>VLOOKUP(U598,Sheet1!$B$6:$C$45,2,FALSE)*V598</f>
        <v>0</v>
      </c>
      <c r="X598" s="141"/>
      <c r="Y598" s="121" t="s">
        <v>293</v>
      </c>
      <c r="Z598" s="146">
        <f>VLOOKUP(Takeoffs!Y598,Sheet1!$B$6:$C$124,2,FALSE)</f>
        <v>0</v>
      </c>
      <c r="AA598" s="146">
        <f t="shared" si="274"/>
        <v>0</v>
      </c>
      <c r="AB598" s="143">
        <f t="shared" si="275"/>
        <v>1</v>
      </c>
      <c r="AC598" s="133">
        <f t="shared" si="276"/>
        <v>1</v>
      </c>
      <c r="AD598" s="142">
        <v>1</v>
      </c>
      <c r="AE598" s="141"/>
      <c r="AF598" s="122" t="s">
        <v>268</v>
      </c>
      <c r="AG598" s="146">
        <f>VLOOKUP(Takeoffs!AF598,Sheet1!$B$6:$C$124,2,FALSE)</f>
        <v>1.02</v>
      </c>
      <c r="AH598" s="146">
        <f t="shared" si="277"/>
        <v>5.0999999999999996</v>
      </c>
      <c r="AI598" s="143">
        <f t="shared" si="278"/>
        <v>5</v>
      </c>
      <c r="AJ598" s="133">
        <f t="shared" si="279"/>
        <v>1</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540</v>
      </c>
      <c r="P599" s="121" t="s">
        <v>542</v>
      </c>
      <c r="Q599" s="66" t="s">
        <v>541</v>
      </c>
      <c r="R599" s="121"/>
      <c r="S599" s="133">
        <f>M596</f>
        <v>1</v>
      </c>
      <c r="T599" s="120"/>
      <c r="U599" s="121" t="s">
        <v>363</v>
      </c>
      <c r="V599" s="133">
        <f t="shared" si="273"/>
        <v>1</v>
      </c>
      <c r="W599" s="133">
        <f>VLOOKUP(U599,Sheet1!$B$6:$C$45,2,FALSE)*V599</f>
        <v>1</v>
      </c>
      <c r="X599" s="141"/>
      <c r="Y599" s="121" t="s">
        <v>293</v>
      </c>
      <c r="Z599" s="146">
        <f>VLOOKUP(Takeoffs!Y599,Sheet1!$B$6:$C$124,2,FALSE)</f>
        <v>0</v>
      </c>
      <c r="AA599" s="146">
        <f t="shared" si="274"/>
        <v>0</v>
      </c>
      <c r="AB599" s="143">
        <f t="shared" si="275"/>
        <v>1</v>
      </c>
      <c r="AC599" s="133">
        <f t="shared" si="276"/>
        <v>1</v>
      </c>
      <c r="AD599" s="142">
        <v>1</v>
      </c>
      <c r="AE599" s="141"/>
      <c r="AF599" s="121" t="s">
        <v>293</v>
      </c>
      <c r="AG599" s="146">
        <f>VLOOKUP(Takeoffs!AF599,Sheet1!$B$6:$C$124,2,FALSE)</f>
        <v>0</v>
      </c>
      <c r="AH599" s="146">
        <f t="shared" si="277"/>
        <v>0</v>
      </c>
      <c r="AI599" s="143">
        <f t="shared" si="278"/>
        <v>0</v>
      </c>
      <c r="AJ599" s="133">
        <f t="shared" si="279"/>
        <v>1</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648</v>
      </c>
      <c r="P600" s="121"/>
      <c r="Q600" s="66"/>
      <c r="R600" s="121"/>
      <c r="S600" s="133">
        <f>M596</f>
        <v>1</v>
      </c>
      <c r="T600" s="120"/>
      <c r="U600" s="121" t="s">
        <v>293</v>
      </c>
      <c r="V600" s="133">
        <f t="shared" si="273"/>
        <v>1</v>
      </c>
      <c r="W600" s="133">
        <f>VLOOKUP(U600,Sheet1!$B$6:$C$45,2,FALSE)*V600</f>
        <v>0</v>
      </c>
      <c r="X600" s="141"/>
      <c r="Y600" s="122" t="s">
        <v>277</v>
      </c>
      <c r="Z600" s="146">
        <f>VLOOKUP(Takeoffs!Y600,Sheet1!$B$6:$C$124,2,FALSE)</f>
        <v>69.540000000000006</v>
      </c>
      <c r="AA600" s="146">
        <f t="shared" si="274"/>
        <v>69.540000000000006</v>
      </c>
      <c r="AB600" s="143">
        <f t="shared" si="275"/>
        <v>1</v>
      </c>
      <c r="AC600" s="133">
        <f t="shared" si="276"/>
        <v>1</v>
      </c>
      <c r="AD600" s="142">
        <v>1</v>
      </c>
      <c r="AE600" s="141"/>
      <c r="AF600" s="121" t="s">
        <v>293</v>
      </c>
      <c r="AG600" s="146">
        <f>VLOOKUP(Takeoffs!AF600,Sheet1!$B$6:$C$124,2,FALSE)</f>
        <v>0</v>
      </c>
      <c r="AH600" s="146">
        <f t="shared" si="277"/>
        <v>0</v>
      </c>
      <c r="AI600" s="143">
        <f t="shared" si="278"/>
        <v>0</v>
      </c>
      <c r="AJ600" s="133">
        <f t="shared" si="279"/>
        <v>1</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650</v>
      </c>
      <c r="P601" s="121"/>
      <c r="Q601" s="66"/>
      <c r="R601" s="121"/>
      <c r="S601" s="133">
        <f>M596</f>
        <v>1</v>
      </c>
      <c r="T601" s="120"/>
      <c r="U601" s="121" t="s">
        <v>364</v>
      </c>
      <c r="V601" s="133">
        <f t="shared" si="273"/>
        <v>1</v>
      </c>
      <c r="W601" s="133">
        <f>VLOOKUP(U601,Sheet1!$B$6:$C$45,2,FALSE)*V601</f>
        <v>1</v>
      </c>
      <c r="X601" s="141"/>
      <c r="Y601" s="122" t="s">
        <v>280</v>
      </c>
      <c r="Z601" s="146">
        <f>VLOOKUP(Takeoffs!Y601,Sheet1!$B$6:$C$124,2,FALSE)</f>
        <v>19.2</v>
      </c>
      <c r="AA601" s="146">
        <f t="shared" si="274"/>
        <v>19.2</v>
      </c>
      <c r="AB601" s="143">
        <f t="shared" si="275"/>
        <v>1</v>
      </c>
      <c r="AC601" s="133">
        <f t="shared" si="276"/>
        <v>1</v>
      </c>
      <c r="AD601" s="142">
        <v>1</v>
      </c>
      <c r="AE601" s="141"/>
      <c r="AF601" s="135" t="s">
        <v>269</v>
      </c>
      <c r="AG601" s="146">
        <f>VLOOKUP(Takeoffs!AF601,Sheet1!$B$6:$C$124,2,FALSE)</f>
        <v>1.056</v>
      </c>
      <c r="AH601" s="146">
        <f t="shared" si="277"/>
        <v>10.56</v>
      </c>
      <c r="AI601" s="143">
        <f t="shared" si="278"/>
        <v>10</v>
      </c>
      <c r="AJ601" s="133">
        <f t="shared" si="279"/>
        <v>1</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649</v>
      </c>
      <c r="P602" s="121"/>
      <c r="Q602" s="66"/>
      <c r="R602" s="121"/>
      <c r="S602" s="133">
        <f>M596</f>
        <v>1</v>
      </c>
      <c r="T602" s="120"/>
      <c r="U602" s="121" t="s">
        <v>293</v>
      </c>
      <c r="V602" s="133">
        <f t="shared" si="273"/>
        <v>1</v>
      </c>
      <c r="W602" s="133">
        <f>VLOOKUP(U602,Sheet1!$B$6:$C$45,2,FALSE)*V602</f>
        <v>0</v>
      </c>
      <c r="X602" s="141"/>
      <c r="Y602" s="135" t="s">
        <v>424</v>
      </c>
      <c r="Z602" s="146">
        <f>VLOOKUP(Takeoffs!Y602,Sheet1!$B$6:$C$124,2,FALSE)</f>
        <v>23.4</v>
      </c>
      <c r="AA602" s="146">
        <f t="shared" si="274"/>
        <v>23.4</v>
      </c>
      <c r="AB602" s="143">
        <f t="shared" si="275"/>
        <v>1</v>
      </c>
      <c r="AC602" s="133">
        <f t="shared" si="276"/>
        <v>1</v>
      </c>
      <c r="AD602" s="142">
        <v>1</v>
      </c>
      <c r="AE602" s="141"/>
      <c r="AF602" s="121" t="s">
        <v>293</v>
      </c>
      <c r="AG602" s="146">
        <f>VLOOKUP(Takeoffs!AF602,Sheet1!$B$6:$C$124,2,FALSE)</f>
        <v>0</v>
      </c>
      <c r="AH602" s="146">
        <f t="shared" si="277"/>
        <v>0</v>
      </c>
      <c r="AI602" s="143">
        <f t="shared" si="278"/>
        <v>0</v>
      </c>
      <c r="AJ602" s="133">
        <f t="shared" si="279"/>
        <v>1</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539</v>
      </c>
      <c r="P603" s="121"/>
      <c r="Q603" s="66"/>
      <c r="R603" s="121"/>
      <c r="S603" s="133">
        <f>M596</f>
        <v>1</v>
      </c>
      <c r="T603" s="120"/>
      <c r="U603" s="121" t="s">
        <v>293</v>
      </c>
      <c r="V603" s="133">
        <f t="shared" si="273"/>
        <v>1</v>
      </c>
      <c r="W603" s="133">
        <f>VLOOKUP(U603,Sheet1!$B$6:$C$45,2,FALSE)*V603</f>
        <v>0</v>
      </c>
      <c r="X603" s="141"/>
      <c r="Y603" s="122" t="s">
        <v>335</v>
      </c>
      <c r="Z603" s="146">
        <f>VLOOKUP(Takeoffs!Y603,Sheet1!$B$6:$C$124,2,FALSE)</f>
        <v>60</v>
      </c>
      <c r="AA603" s="146">
        <f t="shared" si="274"/>
        <v>60</v>
      </c>
      <c r="AB603" s="143">
        <f t="shared" si="275"/>
        <v>1</v>
      </c>
      <c r="AC603" s="133">
        <f t="shared" si="276"/>
        <v>1</v>
      </c>
      <c r="AD603" s="142">
        <v>1</v>
      </c>
      <c r="AE603" s="141"/>
      <c r="AF603" s="121" t="s">
        <v>293</v>
      </c>
      <c r="AG603" s="146">
        <f>VLOOKUP(Takeoffs!AF603,Sheet1!$B$6:$C$124,2,FALSE)</f>
        <v>0</v>
      </c>
      <c r="AH603" s="146">
        <f t="shared" si="277"/>
        <v>0</v>
      </c>
      <c r="AI603" s="143">
        <f t="shared" si="278"/>
        <v>0</v>
      </c>
      <c r="AJ603" s="133">
        <f t="shared" si="279"/>
        <v>1</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1</v>
      </c>
      <c r="T604" s="120"/>
      <c r="U604" s="121" t="s">
        <v>293</v>
      </c>
      <c r="V604" s="133">
        <f t="shared" si="273"/>
        <v>1</v>
      </c>
      <c r="W604" s="133">
        <f>VLOOKUP(U604,Sheet1!$B$6:$C$45,2,FALSE)*V604</f>
        <v>0</v>
      </c>
      <c r="X604" s="141"/>
      <c r="Y604" s="121" t="s">
        <v>293</v>
      </c>
      <c r="Z604" s="146">
        <f>VLOOKUP(Takeoffs!Y604,Sheet1!$B$6:$C$124,2,FALSE)</f>
        <v>0</v>
      </c>
      <c r="AA604" s="146">
        <f t="shared" si="274"/>
        <v>0</v>
      </c>
      <c r="AB604" s="143">
        <f t="shared" si="275"/>
        <v>1</v>
      </c>
      <c r="AC604" s="133">
        <f t="shared" si="276"/>
        <v>1</v>
      </c>
      <c r="AD604" s="142">
        <v>1</v>
      </c>
      <c r="AE604" s="141"/>
      <c r="AF604" s="121" t="s">
        <v>293</v>
      </c>
      <c r="AG604" s="146">
        <f>VLOOKUP(Takeoffs!AF604,Sheet1!$B$6:$C$124,2,FALSE)</f>
        <v>0</v>
      </c>
      <c r="AH604" s="146">
        <f t="shared" si="277"/>
        <v>0</v>
      </c>
      <c r="AI604" s="143">
        <f t="shared" si="278"/>
        <v>0</v>
      </c>
      <c r="AJ604" s="133">
        <f t="shared" si="279"/>
        <v>1</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1</v>
      </c>
      <c r="T605" s="120"/>
      <c r="U605" s="121" t="s">
        <v>293</v>
      </c>
      <c r="V605" s="133">
        <f t="shared" si="273"/>
        <v>1</v>
      </c>
      <c r="W605" s="133">
        <f>VLOOKUP(U605,Sheet1!$B$6:$C$45,2,FALSE)*V605</f>
        <v>0</v>
      </c>
      <c r="X605" s="141"/>
      <c r="Y605" s="121" t="s">
        <v>293</v>
      </c>
      <c r="Z605" s="146">
        <f>VLOOKUP(Takeoffs!Y605,Sheet1!$B$6:$C$124,2,FALSE)</f>
        <v>0</v>
      </c>
      <c r="AA605" s="146">
        <f t="shared" si="274"/>
        <v>0</v>
      </c>
      <c r="AB605" s="143">
        <f t="shared" si="275"/>
        <v>1</v>
      </c>
      <c r="AC605" s="133">
        <f t="shared" si="276"/>
        <v>1</v>
      </c>
      <c r="AD605" s="142">
        <v>1</v>
      </c>
      <c r="AE605" s="141"/>
      <c r="AF605" s="121" t="s">
        <v>293</v>
      </c>
      <c r="AG605" s="146">
        <f>VLOOKUP(Takeoffs!AF605,Sheet1!$B$6:$C$124,2,FALSE)</f>
        <v>0</v>
      </c>
      <c r="AH605" s="146">
        <f t="shared" si="277"/>
        <v>0</v>
      </c>
      <c r="AI605" s="143">
        <f t="shared" si="278"/>
        <v>0</v>
      </c>
      <c r="AJ605" s="133">
        <f t="shared" si="279"/>
        <v>1</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1</v>
      </c>
      <c r="T606" s="120"/>
      <c r="U606" s="121" t="s">
        <v>293</v>
      </c>
      <c r="V606" s="133">
        <f t="shared" si="273"/>
        <v>1</v>
      </c>
      <c r="W606" s="133">
        <f>VLOOKUP(U606,Sheet1!$B$6:$C$45,2,FALSE)*V606</f>
        <v>0</v>
      </c>
      <c r="X606" s="141"/>
      <c r="Y606" s="121" t="s">
        <v>293</v>
      </c>
      <c r="Z606" s="146">
        <f>VLOOKUP(Takeoffs!Y606,Sheet1!$B$6:$C$124,2,FALSE)</f>
        <v>0</v>
      </c>
      <c r="AA606" s="146">
        <f t="shared" si="274"/>
        <v>0</v>
      </c>
      <c r="AB606" s="143">
        <f t="shared" si="275"/>
        <v>1</v>
      </c>
      <c r="AC606" s="133">
        <f t="shared" si="276"/>
        <v>1</v>
      </c>
      <c r="AD606" s="142">
        <v>1</v>
      </c>
      <c r="AE606" s="141"/>
      <c r="AF606" s="121" t="s">
        <v>293</v>
      </c>
      <c r="AG606" s="146">
        <f>VLOOKUP(Takeoffs!AF606,Sheet1!$B$6:$C$124,2,FALSE)</f>
        <v>0</v>
      </c>
      <c r="AH606" s="146">
        <f t="shared" si="277"/>
        <v>0</v>
      </c>
      <c r="AI606" s="143">
        <f t="shared" si="278"/>
        <v>0</v>
      </c>
      <c r="AJ606" s="133">
        <f t="shared" si="279"/>
        <v>1</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1</v>
      </c>
      <c r="T607" s="120"/>
      <c r="U607" s="121" t="s">
        <v>293</v>
      </c>
      <c r="V607" s="133">
        <f t="shared" si="273"/>
        <v>1</v>
      </c>
      <c r="W607" s="133">
        <f>VLOOKUP(U607,Sheet1!$B$6:$C$45,2,FALSE)*V607</f>
        <v>0</v>
      </c>
      <c r="X607" s="141"/>
      <c r="Y607" s="121" t="s">
        <v>293</v>
      </c>
      <c r="Z607" s="146">
        <f>VLOOKUP(Takeoffs!Y607,Sheet1!$B$6:$C$124,2,FALSE)</f>
        <v>0</v>
      </c>
      <c r="AA607" s="146">
        <f t="shared" si="274"/>
        <v>0</v>
      </c>
      <c r="AB607" s="143">
        <f t="shared" si="275"/>
        <v>1</v>
      </c>
      <c r="AC607" s="133">
        <f t="shared" si="276"/>
        <v>1</v>
      </c>
      <c r="AD607" s="142">
        <v>1</v>
      </c>
      <c r="AE607" s="141"/>
      <c r="AF607" s="121" t="s">
        <v>293</v>
      </c>
      <c r="AG607" s="146">
        <f>VLOOKUP(Takeoffs!AF607,Sheet1!$B$6:$C$124,2,FALSE)</f>
        <v>0</v>
      </c>
      <c r="AH607" s="146">
        <f t="shared" si="277"/>
        <v>0</v>
      </c>
      <c r="AI607" s="143">
        <f t="shared" si="278"/>
        <v>0</v>
      </c>
      <c r="AJ607" s="133">
        <f t="shared" si="279"/>
        <v>1</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1</v>
      </c>
      <c r="T608" s="120"/>
      <c r="U608" s="121" t="s">
        <v>293</v>
      </c>
      <c r="V608" s="133">
        <f t="shared" si="273"/>
        <v>1</v>
      </c>
      <c r="W608" s="133">
        <f>VLOOKUP(U608,Sheet1!$B$6:$C$45,2,FALSE)*V608</f>
        <v>0</v>
      </c>
      <c r="X608" s="141"/>
      <c r="Y608" s="121" t="s">
        <v>293</v>
      </c>
      <c r="Z608" s="146">
        <f>VLOOKUP(Takeoffs!Y608,Sheet1!$B$6:$C$124,2,FALSE)</f>
        <v>0</v>
      </c>
      <c r="AA608" s="146">
        <f t="shared" si="274"/>
        <v>0</v>
      </c>
      <c r="AB608" s="143">
        <f t="shared" si="275"/>
        <v>1</v>
      </c>
      <c r="AC608" s="133">
        <f t="shared" si="276"/>
        <v>1</v>
      </c>
      <c r="AD608" s="142">
        <v>1</v>
      </c>
      <c r="AE608" s="141"/>
      <c r="AF608" s="121" t="s">
        <v>293</v>
      </c>
      <c r="AG608" s="146">
        <f>VLOOKUP(Takeoffs!AF608,Sheet1!$B$6:$C$124,2,FALSE)</f>
        <v>0</v>
      </c>
      <c r="AH608" s="146">
        <f t="shared" si="277"/>
        <v>0</v>
      </c>
      <c r="AI608" s="143">
        <f t="shared" si="278"/>
        <v>0</v>
      </c>
      <c r="AJ608" s="133">
        <f t="shared" si="279"/>
        <v>1</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1</v>
      </c>
      <c r="T609" s="120"/>
      <c r="U609" s="121" t="s">
        <v>293</v>
      </c>
      <c r="V609" s="133">
        <f t="shared" si="273"/>
        <v>1</v>
      </c>
      <c r="W609" s="133">
        <f>VLOOKUP(U609,Sheet1!$B$6:$C$45,2,FALSE)*V609</f>
        <v>0</v>
      </c>
      <c r="X609" s="141"/>
      <c r="Y609" s="121" t="s">
        <v>293</v>
      </c>
      <c r="Z609" s="146">
        <f>VLOOKUP(Takeoffs!Y609,Sheet1!$B$6:$C$124,2,FALSE)</f>
        <v>0</v>
      </c>
      <c r="AA609" s="146">
        <f t="shared" si="274"/>
        <v>0</v>
      </c>
      <c r="AB609" s="143">
        <f t="shared" si="275"/>
        <v>1</v>
      </c>
      <c r="AC609" s="133">
        <f t="shared" si="276"/>
        <v>1</v>
      </c>
      <c r="AD609" s="142">
        <v>1</v>
      </c>
      <c r="AE609" s="141"/>
      <c r="AF609" s="121" t="s">
        <v>293</v>
      </c>
      <c r="AG609" s="146">
        <f>VLOOKUP(Takeoffs!AF609,Sheet1!$B$6:$C$124,2,FALSE)</f>
        <v>0</v>
      </c>
      <c r="AH609" s="146">
        <f t="shared" si="277"/>
        <v>0</v>
      </c>
      <c r="AI609" s="143">
        <f t="shared" si="278"/>
        <v>0</v>
      </c>
      <c r="AJ609" s="133">
        <f t="shared" si="279"/>
        <v>1</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1</v>
      </c>
      <c r="T610" s="120"/>
      <c r="U610" s="121" t="s">
        <v>293</v>
      </c>
      <c r="V610" s="133">
        <f t="shared" si="273"/>
        <v>1</v>
      </c>
      <c r="W610" s="133">
        <f>VLOOKUP(U610,Sheet1!$B$6:$C$45,2,FALSE)*V610</f>
        <v>0</v>
      </c>
      <c r="X610" s="141"/>
      <c r="Y610" s="121" t="s">
        <v>293</v>
      </c>
      <c r="Z610" s="146">
        <f>VLOOKUP(Takeoffs!Y610,Sheet1!$B$6:$C$124,2,FALSE)</f>
        <v>0</v>
      </c>
      <c r="AA610" s="146">
        <f t="shared" si="274"/>
        <v>0</v>
      </c>
      <c r="AB610" s="143">
        <f t="shared" si="275"/>
        <v>1</v>
      </c>
      <c r="AC610" s="133">
        <f t="shared" si="276"/>
        <v>1</v>
      </c>
      <c r="AD610" s="142">
        <v>1</v>
      </c>
      <c r="AE610" s="141"/>
      <c r="AF610" s="121" t="s">
        <v>293</v>
      </c>
      <c r="AG610" s="146">
        <f>VLOOKUP(Takeoffs!AF610,Sheet1!$B$6:$C$124,2,FALSE)</f>
        <v>0</v>
      </c>
      <c r="AH610" s="146">
        <f t="shared" si="277"/>
        <v>0</v>
      </c>
      <c r="AI610" s="143">
        <f t="shared" si="278"/>
        <v>0</v>
      </c>
      <c r="AJ610" s="133">
        <f t="shared" si="279"/>
        <v>1</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1</v>
      </c>
      <c r="T611" s="120"/>
      <c r="U611" s="121" t="s">
        <v>293</v>
      </c>
      <c r="V611" s="133">
        <f t="shared" si="273"/>
        <v>1</v>
      </c>
      <c r="W611" s="133">
        <f>VLOOKUP(U611,Sheet1!$B$6:$C$45,2,FALSE)*V611</f>
        <v>0</v>
      </c>
      <c r="X611" s="141"/>
      <c r="Y611" s="121" t="s">
        <v>293</v>
      </c>
      <c r="Z611" s="146">
        <f>VLOOKUP(Takeoffs!Y611,Sheet1!$B$6:$C$124,2,FALSE)</f>
        <v>0</v>
      </c>
      <c r="AA611" s="146">
        <f t="shared" si="274"/>
        <v>0</v>
      </c>
      <c r="AB611" s="143">
        <f t="shared" si="275"/>
        <v>2</v>
      </c>
      <c r="AC611" s="133">
        <f t="shared" si="276"/>
        <v>1</v>
      </c>
      <c r="AD611" s="142">
        <v>2</v>
      </c>
      <c r="AE611" s="141"/>
      <c r="AF611" s="121" t="s">
        <v>293</v>
      </c>
      <c r="AG611" s="146">
        <f>VLOOKUP(Takeoffs!AF611,Sheet1!$B$6:$C$124,2,FALSE)</f>
        <v>0</v>
      </c>
      <c r="AH611" s="146">
        <f t="shared" si="277"/>
        <v>0</v>
      </c>
      <c r="AI611" s="143">
        <f t="shared" si="278"/>
        <v>0</v>
      </c>
      <c r="AJ611" s="133">
        <f t="shared" si="279"/>
        <v>1</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1</v>
      </c>
      <c r="T612" s="120"/>
      <c r="U612" s="121" t="s">
        <v>293</v>
      </c>
      <c r="V612" s="133">
        <f t="shared" si="273"/>
        <v>1</v>
      </c>
      <c r="W612" s="133">
        <f>VLOOKUP(U612,Sheet1!$B$6:$C$45,2,FALSE)*V612</f>
        <v>0</v>
      </c>
      <c r="X612" s="141"/>
      <c r="Y612" s="121" t="s">
        <v>293</v>
      </c>
      <c r="Z612" s="146">
        <f>VLOOKUP(Takeoffs!Y612,Sheet1!$B$6:$C$124,2,FALSE)</f>
        <v>0</v>
      </c>
      <c r="AA612" s="146">
        <f t="shared" si="274"/>
        <v>0</v>
      </c>
      <c r="AB612" s="143">
        <f t="shared" si="275"/>
        <v>1</v>
      </c>
      <c r="AC612" s="133">
        <f t="shared" si="276"/>
        <v>1</v>
      </c>
      <c r="AD612" s="142">
        <v>1</v>
      </c>
      <c r="AE612" s="141"/>
      <c r="AF612" s="121" t="s">
        <v>293</v>
      </c>
      <c r="AG612" s="146">
        <f>VLOOKUP(Takeoffs!AF612,Sheet1!$B$6:$C$124,2,FALSE)</f>
        <v>0</v>
      </c>
      <c r="AH612" s="146">
        <f t="shared" si="277"/>
        <v>0</v>
      </c>
      <c r="AI612" s="143">
        <f t="shared" si="278"/>
        <v>0</v>
      </c>
      <c r="AJ612" s="133">
        <f t="shared" si="279"/>
        <v>1</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1</v>
      </c>
      <c r="T613" s="120"/>
      <c r="U613" s="121" t="s">
        <v>293</v>
      </c>
      <c r="V613" s="133">
        <f t="shared" si="273"/>
        <v>1</v>
      </c>
      <c r="W613" s="133">
        <f>VLOOKUP(U613,Sheet1!$B$6:$C$45,2,FALSE)*V613</f>
        <v>0</v>
      </c>
      <c r="X613" s="141"/>
      <c r="Y613" s="121" t="s">
        <v>293</v>
      </c>
      <c r="Z613" s="146">
        <f>VLOOKUP(Takeoffs!Y613,Sheet1!$B$6:$C$124,2,FALSE)</f>
        <v>0</v>
      </c>
      <c r="AA613" s="146">
        <f t="shared" si="274"/>
        <v>0</v>
      </c>
      <c r="AB613" s="143">
        <f t="shared" si="275"/>
        <v>1</v>
      </c>
      <c r="AC613" s="133">
        <f t="shared" si="276"/>
        <v>1</v>
      </c>
      <c r="AD613" s="142">
        <v>1</v>
      </c>
      <c r="AE613" s="141"/>
      <c r="AF613" s="121" t="s">
        <v>293</v>
      </c>
      <c r="AG613" s="146">
        <f>VLOOKUP(Takeoffs!AF613,Sheet1!$B$6:$C$124,2,FALSE)</f>
        <v>0</v>
      </c>
      <c r="AH613" s="146">
        <f t="shared" si="277"/>
        <v>0</v>
      </c>
      <c r="AI613" s="143">
        <f t="shared" si="278"/>
        <v>0</v>
      </c>
      <c r="AJ613" s="133">
        <f t="shared" si="279"/>
        <v>1</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1</v>
      </c>
      <c r="T614" s="120"/>
      <c r="U614" s="121" t="s">
        <v>293</v>
      </c>
      <c r="V614" s="133">
        <f t="shared" si="273"/>
        <v>1</v>
      </c>
      <c r="W614" s="133">
        <f>VLOOKUP(U614,Sheet1!$B$6:$C$45,2,FALSE)*V614</f>
        <v>0</v>
      </c>
      <c r="X614" s="141"/>
      <c r="Y614" s="121" t="s">
        <v>293</v>
      </c>
      <c r="Z614" s="146">
        <f>VLOOKUP(Takeoffs!Y614,Sheet1!$B$6:$C$124,2,FALSE)</f>
        <v>0</v>
      </c>
      <c r="AA614" s="146">
        <f t="shared" si="274"/>
        <v>0</v>
      </c>
      <c r="AB614" s="143">
        <f t="shared" si="275"/>
        <v>1</v>
      </c>
      <c r="AC614" s="133">
        <f t="shared" si="276"/>
        <v>1</v>
      </c>
      <c r="AD614" s="142">
        <v>1</v>
      </c>
      <c r="AE614" s="141"/>
      <c r="AF614" s="121" t="s">
        <v>293</v>
      </c>
      <c r="AG614" s="146">
        <f>VLOOKUP(Takeoffs!AF614,Sheet1!$B$6:$C$124,2,FALSE)</f>
        <v>0</v>
      </c>
      <c r="AH614" s="146">
        <f t="shared" si="277"/>
        <v>0</v>
      </c>
      <c r="AI614" s="143">
        <f t="shared" si="278"/>
        <v>0</v>
      </c>
      <c r="AJ614" s="133">
        <f t="shared" si="279"/>
        <v>1</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1</v>
      </c>
      <c r="T615" s="120"/>
      <c r="U615" s="121" t="s">
        <v>293</v>
      </c>
      <c r="V615" s="133">
        <f t="shared" si="273"/>
        <v>1</v>
      </c>
      <c r="W615" s="133">
        <f>VLOOKUP(U615,Sheet1!$B$6:$C$45,2,FALSE)*V615</f>
        <v>0</v>
      </c>
      <c r="X615" s="141"/>
      <c r="Y615" s="121" t="s">
        <v>293</v>
      </c>
      <c r="Z615" s="146">
        <f>VLOOKUP(Takeoffs!Y615,Sheet1!$B$6:$C$124,2,FALSE)</f>
        <v>0</v>
      </c>
      <c r="AA615" s="146">
        <f t="shared" si="274"/>
        <v>0</v>
      </c>
      <c r="AB615" s="143">
        <f t="shared" si="275"/>
        <v>1</v>
      </c>
      <c r="AC615" s="133">
        <f t="shared" si="276"/>
        <v>1</v>
      </c>
      <c r="AD615" s="142">
        <v>1</v>
      </c>
      <c r="AE615" s="141"/>
      <c r="AF615" s="121" t="s">
        <v>293</v>
      </c>
      <c r="AG615" s="146">
        <f>VLOOKUP(Takeoffs!AF615,Sheet1!$B$6:$C$124,2,FALSE)</f>
        <v>0</v>
      </c>
      <c r="AH615" s="146">
        <f t="shared" si="277"/>
        <v>0</v>
      </c>
      <c r="AI615" s="143">
        <f t="shared" si="278"/>
        <v>0</v>
      </c>
      <c r="AJ615" s="133">
        <f t="shared" si="279"/>
        <v>1</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410</v>
      </c>
      <c r="P616" s="121"/>
      <c r="Q616" s="66"/>
      <c r="R616" s="121"/>
      <c r="S616" s="133">
        <f>M596</f>
        <v>1</v>
      </c>
      <c r="T616" s="120"/>
      <c r="U616" s="121" t="s">
        <v>293</v>
      </c>
      <c r="V616" s="133">
        <f t="shared" si="273"/>
        <v>1</v>
      </c>
      <c r="W616" s="133">
        <f>VLOOKUP(U616,Sheet1!$B$6:$C$45,2,FALSE)*V616</f>
        <v>0</v>
      </c>
      <c r="X616" s="141"/>
      <c r="Y616" s="121" t="s">
        <v>293</v>
      </c>
      <c r="Z616" s="146">
        <f>VLOOKUP(Takeoffs!Y616,Sheet1!$B$6:$C$124,2,FALSE)</f>
        <v>0</v>
      </c>
      <c r="AA616" s="146">
        <f t="shared" si="274"/>
        <v>0</v>
      </c>
      <c r="AB616" s="143">
        <f t="shared" si="275"/>
        <v>1</v>
      </c>
      <c r="AC616" s="133">
        <f t="shared" si="276"/>
        <v>1</v>
      </c>
      <c r="AD616" s="142">
        <v>1</v>
      </c>
      <c r="AE616" s="141"/>
      <c r="AF616" s="121" t="s">
        <v>293</v>
      </c>
      <c r="AG616" s="146">
        <f>VLOOKUP(Takeoffs!AF616,Sheet1!$B$6:$C$124,2,FALSE)</f>
        <v>0</v>
      </c>
      <c r="AH616" s="146">
        <f t="shared" si="277"/>
        <v>0</v>
      </c>
      <c r="AI616" s="143">
        <f t="shared" si="278"/>
        <v>0</v>
      </c>
      <c r="AJ616" s="133">
        <f t="shared" si="279"/>
        <v>1</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379</v>
      </c>
      <c r="L617" s="128" t="s">
        <v>380</v>
      </c>
      <c r="N617" s="129"/>
      <c r="O617" s="130" t="s">
        <v>359</v>
      </c>
      <c r="P617" s="155">
        <f>V617+AA617+AH617</f>
        <v>347.8</v>
      </c>
      <c r="Q617" s="155"/>
      <c r="R617" s="131"/>
      <c r="S617" s="130"/>
      <c r="T617" s="127"/>
      <c r="U617" s="126" t="s">
        <v>353</v>
      </c>
      <c r="V617" s="127">
        <f>W617*80</f>
        <v>160</v>
      </c>
      <c r="W617" s="147">
        <f>SUM(W596:W616)</f>
        <v>2</v>
      </c>
      <c r="X617" s="148"/>
      <c r="Y617" s="127" t="s">
        <v>354</v>
      </c>
      <c r="Z617" s="116"/>
      <c r="AA617" s="116">
        <f>SUM(AA596:AA616)</f>
        <v>172.14000000000001</v>
      </c>
      <c r="AB617" s="149"/>
      <c r="AC617" s="149"/>
      <c r="AD617" s="149"/>
      <c r="AE617" s="149"/>
      <c r="AF617" s="127" t="s">
        <v>358</v>
      </c>
      <c r="AG617" s="116"/>
      <c r="AH617" s="116">
        <f>SUM(AH596:AH616)</f>
        <v>15.66</v>
      </c>
      <c r="AI617" s="149"/>
      <c r="AJ617" s="149"/>
      <c r="AK617" s="149"/>
      <c r="AL617" s="149"/>
      <c r="AM617" s="150">
        <f>P617</f>
        <v>347.8</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494</v>
      </c>
      <c r="C618" s="217" t="str">
        <f>N596</f>
        <v>DOL fan from local power supply - With local switch and run status light</v>
      </c>
      <c r="D618" s="260" t="str">
        <f>IF(B618="Shopping List",IF(ISNUMBER(SEARCH("MSSB",C618)),"MSSB",IF(ISNUMBER(SEARCH("local",C618)),"LOCAL","")))</f>
        <v>LOCAL</v>
      </c>
      <c r="E618" s="238"/>
      <c r="F618" s="217"/>
      <c r="G618" s="217"/>
      <c r="H618" s="245"/>
      <c r="I618" s="270">
        <v>1</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one (1)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347.8</v>
      </c>
      <c r="L618" s="234" t="str">
        <f>CONCATENATE(Q597,Q598,Q599,Q600,Q601,Q602,Q603,Q604,Q605,Q606,Q607,Q608,Q609,Q610,Q611,Q612,Q613,Q614,Q615,Q616,)</f>
        <v xml:space="preserve">supply of local power supply. </v>
      </c>
      <c r="M618" s="166" t="s">
        <v>369</v>
      </c>
      <c r="N618" s="160" t="str">
        <f>N596</f>
        <v>DOL fan from local power supply - With local switch and run status light</v>
      </c>
      <c r="O618" s="185" t="s">
        <v>367</v>
      </c>
      <c r="P618" s="203">
        <f>P617/M596</f>
        <v>347.8</v>
      </c>
      <c r="Q618" s="195"/>
      <c r="R618" s="188"/>
      <c r="S618" s="160"/>
      <c r="T618" s="161"/>
      <c r="U618" s="327" t="s">
        <v>368</v>
      </c>
      <c r="V618" s="327"/>
      <c r="W618" s="162">
        <f>W617/M596</f>
        <v>2</v>
      </c>
      <c r="X618" s="163"/>
      <c r="Y618" s="325" t="s">
        <v>367</v>
      </c>
      <c r="Z618" s="325"/>
      <c r="AA618" s="164">
        <f>AA617/M596</f>
        <v>172.14000000000001</v>
      </c>
      <c r="AB618" s="161"/>
      <c r="AC618" s="161"/>
      <c r="AD618" s="161"/>
      <c r="AE618" s="161"/>
      <c r="AF618" s="325" t="s">
        <v>367</v>
      </c>
      <c r="AG618" s="325"/>
      <c r="AH618" s="164">
        <f>AH617/M596</f>
        <v>15.66</v>
      </c>
      <c r="AI618" s="161"/>
      <c r="AJ618" s="161"/>
      <c r="AK618" s="161"/>
      <c r="AL618" s="247"/>
      <c r="AM618" s="257"/>
      <c r="AN618" s="236">
        <f>K618*$D$9</f>
        <v>86.95</v>
      </c>
      <c r="AO618" s="286"/>
      <c r="AP618" s="284">
        <f t="shared" si="268"/>
        <v>347.8</v>
      </c>
      <c r="AQ618" s="281">
        <f t="shared" si="269"/>
        <v>160</v>
      </c>
      <c r="AR618" s="284">
        <f t="shared" si="270"/>
        <v>172.14000000000001</v>
      </c>
      <c r="AS618" s="281">
        <f t="shared" si="271"/>
        <v>15.66</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5">
      <c r="A619" s="262">
        <f>ROW()</f>
        <v>619</v>
      </c>
      <c r="C619" s="211"/>
      <c r="D619" s="211"/>
      <c r="E619" s="211"/>
      <c r="F619" s="211"/>
      <c r="G619" s="211"/>
      <c r="H619" s="211"/>
      <c r="K619" s="116" t="s">
        <v>454</v>
      </c>
      <c r="M619" s="116" t="s">
        <v>107</v>
      </c>
      <c r="N619" s="116" t="s">
        <v>108</v>
      </c>
      <c r="O619" s="170" t="s">
        <v>388</v>
      </c>
      <c r="P619" s="326" t="s">
        <v>377</v>
      </c>
      <c r="Q619" s="326"/>
      <c r="R619" s="101" t="s">
        <v>454</v>
      </c>
      <c r="S619" s="116" t="s">
        <v>0</v>
      </c>
      <c r="T619" s="118"/>
      <c r="U619" s="116" t="s">
        <v>288</v>
      </c>
      <c r="V619" s="116" t="s">
        <v>289</v>
      </c>
      <c r="W619" s="116" t="s">
        <v>292</v>
      </c>
      <c r="X619" s="140"/>
      <c r="Y619" s="116" t="s">
        <v>290</v>
      </c>
      <c r="Z619" s="116" t="s">
        <v>356</v>
      </c>
      <c r="AA619" s="116" t="s">
        <v>357</v>
      </c>
      <c r="AB619" s="116" t="s">
        <v>319</v>
      </c>
      <c r="AC619" s="116" t="s">
        <v>320</v>
      </c>
      <c r="AD619" s="116" t="s">
        <v>318</v>
      </c>
      <c r="AE619" s="140"/>
      <c r="AF619" s="116" t="s">
        <v>294</v>
      </c>
      <c r="AG619" s="116" t="s">
        <v>356</v>
      </c>
      <c r="AH619" s="116" t="s">
        <v>357</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5">
      <c r="A620" s="262">
        <f>ROW()</f>
        <v>620</v>
      </c>
      <c r="C620" s="208"/>
      <c r="D620" s="208"/>
      <c r="E620" s="208"/>
      <c r="F620" s="208"/>
      <c r="G620" s="208"/>
      <c r="H620" s="208"/>
      <c r="L620" s="124" t="str">
        <f>VLOOKUP(M620,Sheet2!$D$2:$E$1024,2,FALSE)</f>
        <v>one</v>
      </c>
      <c r="M620" s="121">
        <f>I642</f>
        <v>1</v>
      </c>
      <c r="N620" s="132" t="s">
        <v>538</v>
      </c>
      <c r="O620" s="121" t="s">
        <v>133</v>
      </c>
      <c r="P620" s="169" t="s">
        <v>381</v>
      </c>
      <c r="Q620" s="169" t="s">
        <v>377</v>
      </c>
      <c r="R620" s="169"/>
      <c r="S620" s="133">
        <f>M620</f>
        <v>1</v>
      </c>
      <c r="T620" s="119"/>
      <c r="U620" s="121" t="s">
        <v>293</v>
      </c>
      <c r="V620" s="133">
        <f>S620</f>
        <v>1</v>
      </c>
      <c r="W620" s="133">
        <f>VLOOKUP(U620,Sheet1!$B$6:$C$45,2,FALSE)*V620</f>
        <v>0</v>
      </c>
      <c r="X620" s="141"/>
      <c r="Y620" s="121" t="s">
        <v>293</v>
      </c>
      <c r="Z620" s="146">
        <f>VLOOKUP(Takeoffs!Y620,Sheet1!$B$6:$C$124,2,FALSE)</f>
        <v>0</v>
      </c>
      <c r="AA620" s="146">
        <f>Z620*AB620</f>
        <v>0</v>
      </c>
      <c r="AB620" s="143">
        <f>AD620*AC620</f>
        <v>1</v>
      </c>
      <c r="AC620" s="133">
        <f>S620</f>
        <v>1</v>
      </c>
      <c r="AD620" s="142">
        <v>1</v>
      </c>
      <c r="AE620" s="141"/>
      <c r="AF620" s="121" t="s">
        <v>293</v>
      </c>
      <c r="AG620" s="146">
        <f>VLOOKUP(Takeoffs!AF620,Sheet1!$B$6:$C$124,2,FALSE)</f>
        <v>0</v>
      </c>
      <c r="AH620" s="146">
        <f>AG620*AI620</f>
        <v>0</v>
      </c>
      <c r="AI620" s="143">
        <f>AK620*AJ620</f>
        <v>0</v>
      </c>
      <c r="AJ620" s="133">
        <f>S620</f>
        <v>1</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1</v>
      </c>
      <c r="T621" s="120"/>
      <c r="U621" s="121" t="s">
        <v>293</v>
      </c>
      <c r="V621" s="133">
        <f t="shared" ref="V621:V640" si="282">S621</f>
        <v>1</v>
      </c>
      <c r="W621" s="133">
        <f>VLOOKUP(U621,Sheet1!$B$6:$C$45,2,FALSE)*V621</f>
        <v>0</v>
      </c>
      <c r="X621" s="141"/>
      <c r="Y621" s="121" t="s">
        <v>293</v>
      </c>
      <c r="Z621" s="146">
        <f>VLOOKUP(Takeoffs!Y621,Sheet1!$B$6:$C$124,2,FALSE)</f>
        <v>0</v>
      </c>
      <c r="AA621" s="146">
        <f t="shared" ref="AA621:AA640" si="283">Z621*AB621</f>
        <v>0</v>
      </c>
      <c r="AB621" s="143">
        <f t="shared" ref="AB621:AB640" si="284">AD621*AC621</f>
        <v>1</v>
      </c>
      <c r="AC621" s="133">
        <f t="shared" ref="AC621:AC640" si="285">S621</f>
        <v>1</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1</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1</v>
      </c>
      <c r="T622" s="120"/>
      <c r="U622" s="121" t="s">
        <v>293</v>
      </c>
      <c r="V622" s="133">
        <f t="shared" si="282"/>
        <v>1</v>
      </c>
      <c r="W622" s="133">
        <f>VLOOKUP(U622,Sheet1!$B$6:$C$45,2,FALSE)*V622</f>
        <v>0</v>
      </c>
      <c r="X622" s="141"/>
      <c r="Y622" s="121" t="s">
        <v>293</v>
      </c>
      <c r="Z622" s="146">
        <f>VLOOKUP(Takeoffs!Y622,Sheet1!$B$6:$C$124,2,FALSE)</f>
        <v>0</v>
      </c>
      <c r="AA622" s="146">
        <f t="shared" si="283"/>
        <v>0</v>
      </c>
      <c r="AB622" s="143">
        <f t="shared" si="284"/>
        <v>1</v>
      </c>
      <c r="AC622" s="133">
        <f t="shared" si="285"/>
        <v>1</v>
      </c>
      <c r="AD622" s="142">
        <v>1</v>
      </c>
      <c r="AE622" s="141"/>
      <c r="AF622" s="122" t="s">
        <v>268</v>
      </c>
      <c r="AG622" s="146">
        <f>VLOOKUP(Takeoffs!AF622,Sheet1!$B$6:$C$124,2,FALSE)</f>
        <v>1.02</v>
      </c>
      <c r="AH622" s="146">
        <f t="shared" si="286"/>
        <v>5.0999999999999996</v>
      </c>
      <c r="AI622" s="143">
        <f t="shared" si="287"/>
        <v>5</v>
      </c>
      <c r="AJ622" s="133">
        <f t="shared" si="288"/>
        <v>1</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540</v>
      </c>
      <c r="P623" s="121" t="s">
        <v>542</v>
      </c>
      <c r="Q623" s="66" t="s">
        <v>541</v>
      </c>
      <c r="R623" s="121"/>
      <c r="S623" s="133">
        <f>M620</f>
        <v>1</v>
      </c>
      <c r="T623" s="120"/>
      <c r="U623" s="121" t="s">
        <v>363</v>
      </c>
      <c r="V623" s="133">
        <f t="shared" si="282"/>
        <v>1</v>
      </c>
      <c r="W623" s="133">
        <f>VLOOKUP(U623,Sheet1!$B$6:$C$45,2,FALSE)*V623</f>
        <v>1</v>
      </c>
      <c r="X623" s="141"/>
      <c r="Y623" s="121" t="s">
        <v>293</v>
      </c>
      <c r="Z623" s="146">
        <f>VLOOKUP(Takeoffs!Y623,Sheet1!$B$6:$C$124,2,FALSE)</f>
        <v>0</v>
      </c>
      <c r="AA623" s="146">
        <f t="shared" si="283"/>
        <v>0</v>
      </c>
      <c r="AB623" s="143">
        <f t="shared" si="284"/>
        <v>1</v>
      </c>
      <c r="AC623" s="133">
        <f t="shared" si="285"/>
        <v>1</v>
      </c>
      <c r="AD623" s="142">
        <v>1</v>
      </c>
      <c r="AE623" s="141"/>
      <c r="AF623" s="121" t="s">
        <v>293</v>
      </c>
      <c r="AG623" s="146">
        <f>VLOOKUP(Takeoffs!AF623,Sheet1!$B$6:$C$124,2,FALSE)</f>
        <v>0</v>
      </c>
      <c r="AH623" s="146">
        <f t="shared" si="286"/>
        <v>0</v>
      </c>
      <c r="AI623" s="143">
        <f t="shared" si="287"/>
        <v>0</v>
      </c>
      <c r="AJ623" s="133">
        <f t="shared" si="288"/>
        <v>1</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1</v>
      </c>
      <c r="T624" s="120"/>
      <c r="U624" s="121" t="s">
        <v>293</v>
      </c>
      <c r="V624" s="133">
        <f t="shared" si="282"/>
        <v>1</v>
      </c>
      <c r="W624" s="133">
        <f>VLOOKUP(U624,Sheet1!$B$6:$C$45,2,FALSE)*V624</f>
        <v>0</v>
      </c>
      <c r="X624" s="141"/>
      <c r="Y624" s="121" t="s">
        <v>293</v>
      </c>
      <c r="Z624" s="146">
        <f>VLOOKUP(Takeoffs!Y624,Sheet1!$B$6:$C$124,2,FALSE)</f>
        <v>0</v>
      </c>
      <c r="AA624" s="146">
        <f t="shared" si="283"/>
        <v>0</v>
      </c>
      <c r="AB624" s="143">
        <f t="shared" si="284"/>
        <v>1</v>
      </c>
      <c r="AC624" s="133">
        <f t="shared" si="285"/>
        <v>1</v>
      </c>
      <c r="AD624" s="142">
        <v>1</v>
      </c>
      <c r="AE624" s="141"/>
      <c r="AF624" s="121" t="s">
        <v>293</v>
      </c>
      <c r="AG624" s="146">
        <f>VLOOKUP(Takeoffs!AF624,Sheet1!$B$6:$C$124,2,FALSE)</f>
        <v>0</v>
      </c>
      <c r="AH624" s="146">
        <f t="shared" si="286"/>
        <v>0</v>
      </c>
      <c r="AI624" s="143">
        <f t="shared" si="287"/>
        <v>0</v>
      </c>
      <c r="AJ624" s="133">
        <f t="shared" si="288"/>
        <v>1</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1</v>
      </c>
      <c r="T625" s="120"/>
      <c r="U625" s="121" t="s">
        <v>293</v>
      </c>
      <c r="V625" s="133">
        <f t="shared" si="282"/>
        <v>1</v>
      </c>
      <c r="W625" s="133">
        <f>VLOOKUP(U625,Sheet1!$B$6:$C$45,2,FALSE)*V625</f>
        <v>0</v>
      </c>
      <c r="X625" s="141"/>
      <c r="Y625" s="121" t="s">
        <v>293</v>
      </c>
      <c r="Z625" s="146">
        <f>VLOOKUP(Takeoffs!Y625,Sheet1!$B$6:$C$124,2,FALSE)</f>
        <v>0</v>
      </c>
      <c r="AA625" s="146">
        <f t="shared" si="283"/>
        <v>0</v>
      </c>
      <c r="AB625" s="143">
        <f t="shared" si="284"/>
        <v>1</v>
      </c>
      <c r="AC625" s="133">
        <f t="shared" si="285"/>
        <v>1</v>
      </c>
      <c r="AD625" s="142">
        <v>1</v>
      </c>
      <c r="AE625" s="141"/>
      <c r="AF625" s="121" t="s">
        <v>293</v>
      </c>
      <c r="AG625" s="146">
        <f>VLOOKUP(Takeoffs!AF625,Sheet1!$B$6:$C$124,2,FALSE)</f>
        <v>0</v>
      </c>
      <c r="AH625" s="146">
        <f t="shared" si="286"/>
        <v>0</v>
      </c>
      <c r="AI625" s="143">
        <f t="shared" si="287"/>
        <v>0</v>
      </c>
      <c r="AJ625" s="133">
        <f t="shared" si="288"/>
        <v>1</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539</v>
      </c>
      <c r="P626" s="121"/>
      <c r="Q626" s="66"/>
      <c r="R626" s="121"/>
      <c r="S626" s="133">
        <f>M620</f>
        <v>1</v>
      </c>
      <c r="T626" s="120"/>
      <c r="U626" s="121" t="s">
        <v>293</v>
      </c>
      <c r="V626" s="133">
        <f t="shared" si="282"/>
        <v>1</v>
      </c>
      <c r="W626" s="133">
        <f>VLOOKUP(U626,Sheet1!$B$6:$C$45,2,FALSE)*V626</f>
        <v>0</v>
      </c>
      <c r="X626" s="141"/>
      <c r="Y626" s="121" t="s">
        <v>293</v>
      </c>
      <c r="Z626" s="146">
        <f>VLOOKUP(Takeoffs!Y626,Sheet1!$B$6:$C$124,2,FALSE)</f>
        <v>0</v>
      </c>
      <c r="AA626" s="146">
        <f t="shared" si="283"/>
        <v>0</v>
      </c>
      <c r="AB626" s="143">
        <f t="shared" si="284"/>
        <v>1</v>
      </c>
      <c r="AC626" s="133">
        <f t="shared" si="285"/>
        <v>1</v>
      </c>
      <c r="AD626" s="142">
        <v>1</v>
      </c>
      <c r="AE626" s="141"/>
      <c r="AF626" s="121" t="s">
        <v>293</v>
      </c>
      <c r="AG626" s="146">
        <f>VLOOKUP(Takeoffs!AF626,Sheet1!$B$6:$C$124,2,FALSE)</f>
        <v>0</v>
      </c>
      <c r="AH626" s="146">
        <f t="shared" si="286"/>
        <v>0</v>
      </c>
      <c r="AI626" s="143">
        <f t="shared" si="287"/>
        <v>0</v>
      </c>
      <c r="AJ626" s="133">
        <f t="shared" si="288"/>
        <v>1</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1</v>
      </c>
      <c r="T627" s="120"/>
      <c r="U627" s="121" t="s">
        <v>293</v>
      </c>
      <c r="V627" s="133">
        <f t="shared" si="282"/>
        <v>1</v>
      </c>
      <c r="W627" s="133">
        <f>VLOOKUP(U627,Sheet1!$B$6:$C$45,2,FALSE)*V627</f>
        <v>0</v>
      </c>
      <c r="X627" s="141"/>
      <c r="Y627" s="121" t="s">
        <v>293</v>
      </c>
      <c r="Z627" s="146">
        <f>VLOOKUP(Takeoffs!Y627,Sheet1!$B$6:$C$124,2,FALSE)</f>
        <v>0</v>
      </c>
      <c r="AA627" s="146">
        <f t="shared" si="283"/>
        <v>0</v>
      </c>
      <c r="AB627" s="143">
        <f t="shared" si="284"/>
        <v>1</v>
      </c>
      <c r="AC627" s="133">
        <f t="shared" si="285"/>
        <v>1</v>
      </c>
      <c r="AD627" s="142">
        <v>1</v>
      </c>
      <c r="AE627" s="141"/>
      <c r="AF627" s="121" t="s">
        <v>293</v>
      </c>
      <c r="AG627" s="146">
        <f>VLOOKUP(Takeoffs!AF627,Sheet1!$B$6:$C$124,2,FALSE)</f>
        <v>0</v>
      </c>
      <c r="AH627" s="146">
        <f t="shared" si="286"/>
        <v>0</v>
      </c>
      <c r="AI627" s="143">
        <f t="shared" si="287"/>
        <v>0</v>
      </c>
      <c r="AJ627" s="133">
        <f t="shared" si="288"/>
        <v>1</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1</v>
      </c>
      <c r="T628" s="120"/>
      <c r="U628" s="121" t="s">
        <v>293</v>
      </c>
      <c r="V628" s="133">
        <f t="shared" si="282"/>
        <v>1</v>
      </c>
      <c r="W628" s="133">
        <f>VLOOKUP(U628,Sheet1!$B$6:$C$45,2,FALSE)*V628</f>
        <v>0</v>
      </c>
      <c r="X628" s="141"/>
      <c r="Y628" s="121" t="s">
        <v>293</v>
      </c>
      <c r="Z628" s="146">
        <f>VLOOKUP(Takeoffs!Y628,Sheet1!$B$6:$C$124,2,FALSE)</f>
        <v>0</v>
      </c>
      <c r="AA628" s="146">
        <f t="shared" si="283"/>
        <v>0</v>
      </c>
      <c r="AB628" s="143">
        <f t="shared" si="284"/>
        <v>1</v>
      </c>
      <c r="AC628" s="133">
        <f t="shared" si="285"/>
        <v>1</v>
      </c>
      <c r="AD628" s="142">
        <v>1</v>
      </c>
      <c r="AE628" s="141"/>
      <c r="AF628" s="121" t="s">
        <v>293</v>
      </c>
      <c r="AG628" s="146">
        <f>VLOOKUP(Takeoffs!AF628,Sheet1!$B$6:$C$124,2,FALSE)</f>
        <v>0</v>
      </c>
      <c r="AH628" s="146">
        <f t="shared" si="286"/>
        <v>0</v>
      </c>
      <c r="AI628" s="143">
        <f t="shared" si="287"/>
        <v>0</v>
      </c>
      <c r="AJ628" s="133">
        <f t="shared" si="288"/>
        <v>1</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1</v>
      </c>
      <c r="T629" s="120"/>
      <c r="U629" s="121" t="s">
        <v>293</v>
      </c>
      <c r="V629" s="133">
        <f t="shared" si="282"/>
        <v>1</v>
      </c>
      <c r="W629" s="133">
        <f>VLOOKUP(U629,Sheet1!$B$6:$C$45,2,FALSE)*V629</f>
        <v>0</v>
      </c>
      <c r="X629" s="141"/>
      <c r="Y629" s="121" t="s">
        <v>293</v>
      </c>
      <c r="Z629" s="146">
        <f>VLOOKUP(Takeoffs!Y629,Sheet1!$B$6:$C$124,2,FALSE)</f>
        <v>0</v>
      </c>
      <c r="AA629" s="146">
        <f t="shared" si="283"/>
        <v>0</v>
      </c>
      <c r="AB629" s="143">
        <f t="shared" si="284"/>
        <v>1</v>
      </c>
      <c r="AC629" s="133">
        <f t="shared" si="285"/>
        <v>1</v>
      </c>
      <c r="AD629" s="142">
        <v>1</v>
      </c>
      <c r="AE629" s="141"/>
      <c r="AF629" s="121" t="s">
        <v>293</v>
      </c>
      <c r="AG629" s="146">
        <f>VLOOKUP(Takeoffs!AF629,Sheet1!$B$6:$C$124,2,FALSE)</f>
        <v>0</v>
      </c>
      <c r="AH629" s="146">
        <f t="shared" si="286"/>
        <v>0</v>
      </c>
      <c r="AI629" s="143">
        <f t="shared" si="287"/>
        <v>0</v>
      </c>
      <c r="AJ629" s="133">
        <f t="shared" si="288"/>
        <v>1</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1</v>
      </c>
      <c r="T630" s="120"/>
      <c r="U630" s="121" t="s">
        <v>293</v>
      </c>
      <c r="V630" s="133">
        <f t="shared" si="282"/>
        <v>1</v>
      </c>
      <c r="W630" s="133">
        <f>VLOOKUP(U630,Sheet1!$B$6:$C$45,2,FALSE)*V630</f>
        <v>0</v>
      </c>
      <c r="X630" s="141"/>
      <c r="Y630" s="121" t="s">
        <v>293</v>
      </c>
      <c r="Z630" s="146">
        <f>VLOOKUP(Takeoffs!Y630,Sheet1!$B$6:$C$124,2,FALSE)</f>
        <v>0</v>
      </c>
      <c r="AA630" s="146">
        <f t="shared" si="283"/>
        <v>0</v>
      </c>
      <c r="AB630" s="143">
        <f t="shared" si="284"/>
        <v>1</v>
      </c>
      <c r="AC630" s="133">
        <f t="shared" si="285"/>
        <v>1</v>
      </c>
      <c r="AD630" s="142">
        <v>1</v>
      </c>
      <c r="AE630" s="141"/>
      <c r="AF630" s="121" t="s">
        <v>293</v>
      </c>
      <c r="AG630" s="146">
        <f>VLOOKUP(Takeoffs!AF630,Sheet1!$B$6:$C$124,2,FALSE)</f>
        <v>0</v>
      </c>
      <c r="AH630" s="146">
        <f t="shared" si="286"/>
        <v>0</v>
      </c>
      <c r="AI630" s="143">
        <f t="shared" si="287"/>
        <v>0</v>
      </c>
      <c r="AJ630" s="133">
        <f t="shared" si="288"/>
        <v>1</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1</v>
      </c>
      <c r="T631" s="120"/>
      <c r="U631" s="121" t="s">
        <v>293</v>
      </c>
      <c r="V631" s="133">
        <f t="shared" si="282"/>
        <v>1</v>
      </c>
      <c r="W631" s="133">
        <f>VLOOKUP(U631,Sheet1!$B$6:$C$45,2,FALSE)*V631</f>
        <v>0</v>
      </c>
      <c r="X631" s="141"/>
      <c r="Y631" s="121" t="s">
        <v>293</v>
      </c>
      <c r="Z631" s="146">
        <f>VLOOKUP(Takeoffs!Y631,Sheet1!$B$6:$C$124,2,FALSE)</f>
        <v>0</v>
      </c>
      <c r="AA631" s="146">
        <f t="shared" si="283"/>
        <v>0</v>
      </c>
      <c r="AB631" s="143">
        <f t="shared" si="284"/>
        <v>1</v>
      </c>
      <c r="AC631" s="133">
        <f t="shared" si="285"/>
        <v>1</v>
      </c>
      <c r="AD631" s="142">
        <v>1</v>
      </c>
      <c r="AE631" s="141"/>
      <c r="AF631" s="121" t="s">
        <v>293</v>
      </c>
      <c r="AG631" s="146">
        <f>VLOOKUP(Takeoffs!AF631,Sheet1!$B$6:$C$124,2,FALSE)</f>
        <v>0</v>
      </c>
      <c r="AH631" s="146">
        <f t="shared" si="286"/>
        <v>0</v>
      </c>
      <c r="AI631" s="143">
        <f t="shared" si="287"/>
        <v>0</v>
      </c>
      <c r="AJ631" s="133">
        <f t="shared" si="288"/>
        <v>1</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1</v>
      </c>
      <c r="T632" s="120"/>
      <c r="U632" s="121" t="s">
        <v>293</v>
      </c>
      <c r="V632" s="133">
        <f t="shared" si="282"/>
        <v>1</v>
      </c>
      <c r="W632" s="133">
        <f>VLOOKUP(U632,Sheet1!$B$6:$C$45,2,FALSE)*V632</f>
        <v>0</v>
      </c>
      <c r="X632" s="141"/>
      <c r="Y632" s="121" t="s">
        <v>293</v>
      </c>
      <c r="Z632" s="146">
        <f>VLOOKUP(Takeoffs!Y632,Sheet1!$B$6:$C$124,2,FALSE)</f>
        <v>0</v>
      </c>
      <c r="AA632" s="146">
        <f t="shared" si="283"/>
        <v>0</v>
      </c>
      <c r="AB632" s="143">
        <f t="shared" si="284"/>
        <v>1</v>
      </c>
      <c r="AC632" s="133">
        <f t="shared" si="285"/>
        <v>1</v>
      </c>
      <c r="AD632" s="142">
        <v>1</v>
      </c>
      <c r="AE632" s="141"/>
      <c r="AF632" s="121" t="s">
        <v>293</v>
      </c>
      <c r="AG632" s="146">
        <f>VLOOKUP(Takeoffs!AF632,Sheet1!$B$6:$C$124,2,FALSE)</f>
        <v>0</v>
      </c>
      <c r="AH632" s="146">
        <f t="shared" si="286"/>
        <v>0</v>
      </c>
      <c r="AI632" s="143">
        <f t="shared" si="287"/>
        <v>0</v>
      </c>
      <c r="AJ632" s="133">
        <f t="shared" si="288"/>
        <v>1</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1</v>
      </c>
      <c r="T633" s="120"/>
      <c r="U633" s="121" t="s">
        <v>293</v>
      </c>
      <c r="V633" s="133">
        <f t="shared" si="282"/>
        <v>1</v>
      </c>
      <c r="W633" s="133">
        <f>VLOOKUP(U633,Sheet1!$B$6:$C$45,2,FALSE)*V633</f>
        <v>0</v>
      </c>
      <c r="X633" s="141"/>
      <c r="Y633" s="121" t="s">
        <v>293</v>
      </c>
      <c r="Z633" s="146">
        <f>VLOOKUP(Takeoffs!Y633,Sheet1!$B$6:$C$124,2,FALSE)</f>
        <v>0</v>
      </c>
      <c r="AA633" s="146">
        <f t="shared" si="283"/>
        <v>0</v>
      </c>
      <c r="AB633" s="143">
        <f t="shared" si="284"/>
        <v>1</v>
      </c>
      <c r="AC633" s="133">
        <f t="shared" si="285"/>
        <v>1</v>
      </c>
      <c r="AD633" s="142">
        <v>1</v>
      </c>
      <c r="AE633" s="141"/>
      <c r="AF633" s="121" t="s">
        <v>293</v>
      </c>
      <c r="AG633" s="146">
        <f>VLOOKUP(Takeoffs!AF633,Sheet1!$B$6:$C$124,2,FALSE)</f>
        <v>0</v>
      </c>
      <c r="AH633" s="146">
        <f t="shared" si="286"/>
        <v>0</v>
      </c>
      <c r="AI633" s="143">
        <f t="shared" si="287"/>
        <v>0</v>
      </c>
      <c r="AJ633" s="133">
        <f t="shared" si="288"/>
        <v>1</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1</v>
      </c>
      <c r="T634" s="120"/>
      <c r="U634" s="121" t="s">
        <v>293</v>
      </c>
      <c r="V634" s="133">
        <f t="shared" si="282"/>
        <v>1</v>
      </c>
      <c r="W634" s="133">
        <f>VLOOKUP(U634,Sheet1!$B$6:$C$45,2,FALSE)*V634</f>
        <v>0</v>
      </c>
      <c r="X634" s="141"/>
      <c r="Y634" s="121" t="s">
        <v>293</v>
      </c>
      <c r="Z634" s="146">
        <f>VLOOKUP(Takeoffs!Y634,Sheet1!$B$6:$C$124,2,FALSE)</f>
        <v>0</v>
      </c>
      <c r="AA634" s="146">
        <f t="shared" si="283"/>
        <v>0</v>
      </c>
      <c r="AB634" s="143">
        <f t="shared" si="284"/>
        <v>1</v>
      </c>
      <c r="AC634" s="133">
        <f t="shared" si="285"/>
        <v>1</v>
      </c>
      <c r="AD634" s="142">
        <v>1</v>
      </c>
      <c r="AE634" s="141"/>
      <c r="AF634" s="121" t="s">
        <v>293</v>
      </c>
      <c r="AG634" s="146">
        <f>VLOOKUP(Takeoffs!AF634,Sheet1!$B$6:$C$124,2,FALSE)</f>
        <v>0</v>
      </c>
      <c r="AH634" s="146">
        <f t="shared" si="286"/>
        <v>0</v>
      </c>
      <c r="AI634" s="143">
        <f t="shared" si="287"/>
        <v>0</v>
      </c>
      <c r="AJ634" s="133">
        <f t="shared" si="288"/>
        <v>1</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1</v>
      </c>
      <c r="T635" s="120"/>
      <c r="U635" s="121" t="s">
        <v>293</v>
      </c>
      <c r="V635" s="133">
        <f t="shared" si="282"/>
        <v>1</v>
      </c>
      <c r="W635" s="133">
        <f>VLOOKUP(U635,Sheet1!$B$6:$C$45,2,FALSE)*V635</f>
        <v>0</v>
      </c>
      <c r="X635" s="141"/>
      <c r="Y635" s="121" t="s">
        <v>293</v>
      </c>
      <c r="Z635" s="146">
        <f>VLOOKUP(Takeoffs!Y635,Sheet1!$B$6:$C$124,2,FALSE)</f>
        <v>0</v>
      </c>
      <c r="AA635" s="146">
        <f t="shared" si="283"/>
        <v>0</v>
      </c>
      <c r="AB635" s="143">
        <f t="shared" si="284"/>
        <v>2</v>
      </c>
      <c r="AC635" s="133">
        <f t="shared" si="285"/>
        <v>1</v>
      </c>
      <c r="AD635" s="142">
        <v>2</v>
      </c>
      <c r="AE635" s="141"/>
      <c r="AF635" s="121" t="s">
        <v>293</v>
      </c>
      <c r="AG635" s="146">
        <f>VLOOKUP(Takeoffs!AF635,Sheet1!$B$6:$C$124,2,FALSE)</f>
        <v>0</v>
      </c>
      <c r="AH635" s="146">
        <f t="shared" si="286"/>
        <v>0</v>
      </c>
      <c r="AI635" s="143">
        <f t="shared" si="287"/>
        <v>0</v>
      </c>
      <c r="AJ635" s="133">
        <f t="shared" si="288"/>
        <v>1</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1</v>
      </c>
      <c r="T636" s="120"/>
      <c r="U636" s="121" t="s">
        <v>293</v>
      </c>
      <c r="V636" s="133">
        <f t="shared" si="282"/>
        <v>1</v>
      </c>
      <c r="W636" s="133">
        <f>VLOOKUP(U636,Sheet1!$B$6:$C$45,2,FALSE)*V636</f>
        <v>0</v>
      </c>
      <c r="X636" s="141"/>
      <c r="Y636" s="121" t="s">
        <v>293</v>
      </c>
      <c r="Z636" s="146">
        <f>VLOOKUP(Takeoffs!Y636,Sheet1!$B$6:$C$124,2,FALSE)</f>
        <v>0</v>
      </c>
      <c r="AA636" s="146">
        <f t="shared" si="283"/>
        <v>0</v>
      </c>
      <c r="AB636" s="143">
        <f t="shared" si="284"/>
        <v>1</v>
      </c>
      <c r="AC636" s="133">
        <f t="shared" si="285"/>
        <v>1</v>
      </c>
      <c r="AD636" s="142">
        <v>1</v>
      </c>
      <c r="AE636" s="141"/>
      <c r="AF636" s="121" t="s">
        <v>293</v>
      </c>
      <c r="AG636" s="146">
        <f>VLOOKUP(Takeoffs!AF636,Sheet1!$B$6:$C$124,2,FALSE)</f>
        <v>0</v>
      </c>
      <c r="AH636" s="146">
        <f t="shared" si="286"/>
        <v>0</v>
      </c>
      <c r="AI636" s="143">
        <f t="shared" si="287"/>
        <v>0</v>
      </c>
      <c r="AJ636" s="133">
        <f t="shared" si="288"/>
        <v>1</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1</v>
      </c>
      <c r="T637" s="120"/>
      <c r="U637" s="121" t="s">
        <v>293</v>
      </c>
      <c r="V637" s="133">
        <f t="shared" si="282"/>
        <v>1</v>
      </c>
      <c r="W637" s="133">
        <f>VLOOKUP(U637,Sheet1!$B$6:$C$45,2,FALSE)*V637</f>
        <v>0</v>
      </c>
      <c r="X637" s="141"/>
      <c r="Y637" s="121" t="s">
        <v>293</v>
      </c>
      <c r="Z637" s="146">
        <f>VLOOKUP(Takeoffs!Y637,Sheet1!$B$6:$C$124,2,FALSE)</f>
        <v>0</v>
      </c>
      <c r="AA637" s="146">
        <f t="shared" si="283"/>
        <v>0</v>
      </c>
      <c r="AB637" s="143">
        <f t="shared" si="284"/>
        <v>1</v>
      </c>
      <c r="AC637" s="133">
        <f t="shared" si="285"/>
        <v>1</v>
      </c>
      <c r="AD637" s="142">
        <v>1</v>
      </c>
      <c r="AE637" s="141"/>
      <c r="AF637" s="121" t="s">
        <v>293</v>
      </c>
      <c r="AG637" s="146">
        <f>VLOOKUP(Takeoffs!AF637,Sheet1!$B$6:$C$124,2,FALSE)</f>
        <v>0</v>
      </c>
      <c r="AH637" s="146">
        <f t="shared" si="286"/>
        <v>0</v>
      </c>
      <c r="AI637" s="143">
        <f t="shared" si="287"/>
        <v>0</v>
      </c>
      <c r="AJ637" s="133">
        <f t="shared" si="288"/>
        <v>1</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1</v>
      </c>
      <c r="T638" s="120"/>
      <c r="U638" s="121" t="s">
        <v>293</v>
      </c>
      <c r="V638" s="133">
        <f t="shared" si="282"/>
        <v>1</v>
      </c>
      <c r="W638" s="133">
        <f>VLOOKUP(U638,Sheet1!$B$6:$C$45,2,FALSE)*V638</f>
        <v>0</v>
      </c>
      <c r="X638" s="141"/>
      <c r="Y638" s="121" t="s">
        <v>293</v>
      </c>
      <c r="Z638" s="146">
        <f>VLOOKUP(Takeoffs!Y638,Sheet1!$B$6:$C$124,2,FALSE)</f>
        <v>0</v>
      </c>
      <c r="AA638" s="146">
        <f t="shared" si="283"/>
        <v>0</v>
      </c>
      <c r="AB638" s="143">
        <f t="shared" si="284"/>
        <v>1</v>
      </c>
      <c r="AC638" s="133">
        <f t="shared" si="285"/>
        <v>1</v>
      </c>
      <c r="AD638" s="142">
        <v>1</v>
      </c>
      <c r="AE638" s="141"/>
      <c r="AF638" s="121" t="s">
        <v>293</v>
      </c>
      <c r="AG638" s="146">
        <f>VLOOKUP(Takeoffs!AF638,Sheet1!$B$6:$C$124,2,FALSE)</f>
        <v>0</v>
      </c>
      <c r="AH638" s="146">
        <f t="shared" si="286"/>
        <v>0</v>
      </c>
      <c r="AI638" s="143">
        <f t="shared" si="287"/>
        <v>0</v>
      </c>
      <c r="AJ638" s="133">
        <f t="shared" si="288"/>
        <v>1</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1</v>
      </c>
      <c r="T639" s="120"/>
      <c r="U639" s="121" t="s">
        <v>293</v>
      </c>
      <c r="V639" s="133">
        <f t="shared" si="282"/>
        <v>1</v>
      </c>
      <c r="W639" s="133">
        <f>VLOOKUP(U639,Sheet1!$B$6:$C$45,2,FALSE)*V639</f>
        <v>0</v>
      </c>
      <c r="X639" s="141"/>
      <c r="Y639" s="121" t="s">
        <v>293</v>
      </c>
      <c r="Z639" s="146">
        <f>VLOOKUP(Takeoffs!Y639,Sheet1!$B$6:$C$124,2,FALSE)</f>
        <v>0</v>
      </c>
      <c r="AA639" s="146">
        <f t="shared" si="283"/>
        <v>0</v>
      </c>
      <c r="AB639" s="143">
        <f t="shared" si="284"/>
        <v>1</v>
      </c>
      <c r="AC639" s="133">
        <f t="shared" si="285"/>
        <v>1</v>
      </c>
      <c r="AD639" s="142">
        <v>1</v>
      </c>
      <c r="AE639" s="141"/>
      <c r="AF639" s="121" t="s">
        <v>293</v>
      </c>
      <c r="AG639" s="146">
        <f>VLOOKUP(Takeoffs!AF639,Sheet1!$B$6:$C$124,2,FALSE)</f>
        <v>0</v>
      </c>
      <c r="AH639" s="146">
        <f t="shared" si="286"/>
        <v>0</v>
      </c>
      <c r="AI639" s="143">
        <f t="shared" si="287"/>
        <v>0</v>
      </c>
      <c r="AJ639" s="133">
        <f t="shared" si="288"/>
        <v>1</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410</v>
      </c>
      <c r="P640" s="121"/>
      <c r="Q640" s="66"/>
      <c r="R640" s="121"/>
      <c r="S640" s="133">
        <f>M620</f>
        <v>1</v>
      </c>
      <c r="T640" s="120"/>
      <c r="U640" s="121" t="s">
        <v>293</v>
      </c>
      <c r="V640" s="133">
        <f t="shared" si="282"/>
        <v>1</v>
      </c>
      <c r="W640" s="133">
        <f>VLOOKUP(U640,Sheet1!$B$6:$C$45,2,FALSE)*V640</f>
        <v>0</v>
      </c>
      <c r="X640" s="141"/>
      <c r="Y640" s="121" t="s">
        <v>293</v>
      </c>
      <c r="Z640" s="146">
        <f>VLOOKUP(Takeoffs!Y640,Sheet1!$B$6:$C$124,2,FALSE)</f>
        <v>0</v>
      </c>
      <c r="AA640" s="146">
        <f t="shared" si="283"/>
        <v>0</v>
      </c>
      <c r="AB640" s="143">
        <f t="shared" si="284"/>
        <v>1</v>
      </c>
      <c r="AC640" s="133">
        <f t="shared" si="285"/>
        <v>1</v>
      </c>
      <c r="AD640" s="142">
        <v>1</v>
      </c>
      <c r="AE640" s="141"/>
      <c r="AF640" s="121" t="s">
        <v>293</v>
      </c>
      <c r="AG640" s="146">
        <f>VLOOKUP(Takeoffs!AF640,Sheet1!$B$6:$C$124,2,FALSE)</f>
        <v>0</v>
      </c>
      <c r="AH640" s="146">
        <f t="shared" si="286"/>
        <v>0</v>
      </c>
      <c r="AI640" s="143">
        <f t="shared" si="287"/>
        <v>0</v>
      </c>
      <c r="AJ640" s="133">
        <f t="shared" si="288"/>
        <v>1</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379</v>
      </c>
      <c r="L641" s="128" t="s">
        <v>380</v>
      </c>
      <c r="N641" s="129"/>
      <c r="O641" s="130" t="s">
        <v>359</v>
      </c>
      <c r="P641" s="155">
        <f>V641+AA641+AH641</f>
        <v>85.1</v>
      </c>
      <c r="Q641" s="155"/>
      <c r="R641" s="131"/>
      <c r="S641" s="130"/>
      <c r="T641" s="127"/>
      <c r="U641" s="126" t="s">
        <v>353</v>
      </c>
      <c r="V641" s="127">
        <f>W641*80</f>
        <v>80</v>
      </c>
      <c r="W641" s="147">
        <f>SUM(W620:W640)</f>
        <v>1</v>
      </c>
      <c r="X641" s="148"/>
      <c r="Y641" s="127" t="s">
        <v>354</v>
      </c>
      <c r="Z641" s="116"/>
      <c r="AA641" s="116">
        <f>SUM(AA620:AA640)</f>
        <v>0</v>
      </c>
      <c r="AB641" s="149"/>
      <c r="AC641" s="149"/>
      <c r="AD641" s="149"/>
      <c r="AE641" s="149"/>
      <c r="AF641" s="127" t="s">
        <v>358</v>
      </c>
      <c r="AG641" s="116"/>
      <c r="AH641" s="116">
        <f>SUM(AH620:AH640)</f>
        <v>5.0999999999999996</v>
      </c>
      <c r="AI641" s="149"/>
      <c r="AJ641" s="149"/>
      <c r="AK641" s="149"/>
      <c r="AL641" s="149"/>
      <c r="AM641" s="150">
        <f>P641</f>
        <v>85.1</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494</v>
      </c>
      <c r="C642" s="217" t="str">
        <f>N620</f>
        <v>DOL fan from local power supply</v>
      </c>
      <c r="D642" s="260" t="str">
        <f>IF(B642="Shopping List",IF(ISNUMBER(SEARCH("MSSB",C642)),"MSSB",IF(ISNUMBER(SEARCH("local",C642)),"LOCAL","")))</f>
        <v>LOCAL</v>
      </c>
      <c r="E642" s="238"/>
      <c r="F642" s="217"/>
      <c r="G642" s="217"/>
      <c r="H642" s="245"/>
      <c r="I642" s="270">
        <v>1</v>
      </c>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one (1) DOL fan from local power supply. This includes supply and install of cabling from local supply, local isolator and commissioning/testing. Coordination Note: - Builders electrician: Please refer to our exclusions relating to supply of local power supply. </v>
      </c>
      <c r="K642" s="248">
        <f>P641</f>
        <v>85.1</v>
      </c>
      <c r="L642" s="234" t="str">
        <f>CONCATENATE(Q621,Q622,Q623,Q624,Q625,Q626,Q627,Q628,Q629,Q630,Q631,Q632,Q633,Q634,Q635,Q636,Q637,Q638,Q639,Q640,)</f>
        <v xml:space="preserve">supply of local power supply. </v>
      </c>
      <c r="M642" s="166" t="s">
        <v>369</v>
      </c>
      <c r="N642" s="160" t="str">
        <f>N620</f>
        <v>DOL fan from local power supply</v>
      </c>
      <c r="O642" s="185" t="s">
        <v>367</v>
      </c>
      <c r="P642" s="203">
        <f>P641/M620</f>
        <v>85.1</v>
      </c>
      <c r="Q642" s="195"/>
      <c r="R642" s="188"/>
      <c r="S642" s="160"/>
      <c r="T642" s="161"/>
      <c r="U642" s="327" t="s">
        <v>368</v>
      </c>
      <c r="V642" s="327"/>
      <c r="W642" s="162">
        <f>W641/M620</f>
        <v>1</v>
      </c>
      <c r="X642" s="163"/>
      <c r="Y642" s="325" t="s">
        <v>367</v>
      </c>
      <c r="Z642" s="325"/>
      <c r="AA642" s="164">
        <f>AA641/M620</f>
        <v>0</v>
      </c>
      <c r="AB642" s="161"/>
      <c r="AC642" s="161"/>
      <c r="AD642" s="161"/>
      <c r="AE642" s="161"/>
      <c r="AF642" s="325" t="s">
        <v>367</v>
      </c>
      <c r="AG642" s="325"/>
      <c r="AH642" s="164">
        <f>AH641/M620</f>
        <v>5.0999999999999996</v>
      </c>
      <c r="AI642" s="161"/>
      <c r="AJ642" s="161"/>
      <c r="AK642" s="161"/>
      <c r="AL642" s="247"/>
      <c r="AM642" s="257"/>
      <c r="AN642" s="236">
        <f>K642*$D$9</f>
        <v>21.274999999999999</v>
      </c>
      <c r="AO642" s="286"/>
      <c r="AP642" s="284">
        <f t="shared" si="268"/>
        <v>85.1</v>
      </c>
      <c r="AQ642" s="281">
        <f t="shared" si="269"/>
        <v>80</v>
      </c>
      <c r="AR642" s="284">
        <f t="shared" si="270"/>
        <v>0</v>
      </c>
      <c r="AS642" s="281">
        <f t="shared" si="271"/>
        <v>5.0999999999999996</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5">
      <c r="A643" s="262">
        <f>ROW()</f>
        <v>643</v>
      </c>
      <c r="C643" s="211"/>
      <c r="D643" s="211"/>
      <c r="E643" s="211"/>
      <c r="F643" s="211"/>
      <c r="G643" s="211"/>
      <c r="H643" s="211"/>
      <c r="K643" s="116" t="s">
        <v>454</v>
      </c>
      <c r="M643" s="116" t="s">
        <v>107</v>
      </c>
      <c r="N643" s="116" t="s">
        <v>108</v>
      </c>
      <c r="O643" s="170" t="s">
        <v>388</v>
      </c>
      <c r="P643" s="326" t="s">
        <v>377</v>
      </c>
      <c r="Q643" s="326"/>
      <c r="R643" s="101" t="s">
        <v>454</v>
      </c>
      <c r="S643" s="116" t="s">
        <v>0</v>
      </c>
      <c r="T643" s="118"/>
      <c r="U643" s="116" t="s">
        <v>288</v>
      </c>
      <c r="V643" s="116" t="s">
        <v>289</v>
      </c>
      <c r="W643" s="116" t="s">
        <v>292</v>
      </c>
      <c r="X643" s="140"/>
      <c r="Y643" s="116" t="s">
        <v>290</v>
      </c>
      <c r="Z643" s="116" t="s">
        <v>356</v>
      </c>
      <c r="AA643" s="116" t="s">
        <v>357</v>
      </c>
      <c r="AB643" s="116" t="s">
        <v>319</v>
      </c>
      <c r="AC643" s="116" t="s">
        <v>320</v>
      </c>
      <c r="AD643" s="116" t="s">
        <v>318</v>
      </c>
      <c r="AE643" s="140"/>
      <c r="AF643" s="116" t="s">
        <v>294</v>
      </c>
      <c r="AG643" s="116" t="s">
        <v>356</v>
      </c>
      <c r="AH643" s="116" t="s">
        <v>357</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5">
      <c r="A644" s="262">
        <f>ROW()</f>
        <v>644</v>
      </c>
      <c r="C644" s="208"/>
      <c r="D644" s="208"/>
      <c r="E644" s="208"/>
      <c r="F644" s="208"/>
      <c r="G644" s="208"/>
      <c r="H644" s="208"/>
      <c r="L644" s="124" t="str">
        <f>VLOOKUP(M644,Sheet2!$D$2:$E$1024,2,FALSE)</f>
        <v>one</v>
      </c>
      <c r="M644" s="121">
        <f>I666</f>
        <v>1</v>
      </c>
      <c r="N644" s="132" t="s">
        <v>791</v>
      </c>
      <c r="O644" s="121" t="s">
        <v>491</v>
      </c>
      <c r="P644" s="169" t="s">
        <v>381</v>
      </c>
      <c r="Q644" s="169" t="s">
        <v>377</v>
      </c>
      <c r="R644" s="169"/>
      <c r="S644" s="133">
        <f>M644</f>
        <v>1</v>
      </c>
      <c r="T644" s="119"/>
      <c r="U644" s="121" t="s">
        <v>293</v>
      </c>
      <c r="V644" s="133">
        <f>S644</f>
        <v>1</v>
      </c>
      <c r="W644" s="133">
        <f>VLOOKUP(U644,Sheet1!$B$6:$C$45,2,FALSE)*V644</f>
        <v>0</v>
      </c>
      <c r="X644" s="141"/>
      <c r="Y644" s="121" t="s">
        <v>293</v>
      </c>
      <c r="Z644" s="146">
        <f>VLOOKUP(Takeoffs!Y644,Sheet1!$B$6:$C$124,2,FALSE)</f>
        <v>0</v>
      </c>
      <c r="AA644" s="146">
        <f>Z644*AB644</f>
        <v>0</v>
      </c>
      <c r="AB644" s="143">
        <f>AD644*AC644</f>
        <v>1</v>
      </c>
      <c r="AC644" s="133">
        <f>S644</f>
        <v>1</v>
      </c>
      <c r="AD644" s="142">
        <v>1</v>
      </c>
      <c r="AE644" s="141"/>
      <c r="AF644" s="121" t="s">
        <v>293</v>
      </c>
      <c r="AG644" s="146">
        <f>VLOOKUP(Takeoffs!AF644,Sheet1!$B$6:$C$124,2,FALSE)</f>
        <v>0</v>
      </c>
      <c r="AH644" s="146">
        <f>AG644*AI644</f>
        <v>0</v>
      </c>
      <c r="AI644" s="143">
        <f>AK644*AJ644</f>
        <v>0</v>
      </c>
      <c r="AJ644" s="133">
        <f>S644</f>
        <v>1</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342</v>
      </c>
      <c r="P645" s="121"/>
      <c r="Q645" s="66"/>
      <c r="R645" s="121"/>
      <c r="S645" s="133">
        <f>M644</f>
        <v>1</v>
      </c>
      <c r="T645" s="120"/>
      <c r="U645" s="121" t="s">
        <v>293</v>
      </c>
      <c r="V645" s="133">
        <f t="shared" ref="V645:V664" si="291">S645</f>
        <v>1</v>
      </c>
      <c r="W645" s="133">
        <f>VLOOKUP(U645,Sheet1!$B$6:$C$45,2,FALSE)*V645</f>
        <v>0</v>
      </c>
      <c r="X645" s="141"/>
      <c r="Y645" s="121" t="s">
        <v>293</v>
      </c>
      <c r="Z645" s="146">
        <f>VLOOKUP(Takeoffs!Y645,Sheet1!$B$6:$C$124,2,FALSE)</f>
        <v>0</v>
      </c>
      <c r="AA645" s="146">
        <f t="shared" ref="AA645:AA664" si="292">Z645*AB645</f>
        <v>0</v>
      </c>
      <c r="AB645" s="143">
        <f t="shared" ref="AB645:AB664" si="293">AD645*AC645</f>
        <v>1</v>
      </c>
      <c r="AC645" s="133">
        <f t="shared" ref="AC645:AC664" si="294">S645</f>
        <v>1</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1</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1</v>
      </c>
      <c r="T646" s="120"/>
      <c r="U646" s="121" t="s">
        <v>293</v>
      </c>
      <c r="V646" s="133">
        <f t="shared" si="291"/>
        <v>1</v>
      </c>
      <c r="W646" s="133">
        <f>VLOOKUP(U646,Sheet1!$B$6:$C$45,2,FALSE)*V646</f>
        <v>0</v>
      </c>
      <c r="X646" s="141"/>
      <c r="Y646" s="122" t="s">
        <v>252</v>
      </c>
      <c r="Z646" s="146">
        <f>VLOOKUP(Takeoffs!Y646,Sheet1!$B$6:$C$124,2,FALSE)</f>
        <v>43.440000000000005</v>
      </c>
      <c r="AA646" s="146">
        <f t="shared" si="292"/>
        <v>43.440000000000005</v>
      </c>
      <c r="AB646" s="143">
        <f t="shared" si="293"/>
        <v>1</v>
      </c>
      <c r="AC646" s="133">
        <f t="shared" si="294"/>
        <v>1</v>
      </c>
      <c r="AD646" s="142">
        <v>1</v>
      </c>
      <c r="AE646" s="141"/>
      <c r="AF646" s="122" t="s">
        <v>268</v>
      </c>
      <c r="AG646" s="146">
        <f>VLOOKUP(Takeoffs!AF646,Sheet1!$B$6:$C$124,2,FALSE)</f>
        <v>1.02</v>
      </c>
      <c r="AH646" s="146">
        <f t="shared" si="295"/>
        <v>20.399999999999999</v>
      </c>
      <c r="AI646" s="143">
        <f t="shared" si="296"/>
        <v>20</v>
      </c>
      <c r="AJ646" s="133">
        <f t="shared" si="297"/>
        <v>1</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492</v>
      </c>
      <c r="P647" s="121"/>
      <c r="Q647" s="66"/>
      <c r="R647" s="121"/>
      <c r="S647" s="133">
        <f>M644</f>
        <v>1</v>
      </c>
      <c r="T647" s="120"/>
      <c r="U647" s="117" t="s">
        <v>481</v>
      </c>
      <c r="V647" s="133">
        <f t="shared" si="291"/>
        <v>1</v>
      </c>
      <c r="W647" s="133">
        <f>VLOOKUP(U647,Sheet1!$B$6:$C$45,2,FALSE)*V647</f>
        <v>2</v>
      </c>
      <c r="X647" s="141"/>
      <c r="Y647" s="121" t="s">
        <v>293</v>
      </c>
      <c r="Z647" s="146">
        <f>VLOOKUP(Takeoffs!Y647,Sheet1!$B$6:$C$124,2,FALSE)</f>
        <v>0</v>
      </c>
      <c r="AA647" s="146">
        <f t="shared" si="292"/>
        <v>0</v>
      </c>
      <c r="AB647" s="143">
        <f t="shared" si="293"/>
        <v>1</v>
      </c>
      <c r="AC647" s="133">
        <f t="shared" si="294"/>
        <v>1</v>
      </c>
      <c r="AD647" s="142">
        <v>1</v>
      </c>
      <c r="AE647" s="141"/>
      <c r="AF647" s="121" t="s">
        <v>293</v>
      </c>
      <c r="AG647" s="146">
        <f>VLOOKUP(Takeoffs!AF647,Sheet1!$B$6:$C$124,2,FALSE)</f>
        <v>0</v>
      </c>
      <c r="AH647" s="146">
        <f t="shared" si="295"/>
        <v>0</v>
      </c>
      <c r="AI647" s="143">
        <f t="shared" si="296"/>
        <v>0</v>
      </c>
      <c r="AJ647" s="133">
        <f t="shared" si="297"/>
        <v>1</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1</v>
      </c>
      <c r="T648" s="120"/>
      <c r="U648" s="121" t="s">
        <v>235</v>
      </c>
      <c r="V648" s="133">
        <f t="shared" si="291"/>
        <v>1</v>
      </c>
      <c r="W648" s="133">
        <f>VLOOKUP(U648,Sheet1!$B$6:$C$45,2,FALSE)*V648</f>
        <v>1.5</v>
      </c>
      <c r="X648" s="141"/>
      <c r="Y648" s="121" t="s">
        <v>293</v>
      </c>
      <c r="Z648" s="146">
        <f>VLOOKUP(Takeoffs!Y648,Sheet1!$B$6:$C$124,2,FALSE)</f>
        <v>0</v>
      </c>
      <c r="AA648" s="146">
        <f t="shared" si="292"/>
        <v>0</v>
      </c>
      <c r="AB648" s="143">
        <f t="shared" si="293"/>
        <v>1</v>
      </c>
      <c r="AC648" s="133">
        <f t="shared" si="294"/>
        <v>1</v>
      </c>
      <c r="AD648" s="142">
        <v>1</v>
      </c>
      <c r="AE648" s="141"/>
      <c r="AF648" s="121" t="s">
        <v>293</v>
      </c>
      <c r="AG648" s="146">
        <f>VLOOKUP(Takeoffs!AF648,Sheet1!$B$6:$C$124,2,FALSE)</f>
        <v>0</v>
      </c>
      <c r="AH648" s="146">
        <f t="shared" si="295"/>
        <v>0</v>
      </c>
      <c r="AI648" s="143">
        <f t="shared" si="296"/>
        <v>0</v>
      </c>
      <c r="AJ648" s="133">
        <f t="shared" si="297"/>
        <v>1</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1</v>
      </c>
      <c r="T649" s="120"/>
      <c r="U649" s="121" t="s">
        <v>293</v>
      </c>
      <c r="V649" s="133">
        <f t="shared" si="291"/>
        <v>1</v>
      </c>
      <c r="W649" s="133">
        <f>VLOOKUP(U649,Sheet1!$B$6:$C$45,2,FALSE)*V649</f>
        <v>0</v>
      </c>
      <c r="X649" s="141"/>
      <c r="Y649" s="121" t="s">
        <v>293</v>
      </c>
      <c r="Z649" s="146">
        <f>VLOOKUP(Takeoffs!Y649,Sheet1!$B$6:$C$124,2,FALSE)</f>
        <v>0</v>
      </c>
      <c r="AA649" s="146">
        <f t="shared" si="292"/>
        <v>0</v>
      </c>
      <c r="AB649" s="143">
        <f t="shared" si="293"/>
        <v>1</v>
      </c>
      <c r="AC649" s="133">
        <f t="shared" si="294"/>
        <v>1</v>
      </c>
      <c r="AD649" s="142">
        <v>1</v>
      </c>
      <c r="AE649" s="141"/>
      <c r="AF649" s="122" t="s">
        <v>268</v>
      </c>
      <c r="AG649" s="146">
        <f>VLOOKUP(Takeoffs!AF649,Sheet1!$B$6:$C$124,2,FALSE)</f>
        <v>1.02</v>
      </c>
      <c r="AH649" s="146">
        <f t="shared" si="295"/>
        <v>3.06</v>
      </c>
      <c r="AI649" s="143">
        <f t="shared" si="296"/>
        <v>3</v>
      </c>
      <c r="AJ649" s="133">
        <f t="shared" si="297"/>
        <v>1</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408</v>
      </c>
      <c r="P650" s="121"/>
      <c r="Q650" s="66"/>
      <c r="R650" s="121"/>
      <c r="S650" s="133">
        <f>M644</f>
        <v>1</v>
      </c>
      <c r="T650" s="120"/>
      <c r="U650" s="121" t="s">
        <v>293</v>
      </c>
      <c r="V650" s="133">
        <f t="shared" si="291"/>
        <v>1</v>
      </c>
      <c r="W650" s="133">
        <f>VLOOKUP(U650,Sheet1!$B$6:$C$45,2,FALSE)*V650</f>
        <v>0</v>
      </c>
      <c r="X650" s="141"/>
      <c r="Y650" s="121" t="s">
        <v>293</v>
      </c>
      <c r="Z650" s="146">
        <f>VLOOKUP(Takeoffs!Y650,Sheet1!$B$6:$C$124,2,FALSE)</f>
        <v>0</v>
      </c>
      <c r="AA650" s="146">
        <f t="shared" si="292"/>
        <v>0</v>
      </c>
      <c r="AB650" s="143">
        <f t="shared" si="293"/>
        <v>1</v>
      </c>
      <c r="AC650" s="133">
        <f t="shared" si="294"/>
        <v>1</v>
      </c>
      <c r="AD650" s="142">
        <v>1</v>
      </c>
      <c r="AE650" s="141"/>
      <c r="AF650" s="121" t="s">
        <v>293</v>
      </c>
      <c r="AG650" s="146">
        <f>VLOOKUP(Takeoffs!AF650,Sheet1!$B$6:$C$124,2,FALSE)</f>
        <v>0</v>
      </c>
      <c r="AH650" s="146">
        <f t="shared" si="295"/>
        <v>0</v>
      </c>
      <c r="AI650" s="143">
        <f t="shared" si="296"/>
        <v>0</v>
      </c>
      <c r="AJ650" s="133">
        <f t="shared" si="297"/>
        <v>1</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1</v>
      </c>
      <c r="T651" s="120"/>
      <c r="U651" s="121" t="s">
        <v>293</v>
      </c>
      <c r="V651" s="133">
        <f t="shared" si="291"/>
        <v>1</v>
      </c>
      <c r="W651" s="133">
        <f>VLOOKUP(U651,Sheet1!$B$6:$C$45,2,FALSE)*V651</f>
        <v>0</v>
      </c>
      <c r="X651" s="141"/>
      <c r="Y651" s="121" t="s">
        <v>293</v>
      </c>
      <c r="Z651" s="146">
        <f>VLOOKUP(Takeoffs!Y651,Sheet1!$B$6:$C$124,2,FALSE)</f>
        <v>0</v>
      </c>
      <c r="AA651" s="146">
        <f t="shared" si="292"/>
        <v>0</v>
      </c>
      <c r="AB651" s="143">
        <f t="shared" si="293"/>
        <v>1</v>
      </c>
      <c r="AC651" s="133">
        <f t="shared" si="294"/>
        <v>1</v>
      </c>
      <c r="AD651" s="142">
        <v>1</v>
      </c>
      <c r="AE651" s="141"/>
      <c r="AF651" s="121" t="s">
        <v>293</v>
      </c>
      <c r="AG651" s="146">
        <f>VLOOKUP(Takeoffs!AF651,Sheet1!$B$6:$C$124,2,FALSE)</f>
        <v>0</v>
      </c>
      <c r="AH651" s="146">
        <f t="shared" si="295"/>
        <v>0</v>
      </c>
      <c r="AI651" s="143">
        <f t="shared" si="296"/>
        <v>0</v>
      </c>
      <c r="AJ651" s="133">
        <f t="shared" si="297"/>
        <v>1</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330</v>
      </c>
      <c r="P652" s="121"/>
      <c r="Q652" s="66"/>
      <c r="R652" s="121"/>
      <c r="S652" s="133">
        <f>M644</f>
        <v>1</v>
      </c>
      <c r="T652" s="120"/>
      <c r="U652" s="121" t="s">
        <v>366</v>
      </c>
      <c r="V652" s="133">
        <f t="shared" si="291"/>
        <v>1</v>
      </c>
      <c r="W652" s="133">
        <f>VLOOKUP(U652,Sheet1!$B$6:$C$45,2,FALSE)*V652</f>
        <v>2</v>
      </c>
      <c r="X652" s="141"/>
      <c r="Y652" s="121" t="s">
        <v>293</v>
      </c>
      <c r="Z652" s="146">
        <f>VLOOKUP(Takeoffs!Y652,Sheet1!$B$6:$C$124,2,FALSE)</f>
        <v>0</v>
      </c>
      <c r="AA652" s="146">
        <f t="shared" si="292"/>
        <v>0</v>
      </c>
      <c r="AB652" s="143">
        <f t="shared" si="293"/>
        <v>1</v>
      </c>
      <c r="AC652" s="133">
        <f t="shared" si="294"/>
        <v>1</v>
      </c>
      <c r="AD652" s="142">
        <v>1</v>
      </c>
      <c r="AE652" s="141"/>
      <c r="AF652" s="121" t="s">
        <v>293</v>
      </c>
      <c r="AG652" s="146">
        <f>VLOOKUP(Takeoffs!AF652,Sheet1!$B$6:$C$124,2,FALSE)</f>
        <v>0</v>
      </c>
      <c r="AH652" s="146">
        <f t="shared" si="295"/>
        <v>0</v>
      </c>
      <c r="AI652" s="143">
        <f t="shared" si="296"/>
        <v>0</v>
      </c>
      <c r="AJ652" s="133">
        <f t="shared" si="297"/>
        <v>1</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1</v>
      </c>
      <c r="T653" s="120"/>
      <c r="U653" s="121" t="s">
        <v>293</v>
      </c>
      <c r="V653" s="133">
        <f t="shared" si="291"/>
        <v>1</v>
      </c>
      <c r="W653" s="133">
        <f>VLOOKUP(U653,Sheet1!$B$6:$C$45,2,FALSE)*V653</f>
        <v>0</v>
      </c>
      <c r="X653" s="141"/>
      <c r="Y653" s="121" t="s">
        <v>293</v>
      </c>
      <c r="Z653" s="146">
        <f>VLOOKUP(Takeoffs!Y653,Sheet1!$B$6:$C$124,2,FALSE)</f>
        <v>0</v>
      </c>
      <c r="AA653" s="146">
        <f t="shared" si="292"/>
        <v>0</v>
      </c>
      <c r="AB653" s="143">
        <f t="shared" si="293"/>
        <v>1</v>
      </c>
      <c r="AC653" s="133">
        <f t="shared" si="294"/>
        <v>1</v>
      </c>
      <c r="AD653" s="142">
        <v>1</v>
      </c>
      <c r="AE653" s="141"/>
      <c r="AF653" s="121" t="s">
        <v>293</v>
      </c>
      <c r="AG653" s="146">
        <f>VLOOKUP(Takeoffs!AF653,Sheet1!$B$6:$C$124,2,FALSE)</f>
        <v>0</v>
      </c>
      <c r="AH653" s="146">
        <f t="shared" si="295"/>
        <v>0</v>
      </c>
      <c r="AI653" s="143">
        <f t="shared" si="296"/>
        <v>0</v>
      </c>
      <c r="AJ653" s="133">
        <f t="shared" si="297"/>
        <v>1</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1</v>
      </c>
      <c r="T654" s="120"/>
      <c r="U654" s="121" t="s">
        <v>293</v>
      </c>
      <c r="V654" s="133">
        <f t="shared" si="291"/>
        <v>1</v>
      </c>
      <c r="W654" s="133">
        <f>VLOOKUP(U654,Sheet1!$B$6:$C$45,2,FALSE)*V654</f>
        <v>0</v>
      </c>
      <c r="X654" s="141"/>
      <c r="Y654" s="121" t="s">
        <v>293</v>
      </c>
      <c r="Z654" s="146">
        <f>VLOOKUP(Takeoffs!Y654,Sheet1!$B$6:$C$124,2,FALSE)</f>
        <v>0</v>
      </c>
      <c r="AA654" s="146">
        <f t="shared" si="292"/>
        <v>0</v>
      </c>
      <c r="AB654" s="143">
        <f t="shared" si="293"/>
        <v>1</v>
      </c>
      <c r="AC654" s="133">
        <f t="shared" si="294"/>
        <v>1</v>
      </c>
      <c r="AD654" s="142">
        <v>1</v>
      </c>
      <c r="AE654" s="141"/>
      <c r="AF654" s="121" t="s">
        <v>293</v>
      </c>
      <c r="AG654" s="146">
        <f>VLOOKUP(Takeoffs!AF654,Sheet1!$B$6:$C$124,2,FALSE)</f>
        <v>0</v>
      </c>
      <c r="AH654" s="146">
        <f t="shared" si="295"/>
        <v>0</v>
      </c>
      <c r="AI654" s="143">
        <f t="shared" si="296"/>
        <v>0</v>
      </c>
      <c r="AJ654" s="133">
        <f t="shared" si="297"/>
        <v>1</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1</v>
      </c>
      <c r="T655" s="120"/>
      <c r="U655" s="121" t="s">
        <v>293</v>
      </c>
      <c r="V655" s="133">
        <f t="shared" si="291"/>
        <v>1</v>
      </c>
      <c r="W655" s="133">
        <f>VLOOKUP(U655,Sheet1!$B$6:$C$45,2,FALSE)*V655</f>
        <v>0</v>
      </c>
      <c r="X655" s="141"/>
      <c r="Y655" s="135" t="s">
        <v>293</v>
      </c>
      <c r="Z655" s="146">
        <f>VLOOKUP(Takeoffs!Y655,Sheet1!$B$6:$C$124,2,FALSE)</f>
        <v>0</v>
      </c>
      <c r="AA655" s="146">
        <f t="shared" si="292"/>
        <v>0</v>
      </c>
      <c r="AB655" s="143">
        <f t="shared" si="293"/>
        <v>1</v>
      </c>
      <c r="AC655" s="133">
        <f t="shared" si="294"/>
        <v>1</v>
      </c>
      <c r="AD655" s="142">
        <v>1</v>
      </c>
      <c r="AE655" s="141"/>
      <c r="AF655" s="121" t="s">
        <v>293</v>
      </c>
      <c r="AG655" s="146">
        <f>VLOOKUP(Takeoffs!AF655,Sheet1!$B$6:$C$124,2,FALSE)</f>
        <v>0</v>
      </c>
      <c r="AH655" s="146">
        <f t="shared" si="295"/>
        <v>0</v>
      </c>
      <c r="AI655" s="143">
        <f t="shared" si="296"/>
        <v>0</v>
      </c>
      <c r="AJ655" s="133">
        <f t="shared" si="297"/>
        <v>1</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1</v>
      </c>
      <c r="T656" s="120"/>
      <c r="U656" s="121" t="s">
        <v>293</v>
      </c>
      <c r="V656" s="133">
        <f t="shared" si="291"/>
        <v>1</v>
      </c>
      <c r="W656" s="133">
        <f>VLOOKUP(U656,Sheet1!$B$6:$C$45,2,FALSE)*V656</f>
        <v>0</v>
      </c>
      <c r="X656" s="141"/>
      <c r="Y656" s="121" t="s">
        <v>293</v>
      </c>
      <c r="Z656" s="146">
        <f>VLOOKUP(Takeoffs!Y656,Sheet1!$B$6:$C$124,2,FALSE)</f>
        <v>0</v>
      </c>
      <c r="AA656" s="146">
        <f t="shared" si="292"/>
        <v>0</v>
      </c>
      <c r="AB656" s="143">
        <f t="shared" si="293"/>
        <v>1</v>
      </c>
      <c r="AC656" s="133">
        <f t="shared" si="294"/>
        <v>1</v>
      </c>
      <c r="AD656" s="142">
        <v>1</v>
      </c>
      <c r="AE656" s="141"/>
      <c r="AF656" s="152" t="s">
        <v>420</v>
      </c>
      <c r="AG656" s="146">
        <f>VLOOKUP(Takeoffs!AF656,Sheet1!$B$6:$C$124,2,FALSE)</f>
        <v>0.33600000000000002</v>
      </c>
      <c r="AH656" s="146">
        <f t="shared" si="295"/>
        <v>0.33600000000000002</v>
      </c>
      <c r="AI656" s="143">
        <f t="shared" si="296"/>
        <v>1</v>
      </c>
      <c r="AJ656" s="133">
        <f t="shared" si="297"/>
        <v>1</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1</v>
      </c>
      <c r="T657" s="120"/>
      <c r="U657" s="121" t="s">
        <v>232</v>
      </c>
      <c r="V657" s="133">
        <f t="shared" si="291"/>
        <v>1</v>
      </c>
      <c r="W657" s="133">
        <f>VLOOKUP(U657,Sheet1!$B$6:$C$45,2,FALSE)*V657</f>
        <v>1</v>
      </c>
      <c r="X657" s="141"/>
      <c r="Y657" s="122" t="s">
        <v>281</v>
      </c>
      <c r="Z657" s="146">
        <f>VLOOKUP(Takeoffs!Y657,Sheet1!$B$6:$C$124,2,FALSE)</f>
        <v>109.25999999999999</v>
      </c>
      <c r="AA657" s="146">
        <f t="shared" si="292"/>
        <v>109.25999999999999</v>
      </c>
      <c r="AB657" s="143">
        <f t="shared" si="293"/>
        <v>1</v>
      </c>
      <c r="AC657" s="133">
        <f t="shared" si="294"/>
        <v>1</v>
      </c>
      <c r="AD657" s="142">
        <v>1</v>
      </c>
      <c r="AE657" s="141"/>
      <c r="AF657" s="121" t="s">
        <v>293</v>
      </c>
      <c r="AG657" s="146">
        <f>VLOOKUP(Takeoffs!AF657,Sheet1!$B$6:$C$124,2,FALSE)</f>
        <v>0</v>
      </c>
      <c r="AH657" s="146">
        <f t="shared" si="295"/>
        <v>0</v>
      </c>
      <c r="AI657" s="143">
        <f t="shared" si="296"/>
        <v>0</v>
      </c>
      <c r="AJ657" s="133">
        <f t="shared" si="297"/>
        <v>1</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347</v>
      </c>
      <c r="P658" s="121" t="s">
        <v>382</v>
      </c>
      <c r="Q658" s="66" t="s">
        <v>386</v>
      </c>
      <c r="R658" s="121"/>
      <c r="S658" s="133">
        <f>M644</f>
        <v>1</v>
      </c>
      <c r="T658" s="120"/>
      <c r="U658" s="121" t="s">
        <v>293</v>
      </c>
      <c r="V658" s="133">
        <f t="shared" si="291"/>
        <v>1</v>
      </c>
      <c r="W658" s="133">
        <f>VLOOKUP(U658,Sheet1!$B$6:$C$45,2,FALSE)*V658</f>
        <v>0</v>
      </c>
      <c r="X658" s="141"/>
      <c r="Y658" s="122" t="s">
        <v>328</v>
      </c>
      <c r="Z658" s="146">
        <f>VLOOKUP(Takeoffs!Y658,Sheet1!$B$6:$C$124,2,FALSE)</f>
        <v>29.04</v>
      </c>
      <c r="AA658" s="146">
        <f t="shared" si="292"/>
        <v>29.04</v>
      </c>
      <c r="AB658" s="143">
        <f t="shared" si="293"/>
        <v>1</v>
      </c>
      <c r="AC658" s="133">
        <f t="shared" si="294"/>
        <v>1</v>
      </c>
      <c r="AD658" s="142">
        <v>1</v>
      </c>
      <c r="AE658" s="141"/>
      <c r="AF658" s="121" t="s">
        <v>293</v>
      </c>
      <c r="AG658" s="146">
        <f>VLOOKUP(Takeoffs!AF658,Sheet1!$B$6:$C$124,2,FALSE)</f>
        <v>0</v>
      </c>
      <c r="AH658" s="146">
        <f t="shared" si="295"/>
        <v>0</v>
      </c>
      <c r="AI658" s="143">
        <f t="shared" si="296"/>
        <v>0</v>
      </c>
      <c r="AJ658" s="133">
        <f t="shared" si="297"/>
        <v>1</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339</v>
      </c>
      <c r="P659" s="121"/>
      <c r="Q659" s="66"/>
      <c r="R659" s="121" t="s">
        <v>333</v>
      </c>
      <c r="S659" s="133">
        <f>M644</f>
        <v>1</v>
      </c>
      <c r="T659" s="120"/>
      <c r="U659" s="121" t="s">
        <v>293</v>
      </c>
      <c r="V659" s="133">
        <f t="shared" si="291"/>
        <v>1</v>
      </c>
      <c r="W659" s="133">
        <f>VLOOKUP(U659,Sheet1!$B$6:$C$45,2,FALSE)*V659</f>
        <v>0</v>
      </c>
      <c r="X659" s="141"/>
      <c r="Y659" s="122" t="s">
        <v>280</v>
      </c>
      <c r="Z659" s="146">
        <f>VLOOKUP(Takeoffs!Y659,Sheet1!$B$6:$C$124,2,FALSE)</f>
        <v>19.2</v>
      </c>
      <c r="AA659" s="146">
        <f t="shared" si="292"/>
        <v>38.4</v>
      </c>
      <c r="AB659" s="143">
        <f t="shared" si="293"/>
        <v>2</v>
      </c>
      <c r="AC659" s="133">
        <f t="shared" si="294"/>
        <v>1</v>
      </c>
      <c r="AD659" s="142">
        <v>2</v>
      </c>
      <c r="AE659" s="141"/>
      <c r="AF659" s="121" t="s">
        <v>293</v>
      </c>
      <c r="AG659" s="146">
        <f>VLOOKUP(Takeoffs!AF659,Sheet1!$B$6:$C$124,2,FALSE)</f>
        <v>0</v>
      </c>
      <c r="AH659" s="146">
        <f t="shared" si="295"/>
        <v>0</v>
      </c>
      <c r="AI659" s="143">
        <f t="shared" si="296"/>
        <v>0</v>
      </c>
      <c r="AJ659" s="133">
        <f t="shared" si="297"/>
        <v>1</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502</v>
      </c>
      <c r="P660" s="121"/>
      <c r="Q660" s="66"/>
      <c r="R660" s="121"/>
      <c r="S660" s="133">
        <f>M644</f>
        <v>1</v>
      </c>
      <c r="T660" s="120"/>
      <c r="U660" s="121" t="s">
        <v>293</v>
      </c>
      <c r="V660" s="133">
        <f t="shared" si="291"/>
        <v>1</v>
      </c>
      <c r="W660" s="133">
        <f>VLOOKUP(U660,Sheet1!$B$6:$C$45,2,FALSE)*V660</f>
        <v>0</v>
      </c>
      <c r="X660" s="141"/>
      <c r="Y660" s="135" t="s">
        <v>424</v>
      </c>
      <c r="Z660" s="146">
        <f>VLOOKUP(Takeoffs!Y660,Sheet1!$B$6:$C$124,2,FALSE)</f>
        <v>23.4</v>
      </c>
      <c r="AA660" s="146">
        <f t="shared" si="292"/>
        <v>23.4</v>
      </c>
      <c r="AB660" s="143">
        <f t="shared" si="293"/>
        <v>1</v>
      </c>
      <c r="AC660" s="133">
        <f t="shared" si="294"/>
        <v>1</v>
      </c>
      <c r="AD660" s="142">
        <v>1</v>
      </c>
      <c r="AE660" s="141"/>
      <c r="AF660" s="121" t="s">
        <v>293</v>
      </c>
      <c r="AG660" s="146">
        <f>VLOOKUP(Takeoffs!AF660,Sheet1!$B$6:$C$124,2,FALSE)</f>
        <v>0</v>
      </c>
      <c r="AH660" s="146">
        <f t="shared" si="295"/>
        <v>0</v>
      </c>
      <c r="AI660" s="143">
        <f t="shared" si="296"/>
        <v>0</v>
      </c>
      <c r="AJ660" s="133">
        <f t="shared" si="297"/>
        <v>1</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331</v>
      </c>
      <c r="P661" s="121"/>
      <c r="Q661" s="66"/>
      <c r="R661" s="121" t="s">
        <v>305</v>
      </c>
      <c r="S661" s="133">
        <f>M644</f>
        <v>1</v>
      </c>
      <c r="T661" s="120"/>
      <c r="U661" s="121" t="s">
        <v>293</v>
      </c>
      <c r="V661" s="133">
        <f t="shared" si="291"/>
        <v>1</v>
      </c>
      <c r="W661" s="133">
        <f>VLOOKUP(U661,Sheet1!$B$6:$C$45,2,FALSE)*V661</f>
        <v>0</v>
      </c>
      <c r="X661" s="141"/>
      <c r="Y661" s="122" t="s">
        <v>277</v>
      </c>
      <c r="Z661" s="146">
        <f>VLOOKUP(Takeoffs!Y661,Sheet1!$B$6:$C$124,2,FALSE)</f>
        <v>69.540000000000006</v>
      </c>
      <c r="AA661" s="146">
        <f t="shared" si="292"/>
        <v>69.540000000000006</v>
      </c>
      <c r="AB661" s="143">
        <f t="shared" si="293"/>
        <v>1</v>
      </c>
      <c r="AC661" s="133">
        <f t="shared" si="294"/>
        <v>1</v>
      </c>
      <c r="AD661" s="142">
        <v>1</v>
      </c>
      <c r="AE661" s="141"/>
      <c r="AF661" s="121" t="s">
        <v>293</v>
      </c>
      <c r="AG661" s="146">
        <f>VLOOKUP(Takeoffs!AF661,Sheet1!$B$6:$C$124,2,FALSE)</f>
        <v>0</v>
      </c>
      <c r="AH661" s="146">
        <f t="shared" si="295"/>
        <v>0</v>
      </c>
      <c r="AI661" s="143">
        <f t="shared" si="296"/>
        <v>0</v>
      </c>
      <c r="AJ661" s="133">
        <f t="shared" si="297"/>
        <v>1</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663</v>
      </c>
      <c r="P662" s="121"/>
      <c r="Q662" s="66"/>
      <c r="R662" s="121"/>
      <c r="S662" s="133">
        <f>M644</f>
        <v>1</v>
      </c>
      <c r="T662" s="120"/>
      <c r="U662" s="121" t="s">
        <v>293</v>
      </c>
      <c r="V662" s="133">
        <f t="shared" si="291"/>
        <v>1</v>
      </c>
      <c r="W662" s="133">
        <f>VLOOKUP(U662,Sheet1!$B$6:$C$45,2,FALSE)*V662</f>
        <v>0</v>
      </c>
      <c r="X662" s="141"/>
      <c r="Y662" s="135" t="s">
        <v>424</v>
      </c>
      <c r="Z662" s="146">
        <f>VLOOKUP(Takeoffs!Y662,Sheet1!$B$6:$C$124,2,FALSE)</f>
        <v>23.4</v>
      </c>
      <c r="AA662" s="146">
        <f t="shared" si="292"/>
        <v>23.4</v>
      </c>
      <c r="AB662" s="143">
        <f t="shared" si="293"/>
        <v>1</v>
      </c>
      <c r="AC662" s="133">
        <f t="shared" si="294"/>
        <v>1</v>
      </c>
      <c r="AD662" s="142">
        <v>1</v>
      </c>
      <c r="AE662" s="141"/>
      <c r="AF662" s="121" t="s">
        <v>293</v>
      </c>
      <c r="AG662" s="146">
        <f>VLOOKUP(Takeoffs!AF662,Sheet1!$B$6:$C$124,2,FALSE)</f>
        <v>0</v>
      </c>
      <c r="AH662" s="146">
        <f t="shared" si="295"/>
        <v>0</v>
      </c>
      <c r="AI662" s="143">
        <f t="shared" si="296"/>
        <v>0</v>
      </c>
      <c r="AJ662" s="133">
        <f t="shared" si="297"/>
        <v>1</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409</v>
      </c>
      <c r="P663" s="121"/>
      <c r="Q663" s="66"/>
      <c r="R663" s="121"/>
      <c r="S663" s="133">
        <f>M644</f>
        <v>1</v>
      </c>
      <c r="T663" s="120"/>
      <c r="U663" s="121" t="s">
        <v>293</v>
      </c>
      <c r="V663" s="133">
        <f t="shared" si="291"/>
        <v>1</v>
      </c>
      <c r="W663" s="133">
        <f>VLOOKUP(U663,Sheet1!$B$6:$C$45,2,FALSE)*V663</f>
        <v>0</v>
      </c>
      <c r="X663" s="141"/>
      <c r="Y663" s="121" t="s">
        <v>274</v>
      </c>
      <c r="Z663" s="146">
        <f>VLOOKUP(Takeoffs!Y663,Sheet1!$B$6:$C$124,2,FALSE)</f>
        <v>360</v>
      </c>
      <c r="AA663" s="146">
        <f t="shared" si="292"/>
        <v>360</v>
      </c>
      <c r="AB663" s="143">
        <f t="shared" si="293"/>
        <v>1</v>
      </c>
      <c r="AC663" s="133">
        <f t="shared" si="294"/>
        <v>1</v>
      </c>
      <c r="AD663" s="142">
        <v>1</v>
      </c>
      <c r="AE663" s="141"/>
      <c r="AF663" s="121" t="s">
        <v>293</v>
      </c>
      <c r="AG663" s="146">
        <f>VLOOKUP(Takeoffs!AF663,Sheet1!$B$6:$C$124,2,FALSE)</f>
        <v>0</v>
      </c>
      <c r="AH663" s="146">
        <f t="shared" si="295"/>
        <v>0</v>
      </c>
      <c r="AI663" s="143">
        <f t="shared" si="296"/>
        <v>0</v>
      </c>
      <c r="AJ663" s="133">
        <f t="shared" si="297"/>
        <v>1</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410</v>
      </c>
      <c r="P664" s="121"/>
      <c r="Q664" s="66"/>
      <c r="R664" s="121"/>
      <c r="S664" s="133">
        <f>M644</f>
        <v>1</v>
      </c>
      <c r="T664" s="120"/>
      <c r="U664" s="121" t="s">
        <v>364</v>
      </c>
      <c r="V664" s="133">
        <f t="shared" si="291"/>
        <v>1</v>
      </c>
      <c r="W664" s="133">
        <f>VLOOKUP(U664,Sheet1!$B$6:$C$45,2,FALSE)*V664</f>
        <v>1</v>
      </c>
      <c r="X664" s="141"/>
      <c r="Y664" s="121" t="s">
        <v>293</v>
      </c>
      <c r="Z664" s="146">
        <f>VLOOKUP(Takeoffs!Y664,Sheet1!$B$6:$C$124,2,FALSE)</f>
        <v>0</v>
      </c>
      <c r="AA664" s="146">
        <f t="shared" si="292"/>
        <v>0</v>
      </c>
      <c r="AB664" s="143">
        <f t="shared" si="293"/>
        <v>1</v>
      </c>
      <c r="AC664" s="133">
        <f t="shared" si="294"/>
        <v>1</v>
      </c>
      <c r="AD664" s="142">
        <v>1</v>
      </c>
      <c r="AE664" s="141"/>
      <c r="AF664" s="121" t="s">
        <v>293</v>
      </c>
      <c r="AG664" s="146">
        <f>VLOOKUP(Takeoffs!AF664,Sheet1!$B$6:$C$124,2,FALSE)</f>
        <v>0</v>
      </c>
      <c r="AH664" s="146">
        <f t="shared" si="295"/>
        <v>0</v>
      </c>
      <c r="AI664" s="143">
        <f t="shared" si="296"/>
        <v>0</v>
      </c>
      <c r="AJ664" s="133">
        <f t="shared" si="297"/>
        <v>1</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379</v>
      </c>
      <c r="L665" s="128" t="s">
        <v>380</v>
      </c>
      <c r="N665" s="129"/>
      <c r="O665" s="130" t="s">
        <v>359</v>
      </c>
      <c r="P665" s="155">
        <f>V665+AA665+AH665</f>
        <v>1320.2760000000001</v>
      </c>
      <c r="Q665" s="155"/>
      <c r="R665" s="131"/>
      <c r="S665" s="130"/>
      <c r="T665" s="127"/>
      <c r="U665" s="126" t="s">
        <v>353</v>
      </c>
      <c r="V665" s="127">
        <f>W665*80</f>
        <v>600</v>
      </c>
      <c r="W665" s="147">
        <f>SUM(W644:W664)</f>
        <v>7.5</v>
      </c>
      <c r="X665" s="148"/>
      <c r="Y665" s="127" t="s">
        <v>354</v>
      </c>
      <c r="Z665" s="116"/>
      <c r="AA665" s="116">
        <f>SUM(AA644:AA664)</f>
        <v>696.48</v>
      </c>
      <c r="AB665" s="149"/>
      <c r="AC665" s="149"/>
      <c r="AD665" s="149"/>
      <c r="AE665" s="149"/>
      <c r="AF665" s="127" t="s">
        <v>358</v>
      </c>
      <c r="AG665" s="116"/>
      <c r="AH665" s="116">
        <f>SUM(AH644:AH664)</f>
        <v>23.795999999999996</v>
      </c>
      <c r="AI665" s="149"/>
      <c r="AJ665" s="149"/>
      <c r="AK665" s="149"/>
      <c r="AL665" s="149"/>
      <c r="AM665" s="150">
        <f>P665</f>
        <v>1320.2760000000001</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494</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v>1</v>
      </c>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one (1)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1320.2760000000001</v>
      </c>
      <c r="L666" s="235" t="str">
        <f>CONCATENATE(Q645,Q646,Q647,Q648,Q649,Q650,Q651,Q652,Q653,Q654,Q655,Q656,Q657,Q658,Q659,Q660,Q661,Q662,Q663,Q664,)</f>
        <v>fire cabling from FIP.</v>
      </c>
      <c r="M666" s="166" t="s">
        <v>369</v>
      </c>
      <c r="N666" s="160" t="str">
        <f>N644</f>
        <v>DOL fan with interlock with lights an run on timer - from MSSB power supply</v>
      </c>
      <c r="O666" s="185" t="s">
        <v>367</v>
      </c>
      <c r="P666" s="203">
        <f>P665/M644</f>
        <v>1320.2760000000001</v>
      </c>
      <c r="Q666" s="195"/>
      <c r="R666" s="188"/>
      <c r="S666" s="160"/>
      <c r="T666" s="161"/>
      <c r="U666" s="327" t="s">
        <v>368</v>
      </c>
      <c r="V666" s="327"/>
      <c r="W666" s="162">
        <f>W665/M644</f>
        <v>7.5</v>
      </c>
      <c r="X666" s="163"/>
      <c r="Y666" s="325" t="s">
        <v>367</v>
      </c>
      <c r="Z666" s="325"/>
      <c r="AA666" s="164">
        <f>AA665/M644</f>
        <v>696.48</v>
      </c>
      <c r="AB666" s="161"/>
      <c r="AC666" s="161"/>
      <c r="AD666" s="161"/>
      <c r="AE666" s="161"/>
      <c r="AF666" s="325" t="s">
        <v>367</v>
      </c>
      <c r="AG666" s="325"/>
      <c r="AH666" s="164">
        <f>AH665/M644</f>
        <v>23.795999999999996</v>
      </c>
      <c r="AI666" s="161"/>
      <c r="AJ666" s="161"/>
      <c r="AK666" s="161"/>
      <c r="AL666" s="247"/>
      <c r="AM666" s="257"/>
      <c r="AN666" s="230">
        <f>K666*1.25</f>
        <v>1650.345</v>
      </c>
      <c r="AO666" s="286"/>
      <c r="AP666" s="284">
        <f t="shared" si="300"/>
        <v>1320.2760000000001</v>
      </c>
      <c r="AQ666" s="281">
        <f t="shared" si="301"/>
        <v>600</v>
      </c>
      <c r="AR666" s="284">
        <f t="shared" si="302"/>
        <v>696.48</v>
      </c>
      <c r="AS666" s="281">
        <f t="shared" si="303"/>
        <v>23.795999999999996</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5">
      <c r="A667" s="262">
        <f>ROW()</f>
        <v>667</v>
      </c>
      <c r="C667" s="211"/>
      <c r="D667" s="211"/>
      <c r="E667" s="211"/>
      <c r="F667" s="211"/>
      <c r="G667" s="211"/>
      <c r="H667" s="211"/>
      <c r="K667" s="116" t="s">
        <v>454</v>
      </c>
      <c r="M667" s="116" t="s">
        <v>107</v>
      </c>
      <c r="N667" s="116" t="s">
        <v>108</v>
      </c>
      <c r="O667" s="170" t="s">
        <v>388</v>
      </c>
      <c r="P667" s="326" t="s">
        <v>377</v>
      </c>
      <c r="Q667" s="326"/>
      <c r="R667" s="101" t="s">
        <v>454</v>
      </c>
      <c r="S667" s="116" t="s">
        <v>0</v>
      </c>
      <c r="T667" s="118"/>
      <c r="U667" s="116" t="s">
        <v>288</v>
      </c>
      <c r="V667" s="116" t="s">
        <v>289</v>
      </c>
      <c r="W667" s="116" t="s">
        <v>292</v>
      </c>
      <c r="X667" s="140"/>
      <c r="Y667" s="116" t="s">
        <v>290</v>
      </c>
      <c r="Z667" s="116" t="s">
        <v>356</v>
      </c>
      <c r="AA667" s="116" t="s">
        <v>357</v>
      </c>
      <c r="AB667" s="116" t="s">
        <v>319</v>
      </c>
      <c r="AC667" s="116" t="s">
        <v>320</v>
      </c>
      <c r="AD667" s="116" t="s">
        <v>318</v>
      </c>
      <c r="AE667" s="140"/>
      <c r="AF667" s="116" t="s">
        <v>294</v>
      </c>
      <c r="AG667" s="116" t="s">
        <v>356</v>
      </c>
      <c r="AH667" s="116" t="s">
        <v>357</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5">
      <c r="A668" s="262">
        <f>ROW()</f>
        <v>668</v>
      </c>
      <c r="C668" s="208"/>
      <c r="D668" s="208"/>
      <c r="E668" s="208"/>
      <c r="F668" s="208"/>
      <c r="G668" s="208"/>
      <c r="H668" s="208"/>
      <c r="L668" s="124" t="str">
        <f>VLOOKUP(M668,Sheet2!$D$2:$E$1024,2,FALSE)</f>
        <v>one</v>
      </c>
      <c r="M668" s="121">
        <f>I690</f>
        <v>1</v>
      </c>
      <c r="N668" s="132" t="s">
        <v>661</v>
      </c>
      <c r="O668" s="121" t="s">
        <v>491</v>
      </c>
      <c r="P668" s="169" t="s">
        <v>381</v>
      </c>
      <c r="Q668" s="169" t="s">
        <v>377</v>
      </c>
      <c r="R668" s="169"/>
      <c r="S668" s="133">
        <f>M668</f>
        <v>1</v>
      </c>
      <c r="T668" s="119"/>
      <c r="U668" s="121" t="s">
        <v>293</v>
      </c>
      <c r="V668" s="133">
        <f>S668</f>
        <v>1</v>
      </c>
      <c r="W668" s="133">
        <f>VLOOKUP(U668,Sheet1!$B$6:$C$45,2,FALSE)*V668</f>
        <v>0</v>
      </c>
      <c r="X668" s="141"/>
      <c r="Y668" s="121" t="s">
        <v>293</v>
      </c>
      <c r="Z668" s="146">
        <f>VLOOKUP(Takeoffs!Y668,Sheet1!$B$6:$C$124,2,FALSE)</f>
        <v>0</v>
      </c>
      <c r="AA668" s="146">
        <f>Z668*AB668</f>
        <v>0</v>
      </c>
      <c r="AB668" s="143">
        <f>AD668*AC668</f>
        <v>1</v>
      </c>
      <c r="AC668" s="133">
        <f>S668</f>
        <v>1</v>
      </c>
      <c r="AD668" s="142">
        <v>1</v>
      </c>
      <c r="AE668" s="141"/>
      <c r="AF668" s="121" t="s">
        <v>293</v>
      </c>
      <c r="AG668" s="146">
        <f>VLOOKUP(Takeoffs!AF668,Sheet1!$B$6:$C$124,2,FALSE)</f>
        <v>0</v>
      </c>
      <c r="AH668" s="146">
        <f>AG668*AI668</f>
        <v>0</v>
      </c>
      <c r="AI668" s="143">
        <f>AK668*AJ668</f>
        <v>0</v>
      </c>
      <c r="AJ668" s="133">
        <f>S668</f>
        <v>1</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342</v>
      </c>
      <c r="P669" s="121"/>
      <c r="Q669" s="66"/>
      <c r="R669" s="121"/>
      <c r="S669" s="133">
        <f>M668</f>
        <v>1</v>
      </c>
      <c r="T669" s="120"/>
      <c r="U669" s="121" t="s">
        <v>293</v>
      </c>
      <c r="V669" s="133">
        <f t="shared" ref="V669:V688" si="305">S669</f>
        <v>1</v>
      </c>
      <c r="W669" s="133">
        <f>VLOOKUP(U669,Sheet1!$B$6:$C$45,2,FALSE)*V669</f>
        <v>0</v>
      </c>
      <c r="X669" s="141"/>
      <c r="Y669" s="121" t="s">
        <v>293</v>
      </c>
      <c r="Z669" s="146">
        <f>VLOOKUP(Takeoffs!Y669,Sheet1!$B$6:$C$124,2,FALSE)</f>
        <v>0</v>
      </c>
      <c r="AA669" s="146">
        <f t="shared" ref="AA669:AA688" si="306">Z669*AB669</f>
        <v>0</v>
      </c>
      <c r="AB669" s="143">
        <f t="shared" ref="AB669:AB688" si="307">AD669*AC669</f>
        <v>1</v>
      </c>
      <c r="AC669" s="133">
        <f t="shared" ref="AC669:AC688" si="308">S669</f>
        <v>1</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1</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1</v>
      </c>
      <c r="T670" s="120"/>
      <c r="U670" s="121" t="s">
        <v>293</v>
      </c>
      <c r="V670" s="133">
        <f t="shared" si="305"/>
        <v>1</v>
      </c>
      <c r="W670" s="133">
        <f>VLOOKUP(U670,Sheet1!$B$6:$C$45,2,FALSE)*V670</f>
        <v>0</v>
      </c>
      <c r="X670" s="141"/>
      <c r="Y670" s="122" t="s">
        <v>252</v>
      </c>
      <c r="Z670" s="146">
        <f>VLOOKUP(Takeoffs!Y670,Sheet1!$B$6:$C$124,2,FALSE)</f>
        <v>43.440000000000005</v>
      </c>
      <c r="AA670" s="146">
        <f t="shared" si="306"/>
        <v>43.440000000000005</v>
      </c>
      <c r="AB670" s="143">
        <f t="shared" si="307"/>
        <v>1</v>
      </c>
      <c r="AC670" s="133">
        <f t="shared" si="308"/>
        <v>1</v>
      </c>
      <c r="AD670" s="142">
        <v>1</v>
      </c>
      <c r="AE670" s="141"/>
      <c r="AF670" s="122" t="s">
        <v>268</v>
      </c>
      <c r="AG670" s="146">
        <f>VLOOKUP(Takeoffs!AF670,Sheet1!$B$6:$C$124,2,FALSE)</f>
        <v>1.02</v>
      </c>
      <c r="AH670" s="146">
        <f t="shared" si="309"/>
        <v>20.399999999999999</v>
      </c>
      <c r="AI670" s="143">
        <f t="shared" si="310"/>
        <v>20</v>
      </c>
      <c r="AJ670" s="133">
        <f t="shared" si="311"/>
        <v>1</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492</v>
      </c>
      <c r="P671" s="121"/>
      <c r="Q671" s="66"/>
      <c r="R671" s="121"/>
      <c r="S671" s="133">
        <f>M668</f>
        <v>1</v>
      </c>
      <c r="T671" s="120"/>
      <c r="U671" s="117" t="s">
        <v>481</v>
      </c>
      <c r="V671" s="133">
        <f t="shared" si="305"/>
        <v>1</v>
      </c>
      <c r="W671" s="133">
        <f>VLOOKUP(U671,Sheet1!$B$6:$C$45,2,FALSE)*V671</f>
        <v>2</v>
      </c>
      <c r="X671" s="141"/>
      <c r="Y671" s="121" t="s">
        <v>293</v>
      </c>
      <c r="Z671" s="146">
        <f>VLOOKUP(Takeoffs!Y671,Sheet1!$B$6:$C$124,2,FALSE)</f>
        <v>0</v>
      </c>
      <c r="AA671" s="146">
        <f t="shared" si="306"/>
        <v>0</v>
      </c>
      <c r="AB671" s="143">
        <f t="shared" si="307"/>
        <v>1</v>
      </c>
      <c r="AC671" s="133">
        <f t="shared" si="308"/>
        <v>1</v>
      </c>
      <c r="AD671" s="142">
        <v>1</v>
      </c>
      <c r="AE671" s="141"/>
      <c r="AF671" s="121" t="s">
        <v>293</v>
      </c>
      <c r="AG671" s="146">
        <f>VLOOKUP(Takeoffs!AF671,Sheet1!$B$6:$C$124,2,FALSE)</f>
        <v>0</v>
      </c>
      <c r="AH671" s="146">
        <f t="shared" si="309"/>
        <v>0</v>
      </c>
      <c r="AI671" s="143">
        <f t="shared" si="310"/>
        <v>0</v>
      </c>
      <c r="AJ671" s="133">
        <f t="shared" si="311"/>
        <v>1</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1</v>
      </c>
      <c r="T672" s="120"/>
      <c r="U672" s="121" t="s">
        <v>235</v>
      </c>
      <c r="V672" s="133">
        <f t="shared" si="305"/>
        <v>1</v>
      </c>
      <c r="W672" s="133">
        <f>VLOOKUP(U672,Sheet1!$B$6:$C$45,2,FALSE)*V672</f>
        <v>1.5</v>
      </c>
      <c r="X672" s="141"/>
      <c r="Y672" s="121" t="s">
        <v>293</v>
      </c>
      <c r="Z672" s="146">
        <f>VLOOKUP(Takeoffs!Y672,Sheet1!$B$6:$C$124,2,FALSE)</f>
        <v>0</v>
      </c>
      <c r="AA672" s="146">
        <f t="shared" si="306"/>
        <v>0</v>
      </c>
      <c r="AB672" s="143">
        <f t="shared" si="307"/>
        <v>1</v>
      </c>
      <c r="AC672" s="133">
        <f t="shared" si="308"/>
        <v>1</v>
      </c>
      <c r="AD672" s="142">
        <v>1</v>
      </c>
      <c r="AE672" s="141"/>
      <c r="AF672" s="121" t="s">
        <v>293</v>
      </c>
      <c r="AG672" s="146">
        <f>VLOOKUP(Takeoffs!AF672,Sheet1!$B$6:$C$124,2,FALSE)</f>
        <v>0</v>
      </c>
      <c r="AH672" s="146">
        <f t="shared" si="309"/>
        <v>0</v>
      </c>
      <c r="AI672" s="143">
        <f t="shared" si="310"/>
        <v>0</v>
      </c>
      <c r="AJ672" s="133">
        <f t="shared" si="311"/>
        <v>1</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1</v>
      </c>
      <c r="T673" s="120"/>
      <c r="U673" s="121" t="s">
        <v>293</v>
      </c>
      <c r="V673" s="133">
        <f t="shared" si="305"/>
        <v>1</v>
      </c>
      <c r="W673" s="133">
        <f>VLOOKUP(U673,Sheet1!$B$6:$C$45,2,FALSE)*V673</f>
        <v>0</v>
      </c>
      <c r="X673" s="141"/>
      <c r="Y673" s="121" t="s">
        <v>293</v>
      </c>
      <c r="Z673" s="146">
        <f>VLOOKUP(Takeoffs!Y673,Sheet1!$B$6:$C$124,2,FALSE)</f>
        <v>0</v>
      </c>
      <c r="AA673" s="146">
        <f t="shared" si="306"/>
        <v>0</v>
      </c>
      <c r="AB673" s="143">
        <f t="shared" si="307"/>
        <v>1</v>
      </c>
      <c r="AC673" s="133">
        <f t="shared" si="308"/>
        <v>1</v>
      </c>
      <c r="AD673" s="142">
        <v>1</v>
      </c>
      <c r="AE673" s="141"/>
      <c r="AF673" s="122" t="s">
        <v>268</v>
      </c>
      <c r="AG673" s="146">
        <f>VLOOKUP(Takeoffs!AF673,Sheet1!$B$6:$C$124,2,FALSE)</f>
        <v>1.02</v>
      </c>
      <c r="AH673" s="146">
        <f t="shared" si="309"/>
        <v>3.06</v>
      </c>
      <c r="AI673" s="143">
        <f t="shared" si="310"/>
        <v>3</v>
      </c>
      <c r="AJ673" s="133">
        <f t="shared" si="311"/>
        <v>1</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408</v>
      </c>
      <c r="P674" s="121"/>
      <c r="Q674" s="66"/>
      <c r="R674" s="121"/>
      <c r="S674" s="133">
        <f>M668</f>
        <v>1</v>
      </c>
      <c r="T674" s="120"/>
      <c r="U674" s="121" t="s">
        <v>293</v>
      </c>
      <c r="V674" s="133">
        <f t="shared" si="305"/>
        <v>1</v>
      </c>
      <c r="W674" s="133">
        <f>VLOOKUP(U674,Sheet1!$B$6:$C$45,2,FALSE)*V674</f>
        <v>0</v>
      </c>
      <c r="X674" s="141"/>
      <c r="Y674" s="121" t="s">
        <v>293</v>
      </c>
      <c r="Z674" s="146">
        <f>VLOOKUP(Takeoffs!Y674,Sheet1!$B$6:$C$124,2,FALSE)</f>
        <v>0</v>
      </c>
      <c r="AA674" s="146">
        <f t="shared" si="306"/>
        <v>0</v>
      </c>
      <c r="AB674" s="143">
        <f t="shared" si="307"/>
        <v>1</v>
      </c>
      <c r="AC674" s="133">
        <f t="shared" si="308"/>
        <v>1</v>
      </c>
      <c r="AD674" s="142">
        <v>1</v>
      </c>
      <c r="AE674" s="141"/>
      <c r="AF674" s="121" t="s">
        <v>293</v>
      </c>
      <c r="AG674" s="146">
        <f>VLOOKUP(Takeoffs!AF674,Sheet1!$B$6:$C$124,2,FALSE)</f>
        <v>0</v>
      </c>
      <c r="AH674" s="146">
        <f t="shared" si="309"/>
        <v>0</v>
      </c>
      <c r="AI674" s="143">
        <f t="shared" si="310"/>
        <v>0</v>
      </c>
      <c r="AJ674" s="133">
        <f t="shared" si="311"/>
        <v>1</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1</v>
      </c>
      <c r="T675" s="120"/>
      <c r="U675" s="121" t="s">
        <v>293</v>
      </c>
      <c r="V675" s="133">
        <f t="shared" si="305"/>
        <v>1</v>
      </c>
      <c r="W675" s="133">
        <f>VLOOKUP(U675,Sheet1!$B$6:$C$45,2,FALSE)*V675</f>
        <v>0</v>
      </c>
      <c r="X675" s="141"/>
      <c r="Y675" s="121" t="s">
        <v>293</v>
      </c>
      <c r="Z675" s="146">
        <f>VLOOKUP(Takeoffs!Y675,Sheet1!$B$6:$C$124,2,FALSE)</f>
        <v>0</v>
      </c>
      <c r="AA675" s="146">
        <f t="shared" si="306"/>
        <v>0</v>
      </c>
      <c r="AB675" s="143">
        <f t="shared" si="307"/>
        <v>1</v>
      </c>
      <c r="AC675" s="133">
        <f t="shared" si="308"/>
        <v>1</v>
      </c>
      <c r="AD675" s="142">
        <v>1</v>
      </c>
      <c r="AE675" s="141"/>
      <c r="AF675" s="121" t="s">
        <v>293</v>
      </c>
      <c r="AG675" s="146">
        <f>VLOOKUP(Takeoffs!AF675,Sheet1!$B$6:$C$124,2,FALSE)</f>
        <v>0</v>
      </c>
      <c r="AH675" s="146">
        <f t="shared" si="309"/>
        <v>0</v>
      </c>
      <c r="AI675" s="143">
        <f t="shared" si="310"/>
        <v>0</v>
      </c>
      <c r="AJ675" s="133">
        <f t="shared" si="311"/>
        <v>1</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330</v>
      </c>
      <c r="P676" s="121"/>
      <c r="Q676" s="66"/>
      <c r="R676" s="121"/>
      <c r="S676" s="133">
        <f>M668</f>
        <v>1</v>
      </c>
      <c r="T676" s="120"/>
      <c r="U676" s="121" t="s">
        <v>366</v>
      </c>
      <c r="V676" s="133">
        <f t="shared" si="305"/>
        <v>1</v>
      </c>
      <c r="W676" s="133">
        <f>VLOOKUP(U676,Sheet1!$B$6:$C$45,2,FALSE)*V676</f>
        <v>2</v>
      </c>
      <c r="X676" s="141"/>
      <c r="Y676" s="121" t="s">
        <v>293</v>
      </c>
      <c r="Z676" s="146">
        <f>VLOOKUP(Takeoffs!Y676,Sheet1!$B$6:$C$124,2,FALSE)</f>
        <v>0</v>
      </c>
      <c r="AA676" s="146">
        <f t="shared" si="306"/>
        <v>0</v>
      </c>
      <c r="AB676" s="143">
        <f t="shared" si="307"/>
        <v>1</v>
      </c>
      <c r="AC676" s="133">
        <f t="shared" si="308"/>
        <v>1</v>
      </c>
      <c r="AD676" s="142">
        <v>1</v>
      </c>
      <c r="AE676" s="141"/>
      <c r="AF676" s="121" t="s">
        <v>293</v>
      </c>
      <c r="AG676" s="146">
        <f>VLOOKUP(Takeoffs!AF676,Sheet1!$B$6:$C$124,2,FALSE)</f>
        <v>0</v>
      </c>
      <c r="AH676" s="146">
        <f t="shared" si="309"/>
        <v>0</v>
      </c>
      <c r="AI676" s="143">
        <f t="shared" si="310"/>
        <v>0</v>
      </c>
      <c r="AJ676" s="133">
        <f t="shared" si="311"/>
        <v>1</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1</v>
      </c>
      <c r="T677" s="120"/>
      <c r="U677" s="121" t="s">
        <v>293</v>
      </c>
      <c r="V677" s="133">
        <f t="shared" si="305"/>
        <v>1</v>
      </c>
      <c r="W677" s="133">
        <f>VLOOKUP(U677,Sheet1!$B$6:$C$45,2,FALSE)*V677</f>
        <v>0</v>
      </c>
      <c r="X677" s="141"/>
      <c r="Y677" s="121" t="s">
        <v>293</v>
      </c>
      <c r="Z677" s="146">
        <f>VLOOKUP(Takeoffs!Y677,Sheet1!$B$6:$C$124,2,FALSE)</f>
        <v>0</v>
      </c>
      <c r="AA677" s="146">
        <f t="shared" si="306"/>
        <v>0</v>
      </c>
      <c r="AB677" s="143">
        <f t="shared" si="307"/>
        <v>1</v>
      </c>
      <c r="AC677" s="133">
        <f t="shared" si="308"/>
        <v>1</v>
      </c>
      <c r="AD677" s="142">
        <v>1</v>
      </c>
      <c r="AE677" s="141"/>
      <c r="AF677" s="121" t="s">
        <v>293</v>
      </c>
      <c r="AG677" s="146">
        <f>VLOOKUP(Takeoffs!AF677,Sheet1!$B$6:$C$124,2,FALSE)</f>
        <v>0</v>
      </c>
      <c r="AH677" s="146">
        <f t="shared" si="309"/>
        <v>0</v>
      </c>
      <c r="AI677" s="143">
        <f t="shared" si="310"/>
        <v>0</v>
      </c>
      <c r="AJ677" s="133">
        <f t="shared" si="311"/>
        <v>1</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1</v>
      </c>
      <c r="T678" s="120"/>
      <c r="U678" s="121" t="s">
        <v>293</v>
      </c>
      <c r="V678" s="133">
        <f t="shared" si="305"/>
        <v>1</v>
      </c>
      <c r="W678" s="133">
        <f>VLOOKUP(U678,Sheet1!$B$6:$C$45,2,FALSE)*V678</f>
        <v>0</v>
      </c>
      <c r="X678" s="141"/>
      <c r="Y678" s="121" t="s">
        <v>293</v>
      </c>
      <c r="Z678" s="146">
        <f>VLOOKUP(Takeoffs!Y678,Sheet1!$B$6:$C$124,2,FALSE)</f>
        <v>0</v>
      </c>
      <c r="AA678" s="146">
        <f t="shared" si="306"/>
        <v>0</v>
      </c>
      <c r="AB678" s="143">
        <f t="shared" si="307"/>
        <v>1</v>
      </c>
      <c r="AC678" s="133">
        <f t="shared" si="308"/>
        <v>1</v>
      </c>
      <c r="AD678" s="142">
        <v>1</v>
      </c>
      <c r="AE678" s="141"/>
      <c r="AF678" s="121" t="s">
        <v>293</v>
      </c>
      <c r="AG678" s="146">
        <f>VLOOKUP(Takeoffs!AF678,Sheet1!$B$6:$C$124,2,FALSE)</f>
        <v>0</v>
      </c>
      <c r="AH678" s="146">
        <f t="shared" si="309"/>
        <v>0</v>
      </c>
      <c r="AI678" s="143">
        <f t="shared" si="310"/>
        <v>0</v>
      </c>
      <c r="AJ678" s="133">
        <f t="shared" si="311"/>
        <v>1</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662</v>
      </c>
      <c r="P679" s="121"/>
      <c r="Q679" s="66"/>
      <c r="R679" s="121"/>
      <c r="S679" s="133">
        <f>M668</f>
        <v>1</v>
      </c>
      <c r="T679" s="120"/>
      <c r="U679" s="121" t="s">
        <v>293</v>
      </c>
      <c r="V679" s="133">
        <f t="shared" si="305"/>
        <v>1</v>
      </c>
      <c r="W679" s="133">
        <f>VLOOKUP(U679,Sheet1!$B$6:$C$45,2,FALSE)*V679</f>
        <v>0</v>
      </c>
      <c r="X679" s="141"/>
      <c r="Y679" s="135" t="s">
        <v>591</v>
      </c>
      <c r="Z679" s="146">
        <f>VLOOKUP(Takeoffs!Y679,Sheet1!$B$6:$C$124,2,FALSE)</f>
        <v>96</v>
      </c>
      <c r="AA679" s="146">
        <f t="shared" si="306"/>
        <v>96</v>
      </c>
      <c r="AB679" s="143">
        <f t="shared" si="307"/>
        <v>1</v>
      </c>
      <c r="AC679" s="133">
        <f t="shared" si="308"/>
        <v>1</v>
      </c>
      <c r="AD679" s="142">
        <v>1</v>
      </c>
      <c r="AE679" s="141"/>
      <c r="AF679" s="121" t="s">
        <v>293</v>
      </c>
      <c r="AG679" s="146">
        <f>VLOOKUP(Takeoffs!AF679,Sheet1!$B$6:$C$124,2,FALSE)</f>
        <v>0</v>
      </c>
      <c r="AH679" s="146">
        <f t="shared" si="309"/>
        <v>0</v>
      </c>
      <c r="AI679" s="143">
        <f t="shared" si="310"/>
        <v>0</v>
      </c>
      <c r="AJ679" s="133">
        <f t="shared" si="311"/>
        <v>1</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1</v>
      </c>
      <c r="T680" s="120"/>
      <c r="U680" s="121" t="s">
        <v>293</v>
      </c>
      <c r="V680" s="133">
        <f t="shared" si="305"/>
        <v>1</v>
      </c>
      <c r="W680" s="133">
        <f>VLOOKUP(U680,Sheet1!$B$6:$C$45,2,FALSE)*V680</f>
        <v>0</v>
      </c>
      <c r="X680" s="141"/>
      <c r="Y680" s="121" t="s">
        <v>293</v>
      </c>
      <c r="Z680" s="146">
        <f>VLOOKUP(Takeoffs!Y680,Sheet1!$B$6:$C$124,2,FALSE)</f>
        <v>0</v>
      </c>
      <c r="AA680" s="146">
        <f t="shared" si="306"/>
        <v>0</v>
      </c>
      <c r="AB680" s="143">
        <f t="shared" si="307"/>
        <v>1</v>
      </c>
      <c r="AC680" s="133">
        <f t="shared" si="308"/>
        <v>1</v>
      </c>
      <c r="AD680" s="142">
        <v>1</v>
      </c>
      <c r="AE680" s="141"/>
      <c r="AF680" s="152" t="s">
        <v>420</v>
      </c>
      <c r="AG680" s="146">
        <f>VLOOKUP(Takeoffs!AF680,Sheet1!$B$6:$C$124,2,FALSE)</f>
        <v>0.33600000000000002</v>
      </c>
      <c r="AH680" s="146">
        <f t="shared" si="309"/>
        <v>0.33600000000000002</v>
      </c>
      <c r="AI680" s="143">
        <f t="shared" si="310"/>
        <v>1</v>
      </c>
      <c r="AJ680" s="133">
        <f t="shared" si="311"/>
        <v>1</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1</v>
      </c>
      <c r="T681" s="120"/>
      <c r="U681" s="121" t="s">
        <v>232</v>
      </c>
      <c r="V681" s="133">
        <f t="shared" si="305"/>
        <v>1</v>
      </c>
      <c r="W681" s="133">
        <f>VLOOKUP(U681,Sheet1!$B$6:$C$45,2,FALSE)*V681</f>
        <v>1</v>
      </c>
      <c r="X681" s="141"/>
      <c r="Y681" s="122" t="s">
        <v>281</v>
      </c>
      <c r="Z681" s="146">
        <f>VLOOKUP(Takeoffs!Y681,Sheet1!$B$6:$C$124,2,FALSE)</f>
        <v>109.25999999999999</v>
      </c>
      <c r="AA681" s="146">
        <f t="shared" si="306"/>
        <v>109.25999999999999</v>
      </c>
      <c r="AB681" s="143">
        <f t="shared" si="307"/>
        <v>1</v>
      </c>
      <c r="AC681" s="133">
        <f t="shared" si="308"/>
        <v>1</v>
      </c>
      <c r="AD681" s="142">
        <v>1</v>
      </c>
      <c r="AE681" s="141"/>
      <c r="AF681" s="121" t="s">
        <v>293</v>
      </c>
      <c r="AG681" s="146">
        <f>VLOOKUP(Takeoffs!AF681,Sheet1!$B$6:$C$124,2,FALSE)</f>
        <v>0</v>
      </c>
      <c r="AH681" s="146">
        <f t="shared" si="309"/>
        <v>0</v>
      </c>
      <c r="AI681" s="143">
        <f t="shared" si="310"/>
        <v>0</v>
      </c>
      <c r="AJ681" s="133">
        <f t="shared" si="311"/>
        <v>1</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347</v>
      </c>
      <c r="P682" s="121" t="s">
        <v>382</v>
      </c>
      <c r="Q682" s="66" t="s">
        <v>386</v>
      </c>
      <c r="R682" s="121"/>
      <c r="S682" s="133">
        <f>M668</f>
        <v>1</v>
      </c>
      <c r="T682" s="120"/>
      <c r="U682" s="121" t="s">
        <v>293</v>
      </c>
      <c r="V682" s="133">
        <f t="shared" si="305"/>
        <v>1</v>
      </c>
      <c r="W682" s="133">
        <f>VLOOKUP(U682,Sheet1!$B$6:$C$45,2,FALSE)*V682</f>
        <v>0</v>
      </c>
      <c r="X682" s="141"/>
      <c r="Y682" s="122" t="s">
        <v>328</v>
      </c>
      <c r="Z682" s="146">
        <f>VLOOKUP(Takeoffs!Y682,Sheet1!$B$6:$C$124,2,FALSE)</f>
        <v>29.04</v>
      </c>
      <c r="AA682" s="146">
        <f t="shared" si="306"/>
        <v>29.04</v>
      </c>
      <c r="AB682" s="143">
        <f t="shared" si="307"/>
        <v>1</v>
      </c>
      <c r="AC682" s="133">
        <f t="shared" si="308"/>
        <v>1</v>
      </c>
      <c r="AD682" s="142">
        <v>1</v>
      </c>
      <c r="AE682" s="141"/>
      <c r="AF682" s="121" t="s">
        <v>293</v>
      </c>
      <c r="AG682" s="146">
        <f>VLOOKUP(Takeoffs!AF682,Sheet1!$B$6:$C$124,2,FALSE)</f>
        <v>0</v>
      </c>
      <c r="AH682" s="146">
        <f t="shared" si="309"/>
        <v>0</v>
      </c>
      <c r="AI682" s="143">
        <f t="shared" si="310"/>
        <v>0</v>
      </c>
      <c r="AJ682" s="133">
        <f t="shared" si="311"/>
        <v>1</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339</v>
      </c>
      <c r="P683" s="121"/>
      <c r="Q683" s="66"/>
      <c r="R683" s="121" t="s">
        <v>333</v>
      </c>
      <c r="S683" s="133">
        <f>M668</f>
        <v>1</v>
      </c>
      <c r="T683" s="120"/>
      <c r="U683" s="121" t="s">
        <v>293</v>
      </c>
      <c r="V683" s="133">
        <f t="shared" si="305"/>
        <v>1</v>
      </c>
      <c r="W683" s="133">
        <f>VLOOKUP(U683,Sheet1!$B$6:$C$45,2,FALSE)*V683</f>
        <v>0</v>
      </c>
      <c r="X683" s="141"/>
      <c r="Y683" s="122" t="s">
        <v>280</v>
      </c>
      <c r="Z683" s="146">
        <f>VLOOKUP(Takeoffs!Y683,Sheet1!$B$6:$C$124,2,FALSE)</f>
        <v>19.2</v>
      </c>
      <c r="AA683" s="146">
        <f t="shared" si="306"/>
        <v>38.4</v>
      </c>
      <c r="AB683" s="143">
        <f t="shared" si="307"/>
        <v>2</v>
      </c>
      <c r="AC683" s="133">
        <f t="shared" si="308"/>
        <v>1</v>
      </c>
      <c r="AD683" s="142">
        <v>2</v>
      </c>
      <c r="AE683" s="141"/>
      <c r="AF683" s="121" t="s">
        <v>293</v>
      </c>
      <c r="AG683" s="146">
        <f>VLOOKUP(Takeoffs!AF683,Sheet1!$B$6:$C$124,2,FALSE)</f>
        <v>0</v>
      </c>
      <c r="AH683" s="146">
        <f t="shared" si="309"/>
        <v>0</v>
      </c>
      <c r="AI683" s="143">
        <f t="shared" si="310"/>
        <v>0</v>
      </c>
      <c r="AJ683" s="133">
        <f t="shared" si="311"/>
        <v>1</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502</v>
      </c>
      <c r="P684" s="121"/>
      <c r="Q684" s="66"/>
      <c r="R684" s="121"/>
      <c r="S684" s="133">
        <f>M668</f>
        <v>1</v>
      </c>
      <c r="T684" s="120"/>
      <c r="U684" s="121" t="s">
        <v>293</v>
      </c>
      <c r="V684" s="133">
        <f t="shared" si="305"/>
        <v>1</v>
      </c>
      <c r="W684" s="133">
        <f>VLOOKUP(U684,Sheet1!$B$6:$C$45,2,FALSE)*V684</f>
        <v>0</v>
      </c>
      <c r="X684" s="141"/>
      <c r="Y684" s="135" t="s">
        <v>424</v>
      </c>
      <c r="Z684" s="146">
        <f>VLOOKUP(Takeoffs!Y684,Sheet1!$B$6:$C$124,2,FALSE)</f>
        <v>23.4</v>
      </c>
      <c r="AA684" s="146">
        <f t="shared" si="306"/>
        <v>23.4</v>
      </c>
      <c r="AB684" s="143">
        <f t="shared" si="307"/>
        <v>1</v>
      </c>
      <c r="AC684" s="133">
        <f t="shared" si="308"/>
        <v>1</v>
      </c>
      <c r="AD684" s="142">
        <v>1</v>
      </c>
      <c r="AE684" s="141"/>
      <c r="AF684" s="121" t="s">
        <v>293</v>
      </c>
      <c r="AG684" s="146">
        <f>VLOOKUP(Takeoffs!AF684,Sheet1!$B$6:$C$124,2,FALSE)</f>
        <v>0</v>
      </c>
      <c r="AH684" s="146">
        <f t="shared" si="309"/>
        <v>0</v>
      </c>
      <c r="AI684" s="143">
        <f t="shared" si="310"/>
        <v>0</v>
      </c>
      <c r="AJ684" s="133">
        <f t="shared" si="311"/>
        <v>1</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331</v>
      </c>
      <c r="P685" s="121"/>
      <c r="Q685" s="66"/>
      <c r="R685" s="121" t="s">
        <v>305</v>
      </c>
      <c r="S685" s="133">
        <f>M668</f>
        <v>1</v>
      </c>
      <c r="T685" s="120"/>
      <c r="U685" s="121" t="s">
        <v>293</v>
      </c>
      <c r="V685" s="133">
        <f t="shared" si="305"/>
        <v>1</v>
      </c>
      <c r="W685" s="133">
        <f>VLOOKUP(U685,Sheet1!$B$6:$C$45,2,FALSE)*V685</f>
        <v>0</v>
      </c>
      <c r="X685" s="141"/>
      <c r="Y685" s="122" t="s">
        <v>277</v>
      </c>
      <c r="Z685" s="146">
        <f>VLOOKUP(Takeoffs!Y685,Sheet1!$B$6:$C$124,2,FALSE)</f>
        <v>69.540000000000006</v>
      </c>
      <c r="AA685" s="146">
        <f t="shared" si="306"/>
        <v>69.540000000000006</v>
      </c>
      <c r="AB685" s="143">
        <f t="shared" si="307"/>
        <v>1</v>
      </c>
      <c r="AC685" s="133">
        <f t="shared" si="308"/>
        <v>1</v>
      </c>
      <c r="AD685" s="142">
        <v>1</v>
      </c>
      <c r="AE685" s="141"/>
      <c r="AF685" s="121" t="s">
        <v>293</v>
      </c>
      <c r="AG685" s="146">
        <f>VLOOKUP(Takeoffs!AF685,Sheet1!$B$6:$C$124,2,FALSE)</f>
        <v>0</v>
      </c>
      <c r="AH685" s="146">
        <f t="shared" si="309"/>
        <v>0</v>
      </c>
      <c r="AI685" s="143">
        <f t="shared" si="310"/>
        <v>0</v>
      </c>
      <c r="AJ685" s="133">
        <f t="shared" si="311"/>
        <v>1</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663</v>
      </c>
      <c r="P686" s="121"/>
      <c r="Q686" s="66"/>
      <c r="R686" s="121"/>
      <c r="S686" s="133">
        <f>M668</f>
        <v>1</v>
      </c>
      <c r="T686" s="120"/>
      <c r="U686" s="121" t="s">
        <v>293</v>
      </c>
      <c r="V686" s="133">
        <f t="shared" si="305"/>
        <v>1</v>
      </c>
      <c r="W686" s="133">
        <f>VLOOKUP(U686,Sheet1!$B$6:$C$45,2,FALSE)*V686</f>
        <v>0</v>
      </c>
      <c r="X686" s="141"/>
      <c r="Y686" s="135" t="s">
        <v>424</v>
      </c>
      <c r="Z686" s="146">
        <f>VLOOKUP(Takeoffs!Y686,Sheet1!$B$6:$C$124,2,FALSE)</f>
        <v>23.4</v>
      </c>
      <c r="AA686" s="146">
        <f t="shared" si="306"/>
        <v>23.4</v>
      </c>
      <c r="AB686" s="143">
        <f t="shared" si="307"/>
        <v>1</v>
      </c>
      <c r="AC686" s="133">
        <f t="shared" si="308"/>
        <v>1</v>
      </c>
      <c r="AD686" s="142">
        <v>1</v>
      </c>
      <c r="AE686" s="141"/>
      <c r="AF686" s="121" t="s">
        <v>293</v>
      </c>
      <c r="AG686" s="146">
        <f>VLOOKUP(Takeoffs!AF686,Sheet1!$B$6:$C$124,2,FALSE)</f>
        <v>0</v>
      </c>
      <c r="AH686" s="146">
        <f t="shared" si="309"/>
        <v>0</v>
      </c>
      <c r="AI686" s="143">
        <f t="shared" si="310"/>
        <v>0</v>
      </c>
      <c r="AJ686" s="133">
        <f t="shared" si="311"/>
        <v>1</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409</v>
      </c>
      <c r="P687" s="121"/>
      <c r="Q687" s="66"/>
      <c r="R687" s="121"/>
      <c r="S687" s="133">
        <f>M668</f>
        <v>1</v>
      </c>
      <c r="T687" s="120"/>
      <c r="U687" s="121" t="s">
        <v>293</v>
      </c>
      <c r="V687" s="133">
        <f t="shared" si="305"/>
        <v>1</v>
      </c>
      <c r="W687" s="133">
        <f>VLOOKUP(U687,Sheet1!$B$6:$C$45,2,FALSE)*V687</f>
        <v>0</v>
      </c>
      <c r="X687" s="141"/>
      <c r="Y687" s="121" t="s">
        <v>274</v>
      </c>
      <c r="Z687" s="146">
        <f>VLOOKUP(Takeoffs!Y687,Sheet1!$B$6:$C$124,2,FALSE)</f>
        <v>360</v>
      </c>
      <c r="AA687" s="146">
        <f t="shared" si="306"/>
        <v>360</v>
      </c>
      <c r="AB687" s="143">
        <f t="shared" si="307"/>
        <v>1</v>
      </c>
      <c r="AC687" s="133">
        <f t="shared" si="308"/>
        <v>1</v>
      </c>
      <c r="AD687" s="142">
        <v>1</v>
      </c>
      <c r="AE687" s="141"/>
      <c r="AF687" s="121" t="s">
        <v>293</v>
      </c>
      <c r="AG687" s="146">
        <f>VLOOKUP(Takeoffs!AF687,Sheet1!$B$6:$C$124,2,FALSE)</f>
        <v>0</v>
      </c>
      <c r="AH687" s="146">
        <f t="shared" si="309"/>
        <v>0</v>
      </c>
      <c r="AI687" s="143">
        <f t="shared" si="310"/>
        <v>0</v>
      </c>
      <c r="AJ687" s="133">
        <f t="shared" si="311"/>
        <v>1</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410</v>
      </c>
      <c r="P688" s="121"/>
      <c r="Q688" s="66"/>
      <c r="R688" s="121"/>
      <c r="S688" s="133">
        <f>M668</f>
        <v>1</v>
      </c>
      <c r="T688" s="120"/>
      <c r="U688" s="121" t="s">
        <v>364</v>
      </c>
      <c r="V688" s="133">
        <f t="shared" si="305"/>
        <v>1</v>
      </c>
      <c r="W688" s="133">
        <f>VLOOKUP(U688,Sheet1!$B$6:$C$45,2,FALSE)*V688</f>
        <v>1</v>
      </c>
      <c r="X688" s="141"/>
      <c r="Y688" s="121" t="s">
        <v>293</v>
      </c>
      <c r="Z688" s="146">
        <f>VLOOKUP(Takeoffs!Y688,Sheet1!$B$6:$C$124,2,FALSE)</f>
        <v>0</v>
      </c>
      <c r="AA688" s="146">
        <f t="shared" si="306"/>
        <v>0</v>
      </c>
      <c r="AB688" s="143">
        <f t="shared" si="307"/>
        <v>1</v>
      </c>
      <c r="AC688" s="133">
        <f t="shared" si="308"/>
        <v>1</v>
      </c>
      <c r="AD688" s="142">
        <v>1</v>
      </c>
      <c r="AE688" s="141"/>
      <c r="AF688" s="121" t="s">
        <v>293</v>
      </c>
      <c r="AG688" s="146">
        <f>VLOOKUP(Takeoffs!AF688,Sheet1!$B$6:$C$124,2,FALSE)</f>
        <v>0</v>
      </c>
      <c r="AH688" s="146">
        <f t="shared" si="309"/>
        <v>0</v>
      </c>
      <c r="AI688" s="143">
        <f t="shared" si="310"/>
        <v>0</v>
      </c>
      <c r="AJ688" s="133">
        <f t="shared" si="311"/>
        <v>1</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379</v>
      </c>
      <c r="L689" s="128" t="s">
        <v>380</v>
      </c>
      <c r="N689" s="129"/>
      <c r="O689" s="130" t="s">
        <v>359</v>
      </c>
      <c r="P689" s="155">
        <f>V689+AA689+AH689</f>
        <v>1416.2760000000001</v>
      </c>
      <c r="Q689" s="155"/>
      <c r="R689" s="131"/>
      <c r="S689" s="130"/>
      <c r="T689" s="127"/>
      <c r="U689" s="126" t="s">
        <v>353</v>
      </c>
      <c r="V689" s="127">
        <f>W689*80</f>
        <v>600</v>
      </c>
      <c r="W689" s="147">
        <f>SUM(W668:W688)</f>
        <v>7.5</v>
      </c>
      <c r="X689" s="148"/>
      <c r="Y689" s="127" t="s">
        <v>354</v>
      </c>
      <c r="Z689" s="116"/>
      <c r="AA689" s="116">
        <f>SUM(AA668:AA688)</f>
        <v>792.48</v>
      </c>
      <c r="AB689" s="149"/>
      <c r="AC689" s="149"/>
      <c r="AD689" s="149"/>
      <c r="AE689" s="149"/>
      <c r="AF689" s="127" t="s">
        <v>358</v>
      </c>
      <c r="AG689" s="116"/>
      <c r="AH689" s="116">
        <f>SUM(AH668:AH688)</f>
        <v>23.795999999999996</v>
      </c>
      <c r="AI689" s="149"/>
      <c r="AJ689" s="149"/>
      <c r="AK689" s="149"/>
      <c r="AL689" s="149"/>
      <c r="AM689" s="150">
        <f>P689</f>
        <v>1416.2760000000001</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494</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v>1</v>
      </c>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one (1)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1416.2760000000001</v>
      </c>
      <c r="L690" s="235" t="str">
        <f>CONCATENATE(Q669,Q670,Q671,Q672,Q673,Q674,Q675,Q676,Q677,Q678,Q679,Q680,Q681,Q682,Q683,Q684,Q685,Q686,Q687,Q688,)</f>
        <v>fire cabling from FIP.</v>
      </c>
      <c r="M690" s="166" t="s">
        <v>369</v>
      </c>
      <c r="N690" s="160" t="str">
        <f>N668</f>
        <v>DOL fan with interlock with lights an run on timer - from MSSB power supply and timeclock control</v>
      </c>
      <c r="O690" s="185" t="s">
        <v>367</v>
      </c>
      <c r="P690" s="203">
        <f>P689/M668</f>
        <v>1416.2760000000001</v>
      </c>
      <c r="Q690" s="195"/>
      <c r="R690" s="188"/>
      <c r="S690" s="160"/>
      <c r="T690" s="161"/>
      <c r="U690" s="327" t="s">
        <v>368</v>
      </c>
      <c r="V690" s="327"/>
      <c r="W690" s="162">
        <f>W689/M668</f>
        <v>7.5</v>
      </c>
      <c r="X690" s="163"/>
      <c r="Y690" s="325" t="s">
        <v>367</v>
      </c>
      <c r="Z690" s="325"/>
      <c r="AA690" s="164">
        <f>AA689/M668</f>
        <v>792.48</v>
      </c>
      <c r="AB690" s="161"/>
      <c r="AC690" s="161"/>
      <c r="AD690" s="161"/>
      <c r="AE690" s="161"/>
      <c r="AF690" s="325" t="s">
        <v>367</v>
      </c>
      <c r="AG690" s="325"/>
      <c r="AH690" s="164">
        <f>AH689/M668</f>
        <v>23.795999999999996</v>
      </c>
      <c r="AI690" s="161"/>
      <c r="AJ690" s="161"/>
      <c r="AK690" s="161"/>
      <c r="AL690" s="247"/>
      <c r="AM690" s="257"/>
      <c r="AN690" s="230">
        <f>K690*1.25</f>
        <v>1770.345</v>
      </c>
      <c r="AO690" s="286"/>
      <c r="AP690" s="284">
        <f t="shared" si="300"/>
        <v>1416.2760000000001</v>
      </c>
      <c r="AQ690" s="281">
        <f t="shared" si="301"/>
        <v>600</v>
      </c>
      <c r="AR690" s="284">
        <f t="shared" si="302"/>
        <v>792.48</v>
      </c>
      <c r="AS690" s="281">
        <f t="shared" si="303"/>
        <v>23.795999999999996</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5">
      <c r="A691" s="262">
        <f>ROW()</f>
        <v>691</v>
      </c>
      <c r="C691" s="211"/>
      <c r="D691" s="211"/>
      <c r="E691" s="211"/>
      <c r="F691" s="211"/>
      <c r="G691" s="211"/>
      <c r="H691" s="211"/>
      <c r="K691" s="116" t="s">
        <v>454</v>
      </c>
      <c r="M691" s="116" t="s">
        <v>107</v>
      </c>
      <c r="N691" s="116" t="s">
        <v>108</v>
      </c>
      <c r="O691" s="170" t="s">
        <v>388</v>
      </c>
      <c r="P691" s="326" t="s">
        <v>377</v>
      </c>
      <c r="Q691" s="326"/>
      <c r="R691" s="101" t="s">
        <v>454</v>
      </c>
      <c r="S691" s="116" t="s">
        <v>0</v>
      </c>
      <c r="T691" s="118"/>
      <c r="U691" s="116" t="s">
        <v>288</v>
      </c>
      <c r="V691" s="116" t="s">
        <v>289</v>
      </c>
      <c r="W691" s="116" t="s">
        <v>292</v>
      </c>
      <c r="X691" s="140"/>
      <c r="Y691" s="116" t="s">
        <v>290</v>
      </c>
      <c r="Z691" s="116" t="s">
        <v>356</v>
      </c>
      <c r="AA691" s="116" t="s">
        <v>357</v>
      </c>
      <c r="AB691" s="116" t="s">
        <v>319</v>
      </c>
      <c r="AC691" s="116" t="s">
        <v>320</v>
      </c>
      <c r="AD691" s="116" t="s">
        <v>318</v>
      </c>
      <c r="AE691" s="140"/>
      <c r="AF691" s="116" t="s">
        <v>294</v>
      </c>
      <c r="AG691" s="116" t="s">
        <v>356</v>
      </c>
      <c r="AH691" s="116" t="s">
        <v>357</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5">
      <c r="A692" s="262">
        <f>ROW()</f>
        <v>692</v>
      </c>
      <c r="C692" s="208"/>
      <c r="D692" s="208"/>
      <c r="E692" s="208"/>
      <c r="F692" s="208"/>
      <c r="G692" s="208"/>
      <c r="H692" s="208"/>
      <c r="L692" s="124" t="str">
        <f>VLOOKUP(M692,Sheet2!$D$2:$E$1024,2,FALSE)</f>
        <v>one</v>
      </c>
      <c r="M692" s="121">
        <f>I714</f>
        <v>1</v>
      </c>
      <c r="N692" s="132" t="s">
        <v>689</v>
      </c>
      <c r="O692" s="121" t="s">
        <v>491</v>
      </c>
      <c r="P692" s="169" t="s">
        <v>381</v>
      </c>
      <c r="Q692" s="169" t="s">
        <v>377</v>
      </c>
      <c r="R692" s="169"/>
      <c r="S692" s="133">
        <f>M692</f>
        <v>1</v>
      </c>
      <c r="T692" s="119"/>
      <c r="U692" s="121" t="s">
        <v>293</v>
      </c>
      <c r="V692" s="133">
        <f>S692</f>
        <v>1</v>
      </c>
      <c r="W692" s="133">
        <f>VLOOKUP(U692,Sheet1!$B$6:$C$45,2,FALSE)*V692</f>
        <v>0</v>
      </c>
      <c r="X692" s="141"/>
      <c r="Y692" s="121" t="s">
        <v>293</v>
      </c>
      <c r="Z692" s="146">
        <f>VLOOKUP(Takeoffs!Y692,Sheet1!$B$6:$C$124,2,FALSE)</f>
        <v>0</v>
      </c>
      <c r="AA692" s="146">
        <f>Z692*AB692</f>
        <v>0</v>
      </c>
      <c r="AB692" s="143">
        <f>AD692*AC692</f>
        <v>1</v>
      </c>
      <c r="AC692" s="133">
        <f>S692</f>
        <v>1</v>
      </c>
      <c r="AD692" s="142">
        <v>1</v>
      </c>
      <c r="AE692" s="141"/>
      <c r="AF692" s="121" t="s">
        <v>293</v>
      </c>
      <c r="AG692" s="146">
        <f>VLOOKUP(Takeoffs!AF692,Sheet1!$B$6:$C$124,2,FALSE)</f>
        <v>0</v>
      </c>
      <c r="AH692" s="146">
        <f>AG692*AI692</f>
        <v>0</v>
      </c>
      <c r="AI692" s="143">
        <f>AK692*AJ692</f>
        <v>0</v>
      </c>
      <c r="AJ692" s="133">
        <f>S692</f>
        <v>1</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342</v>
      </c>
      <c r="P693" s="121"/>
      <c r="Q693" s="66"/>
      <c r="R693" s="121"/>
      <c r="S693" s="133">
        <f>M692</f>
        <v>1</v>
      </c>
      <c r="T693" s="120"/>
      <c r="U693" s="121" t="s">
        <v>293</v>
      </c>
      <c r="V693" s="133">
        <f t="shared" ref="V693:V712" si="314">S693</f>
        <v>1</v>
      </c>
      <c r="W693" s="133">
        <f>VLOOKUP(U693,Sheet1!$B$6:$C$45,2,FALSE)*V693</f>
        <v>0</v>
      </c>
      <c r="X693" s="141"/>
      <c r="Y693" s="121" t="s">
        <v>293</v>
      </c>
      <c r="Z693" s="146">
        <f>VLOOKUP(Takeoffs!Y693,Sheet1!$B$6:$C$124,2,FALSE)</f>
        <v>0</v>
      </c>
      <c r="AA693" s="146">
        <f t="shared" ref="AA693:AA712" si="315">Z693*AB693</f>
        <v>0</v>
      </c>
      <c r="AB693" s="143">
        <f t="shared" ref="AB693:AB712" si="316">AD693*AC693</f>
        <v>1</v>
      </c>
      <c r="AC693" s="133">
        <f t="shared" ref="AC693:AC712" si="317">S693</f>
        <v>1</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1</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1</v>
      </c>
      <c r="T694" s="120"/>
      <c r="U694" s="121" t="s">
        <v>293</v>
      </c>
      <c r="V694" s="133">
        <f t="shared" si="314"/>
        <v>1</v>
      </c>
      <c r="W694" s="133">
        <f>VLOOKUP(U694,Sheet1!$B$6:$C$45,2,FALSE)*V694</f>
        <v>0</v>
      </c>
      <c r="X694" s="141"/>
      <c r="Y694" s="122" t="s">
        <v>252</v>
      </c>
      <c r="Z694" s="146">
        <f>VLOOKUP(Takeoffs!Y694,Sheet1!$B$6:$C$124,2,FALSE)</f>
        <v>43.440000000000005</v>
      </c>
      <c r="AA694" s="146">
        <f t="shared" si="315"/>
        <v>43.440000000000005</v>
      </c>
      <c r="AB694" s="143">
        <f t="shared" si="316"/>
        <v>1</v>
      </c>
      <c r="AC694" s="133">
        <f t="shared" si="317"/>
        <v>1</v>
      </c>
      <c r="AD694" s="142">
        <v>1</v>
      </c>
      <c r="AE694" s="141"/>
      <c r="AF694" s="122" t="s">
        <v>268</v>
      </c>
      <c r="AG694" s="146">
        <f>VLOOKUP(Takeoffs!AF694,Sheet1!$B$6:$C$124,2,FALSE)</f>
        <v>1.02</v>
      </c>
      <c r="AH694" s="146">
        <f t="shared" si="318"/>
        <v>20.399999999999999</v>
      </c>
      <c r="AI694" s="143">
        <f t="shared" si="319"/>
        <v>20</v>
      </c>
      <c r="AJ694" s="133">
        <f t="shared" si="320"/>
        <v>1</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492</v>
      </c>
      <c r="P695" s="121"/>
      <c r="Q695" s="66"/>
      <c r="R695" s="121"/>
      <c r="S695" s="133">
        <f>M692</f>
        <v>1</v>
      </c>
      <c r="T695" s="120"/>
      <c r="U695" s="117" t="s">
        <v>481</v>
      </c>
      <c r="V695" s="133">
        <f t="shared" si="314"/>
        <v>1</v>
      </c>
      <c r="W695" s="133">
        <f>VLOOKUP(U695,Sheet1!$B$6:$C$45,2,FALSE)*V695</f>
        <v>2</v>
      </c>
      <c r="X695" s="141"/>
      <c r="Y695" s="121" t="s">
        <v>293</v>
      </c>
      <c r="Z695" s="146">
        <f>VLOOKUP(Takeoffs!Y695,Sheet1!$B$6:$C$124,2,FALSE)</f>
        <v>0</v>
      </c>
      <c r="AA695" s="146">
        <f t="shared" si="315"/>
        <v>0</v>
      </c>
      <c r="AB695" s="143">
        <f t="shared" si="316"/>
        <v>1</v>
      </c>
      <c r="AC695" s="133">
        <f t="shared" si="317"/>
        <v>1</v>
      </c>
      <c r="AD695" s="142">
        <v>1</v>
      </c>
      <c r="AE695" s="141"/>
      <c r="AF695" s="121" t="s">
        <v>293</v>
      </c>
      <c r="AG695" s="146">
        <f>VLOOKUP(Takeoffs!AF695,Sheet1!$B$6:$C$124,2,FALSE)</f>
        <v>0</v>
      </c>
      <c r="AH695" s="146">
        <f t="shared" si="318"/>
        <v>0</v>
      </c>
      <c r="AI695" s="143">
        <f t="shared" si="319"/>
        <v>0</v>
      </c>
      <c r="AJ695" s="133">
        <f t="shared" si="320"/>
        <v>1</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1</v>
      </c>
      <c r="T696" s="120"/>
      <c r="U696" s="121" t="s">
        <v>235</v>
      </c>
      <c r="V696" s="133">
        <f t="shared" si="314"/>
        <v>1</v>
      </c>
      <c r="W696" s="133">
        <f>VLOOKUP(U696,Sheet1!$B$6:$C$45,2,FALSE)*V696</f>
        <v>1.5</v>
      </c>
      <c r="X696" s="141"/>
      <c r="Y696" s="121" t="s">
        <v>293</v>
      </c>
      <c r="Z696" s="146">
        <f>VLOOKUP(Takeoffs!Y696,Sheet1!$B$6:$C$124,2,FALSE)</f>
        <v>0</v>
      </c>
      <c r="AA696" s="146">
        <f t="shared" si="315"/>
        <v>0</v>
      </c>
      <c r="AB696" s="143">
        <f t="shared" si="316"/>
        <v>1</v>
      </c>
      <c r="AC696" s="133">
        <f t="shared" si="317"/>
        <v>1</v>
      </c>
      <c r="AD696" s="142">
        <v>1</v>
      </c>
      <c r="AE696" s="141"/>
      <c r="AF696" s="121" t="s">
        <v>293</v>
      </c>
      <c r="AG696" s="146">
        <f>VLOOKUP(Takeoffs!AF696,Sheet1!$B$6:$C$124,2,FALSE)</f>
        <v>0</v>
      </c>
      <c r="AH696" s="146">
        <f t="shared" si="318"/>
        <v>0</v>
      </c>
      <c r="AI696" s="143">
        <f t="shared" si="319"/>
        <v>0</v>
      </c>
      <c r="AJ696" s="133">
        <f t="shared" si="320"/>
        <v>1</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1</v>
      </c>
      <c r="T697" s="120"/>
      <c r="U697" s="121" t="s">
        <v>293</v>
      </c>
      <c r="V697" s="133">
        <f t="shared" si="314"/>
        <v>1</v>
      </c>
      <c r="W697" s="133">
        <f>VLOOKUP(U697,Sheet1!$B$6:$C$45,2,FALSE)*V697</f>
        <v>0</v>
      </c>
      <c r="X697" s="141"/>
      <c r="Y697" s="121" t="s">
        <v>293</v>
      </c>
      <c r="Z697" s="146">
        <f>VLOOKUP(Takeoffs!Y697,Sheet1!$B$6:$C$124,2,FALSE)</f>
        <v>0</v>
      </c>
      <c r="AA697" s="146">
        <f t="shared" si="315"/>
        <v>0</v>
      </c>
      <c r="AB697" s="143">
        <f t="shared" si="316"/>
        <v>1</v>
      </c>
      <c r="AC697" s="133">
        <f t="shared" si="317"/>
        <v>1</v>
      </c>
      <c r="AD697" s="142">
        <v>1</v>
      </c>
      <c r="AE697" s="141"/>
      <c r="AF697" s="122" t="s">
        <v>268</v>
      </c>
      <c r="AG697" s="146">
        <f>VLOOKUP(Takeoffs!AF697,Sheet1!$B$6:$C$124,2,FALSE)</f>
        <v>1.02</v>
      </c>
      <c r="AH697" s="146">
        <f t="shared" si="318"/>
        <v>3.06</v>
      </c>
      <c r="AI697" s="143">
        <f t="shared" si="319"/>
        <v>3</v>
      </c>
      <c r="AJ697" s="133">
        <f t="shared" si="320"/>
        <v>1</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408</v>
      </c>
      <c r="P698" s="121"/>
      <c r="Q698" s="66"/>
      <c r="R698" s="121"/>
      <c r="S698" s="133">
        <f>M692</f>
        <v>1</v>
      </c>
      <c r="T698" s="120"/>
      <c r="U698" s="121" t="s">
        <v>293</v>
      </c>
      <c r="V698" s="133">
        <f t="shared" si="314"/>
        <v>1</v>
      </c>
      <c r="W698" s="133">
        <f>VLOOKUP(U698,Sheet1!$B$6:$C$45,2,FALSE)*V698</f>
        <v>0</v>
      </c>
      <c r="X698" s="141"/>
      <c r="Y698" s="121" t="s">
        <v>293</v>
      </c>
      <c r="Z698" s="146">
        <f>VLOOKUP(Takeoffs!Y698,Sheet1!$B$6:$C$124,2,FALSE)</f>
        <v>0</v>
      </c>
      <c r="AA698" s="146">
        <f t="shared" si="315"/>
        <v>0</v>
      </c>
      <c r="AB698" s="143">
        <f t="shared" si="316"/>
        <v>1</v>
      </c>
      <c r="AC698" s="133">
        <f t="shared" si="317"/>
        <v>1</v>
      </c>
      <c r="AD698" s="142">
        <v>1</v>
      </c>
      <c r="AE698" s="141"/>
      <c r="AF698" s="121" t="s">
        <v>293</v>
      </c>
      <c r="AG698" s="146">
        <f>VLOOKUP(Takeoffs!AF698,Sheet1!$B$6:$C$124,2,FALSE)</f>
        <v>0</v>
      </c>
      <c r="AH698" s="146">
        <f t="shared" si="318"/>
        <v>0</v>
      </c>
      <c r="AI698" s="143">
        <f t="shared" si="319"/>
        <v>0</v>
      </c>
      <c r="AJ698" s="133">
        <f t="shared" si="320"/>
        <v>1</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1</v>
      </c>
      <c r="T699" s="120"/>
      <c r="U699" s="121" t="s">
        <v>293</v>
      </c>
      <c r="V699" s="133">
        <f t="shared" si="314"/>
        <v>1</v>
      </c>
      <c r="W699" s="133">
        <f>VLOOKUP(U699,Sheet1!$B$6:$C$45,2,FALSE)*V699</f>
        <v>0</v>
      </c>
      <c r="X699" s="141"/>
      <c r="Y699" s="121" t="s">
        <v>293</v>
      </c>
      <c r="Z699" s="146">
        <f>VLOOKUP(Takeoffs!Y699,Sheet1!$B$6:$C$124,2,FALSE)</f>
        <v>0</v>
      </c>
      <c r="AA699" s="146">
        <f t="shared" si="315"/>
        <v>0</v>
      </c>
      <c r="AB699" s="143">
        <f t="shared" si="316"/>
        <v>1</v>
      </c>
      <c r="AC699" s="133">
        <f t="shared" si="317"/>
        <v>1</v>
      </c>
      <c r="AD699" s="142">
        <v>1</v>
      </c>
      <c r="AE699" s="141"/>
      <c r="AF699" s="121" t="s">
        <v>293</v>
      </c>
      <c r="AG699" s="146">
        <f>VLOOKUP(Takeoffs!AF699,Sheet1!$B$6:$C$124,2,FALSE)</f>
        <v>0</v>
      </c>
      <c r="AH699" s="146">
        <f t="shared" si="318"/>
        <v>0</v>
      </c>
      <c r="AI699" s="143">
        <f t="shared" si="319"/>
        <v>0</v>
      </c>
      <c r="AJ699" s="133">
        <f t="shared" si="320"/>
        <v>1</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330</v>
      </c>
      <c r="P700" s="121"/>
      <c r="Q700" s="66"/>
      <c r="R700" s="121"/>
      <c r="S700" s="133">
        <f>M692</f>
        <v>1</v>
      </c>
      <c r="T700" s="120"/>
      <c r="U700" s="121" t="s">
        <v>366</v>
      </c>
      <c r="V700" s="133">
        <f t="shared" si="314"/>
        <v>1</v>
      </c>
      <c r="W700" s="133">
        <f>VLOOKUP(U700,Sheet1!$B$6:$C$45,2,FALSE)*V700</f>
        <v>2</v>
      </c>
      <c r="X700" s="141"/>
      <c r="Y700" s="121" t="s">
        <v>293</v>
      </c>
      <c r="Z700" s="146">
        <f>VLOOKUP(Takeoffs!Y700,Sheet1!$B$6:$C$124,2,FALSE)</f>
        <v>0</v>
      </c>
      <c r="AA700" s="146">
        <f t="shared" si="315"/>
        <v>0</v>
      </c>
      <c r="AB700" s="143">
        <f t="shared" si="316"/>
        <v>1</v>
      </c>
      <c r="AC700" s="133">
        <f t="shared" si="317"/>
        <v>1</v>
      </c>
      <c r="AD700" s="142">
        <v>1</v>
      </c>
      <c r="AE700" s="141"/>
      <c r="AF700" s="121" t="s">
        <v>293</v>
      </c>
      <c r="AG700" s="146">
        <f>VLOOKUP(Takeoffs!AF700,Sheet1!$B$6:$C$124,2,FALSE)</f>
        <v>0</v>
      </c>
      <c r="AH700" s="146">
        <f t="shared" si="318"/>
        <v>0</v>
      </c>
      <c r="AI700" s="143">
        <f t="shared" si="319"/>
        <v>0</v>
      </c>
      <c r="AJ700" s="133">
        <f t="shared" si="320"/>
        <v>1</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1</v>
      </c>
      <c r="T701" s="120"/>
      <c r="U701" s="121" t="s">
        <v>293</v>
      </c>
      <c r="V701" s="133">
        <f t="shared" si="314"/>
        <v>1</v>
      </c>
      <c r="W701" s="133">
        <f>VLOOKUP(U701,Sheet1!$B$6:$C$45,2,FALSE)*V701</f>
        <v>0</v>
      </c>
      <c r="X701" s="141"/>
      <c r="Y701" s="121" t="s">
        <v>293</v>
      </c>
      <c r="Z701" s="146">
        <f>VLOOKUP(Takeoffs!Y701,Sheet1!$B$6:$C$124,2,FALSE)</f>
        <v>0</v>
      </c>
      <c r="AA701" s="146">
        <f t="shared" si="315"/>
        <v>0</v>
      </c>
      <c r="AB701" s="143">
        <f t="shared" si="316"/>
        <v>1</v>
      </c>
      <c r="AC701" s="133">
        <f t="shared" si="317"/>
        <v>1</v>
      </c>
      <c r="AD701" s="142">
        <v>1</v>
      </c>
      <c r="AE701" s="141"/>
      <c r="AF701" s="121" t="s">
        <v>293</v>
      </c>
      <c r="AG701" s="146">
        <f>VLOOKUP(Takeoffs!AF701,Sheet1!$B$6:$C$124,2,FALSE)</f>
        <v>0</v>
      </c>
      <c r="AH701" s="146">
        <f t="shared" si="318"/>
        <v>0</v>
      </c>
      <c r="AI701" s="143">
        <f t="shared" si="319"/>
        <v>0</v>
      </c>
      <c r="AJ701" s="133">
        <f t="shared" si="320"/>
        <v>1</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1</v>
      </c>
      <c r="T702" s="120"/>
      <c r="U702" s="121" t="s">
        <v>293</v>
      </c>
      <c r="V702" s="133">
        <f t="shared" si="314"/>
        <v>1</v>
      </c>
      <c r="W702" s="133">
        <f>VLOOKUP(U702,Sheet1!$B$6:$C$45,2,FALSE)*V702</f>
        <v>0</v>
      </c>
      <c r="X702" s="141"/>
      <c r="Y702" s="121" t="s">
        <v>293</v>
      </c>
      <c r="Z702" s="146">
        <f>VLOOKUP(Takeoffs!Y702,Sheet1!$B$6:$C$124,2,FALSE)</f>
        <v>0</v>
      </c>
      <c r="AA702" s="146">
        <f t="shared" si="315"/>
        <v>0</v>
      </c>
      <c r="AB702" s="143">
        <f t="shared" si="316"/>
        <v>1</v>
      </c>
      <c r="AC702" s="133">
        <f t="shared" si="317"/>
        <v>1</v>
      </c>
      <c r="AD702" s="142">
        <v>1</v>
      </c>
      <c r="AE702" s="141"/>
      <c r="AF702" s="121" t="s">
        <v>293</v>
      </c>
      <c r="AG702" s="146">
        <f>VLOOKUP(Takeoffs!AF702,Sheet1!$B$6:$C$124,2,FALSE)</f>
        <v>0</v>
      </c>
      <c r="AH702" s="146">
        <f t="shared" si="318"/>
        <v>0</v>
      </c>
      <c r="AI702" s="143">
        <f t="shared" si="319"/>
        <v>0</v>
      </c>
      <c r="AJ702" s="133">
        <f t="shared" si="320"/>
        <v>1</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592</v>
      </c>
      <c r="P703" s="121"/>
      <c r="Q703" s="66"/>
      <c r="R703" s="121"/>
      <c r="S703" s="133">
        <f>M692</f>
        <v>1</v>
      </c>
      <c r="T703" s="120"/>
      <c r="U703" s="121" t="s">
        <v>293</v>
      </c>
      <c r="V703" s="133">
        <f t="shared" si="314"/>
        <v>1</v>
      </c>
      <c r="W703" s="133">
        <f>VLOOKUP(U703,Sheet1!$B$6:$C$45,2,FALSE)*V703</f>
        <v>0</v>
      </c>
      <c r="X703" s="141"/>
      <c r="Y703" s="135" t="s">
        <v>591</v>
      </c>
      <c r="Z703" s="146">
        <f>VLOOKUP(Takeoffs!Y703,Sheet1!$B$6:$C$124,2,FALSE)</f>
        <v>96</v>
      </c>
      <c r="AA703" s="146">
        <f t="shared" si="315"/>
        <v>96</v>
      </c>
      <c r="AB703" s="143">
        <f t="shared" si="316"/>
        <v>1</v>
      </c>
      <c r="AC703" s="133">
        <f t="shared" si="317"/>
        <v>1</v>
      </c>
      <c r="AD703" s="142">
        <v>1</v>
      </c>
      <c r="AE703" s="141"/>
      <c r="AF703" s="121" t="s">
        <v>293</v>
      </c>
      <c r="AG703" s="146">
        <f>VLOOKUP(Takeoffs!AF703,Sheet1!$B$6:$C$124,2,FALSE)</f>
        <v>0</v>
      </c>
      <c r="AH703" s="146">
        <f t="shared" si="318"/>
        <v>0</v>
      </c>
      <c r="AI703" s="143">
        <f t="shared" si="319"/>
        <v>0</v>
      </c>
      <c r="AJ703" s="133">
        <f t="shared" si="320"/>
        <v>1</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1</v>
      </c>
      <c r="T704" s="120"/>
      <c r="U704" s="121" t="s">
        <v>293</v>
      </c>
      <c r="V704" s="133">
        <f t="shared" si="314"/>
        <v>1</v>
      </c>
      <c r="W704" s="133">
        <f>VLOOKUP(U704,Sheet1!$B$6:$C$45,2,FALSE)*V704</f>
        <v>0</v>
      </c>
      <c r="X704" s="141"/>
      <c r="Y704" s="121" t="s">
        <v>293</v>
      </c>
      <c r="Z704" s="146">
        <f>VLOOKUP(Takeoffs!Y704,Sheet1!$B$6:$C$124,2,FALSE)</f>
        <v>0</v>
      </c>
      <c r="AA704" s="146">
        <f t="shared" si="315"/>
        <v>0</v>
      </c>
      <c r="AB704" s="143">
        <f t="shared" si="316"/>
        <v>1</v>
      </c>
      <c r="AC704" s="133">
        <f t="shared" si="317"/>
        <v>1</v>
      </c>
      <c r="AD704" s="142">
        <v>1</v>
      </c>
      <c r="AE704" s="141"/>
      <c r="AF704" s="152" t="s">
        <v>420</v>
      </c>
      <c r="AG704" s="146">
        <f>VLOOKUP(Takeoffs!AF704,Sheet1!$B$6:$C$124,2,FALSE)</f>
        <v>0.33600000000000002</v>
      </c>
      <c r="AH704" s="146">
        <f t="shared" si="318"/>
        <v>0.33600000000000002</v>
      </c>
      <c r="AI704" s="143">
        <f t="shared" si="319"/>
        <v>1</v>
      </c>
      <c r="AJ704" s="133">
        <f t="shared" si="320"/>
        <v>1</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1</v>
      </c>
      <c r="T705" s="120"/>
      <c r="U705" s="121" t="s">
        <v>232</v>
      </c>
      <c r="V705" s="133">
        <f t="shared" si="314"/>
        <v>1</v>
      </c>
      <c r="W705" s="133">
        <f>VLOOKUP(U705,Sheet1!$B$6:$C$45,2,FALSE)*V705</f>
        <v>1</v>
      </c>
      <c r="X705" s="141"/>
      <c r="Y705" s="122" t="s">
        <v>281</v>
      </c>
      <c r="Z705" s="146">
        <f>VLOOKUP(Takeoffs!Y705,Sheet1!$B$6:$C$124,2,FALSE)</f>
        <v>109.25999999999999</v>
      </c>
      <c r="AA705" s="146">
        <f t="shared" si="315"/>
        <v>109.25999999999999</v>
      </c>
      <c r="AB705" s="143">
        <f t="shared" si="316"/>
        <v>1</v>
      </c>
      <c r="AC705" s="133">
        <f t="shared" si="317"/>
        <v>1</v>
      </c>
      <c r="AD705" s="142">
        <v>1</v>
      </c>
      <c r="AE705" s="141"/>
      <c r="AF705" s="121" t="s">
        <v>293</v>
      </c>
      <c r="AG705" s="146">
        <f>VLOOKUP(Takeoffs!AF705,Sheet1!$B$6:$C$124,2,FALSE)</f>
        <v>0</v>
      </c>
      <c r="AH705" s="146">
        <f t="shared" si="318"/>
        <v>0</v>
      </c>
      <c r="AI705" s="143">
        <f t="shared" si="319"/>
        <v>0</v>
      </c>
      <c r="AJ705" s="133">
        <f t="shared" si="320"/>
        <v>1</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347</v>
      </c>
      <c r="P706" s="121" t="s">
        <v>382</v>
      </c>
      <c r="Q706" s="66" t="s">
        <v>386</v>
      </c>
      <c r="R706" s="121"/>
      <c r="S706" s="133">
        <f>M692</f>
        <v>1</v>
      </c>
      <c r="T706" s="120"/>
      <c r="U706" s="121" t="s">
        <v>293</v>
      </c>
      <c r="V706" s="133">
        <f t="shared" si="314"/>
        <v>1</v>
      </c>
      <c r="W706" s="133">
        <f>VLOOKUP(U706,Sheet1!$B$6:$C$45,2,FALSE)*V706</f>
        <v>0</v>
      </c>
      <c r="X706" s="141"/>
      <c r="Y706" s="122" t="s">
        <v>328</v>
      </c>
      <c r="Z706" s="146">
        <f>VLOOKUP(Takeoffs!Y706,Sheet1!$B$6:$C$124,2,FALSE)</f>
        <v>29.04</v>
      </c>
      <c r="AA706" s="146">
        <f t="shared" si="315"/>
        <v>29.04</v>
      </c>
      <c r="AB706" s="143">
        <f t="shared" si="316"/>
        <v>1</v>
      </c>
      <c r="AC706" s="133">
        <f t="shared" si="317"/>
        <v>1</v>
      </c>
      <c r="AD706" s="142">
        <v>1</v>
      </c>
      <c r="AE706" s="141"/>
      <c r="AF706" s="121" t="s">
        <v>293</v>
      </c>
      <c r="AG706" s="146">
        <f>VLOOKUP(Takeoffs!AF706,Sheet1!$B$6:$C$124,2,FALSE)</f>
        <v>0</v>
      </c>
      <c r="AH706" s="146">
        <f t="shared" si="318"/>
        <v>0</v>
      </c>
      <c r="AI706" s="143">
        <f t="shared" si="319"/>
        <v>0</v>
      </c>
      <c r="AJ706" s="133">
        <f t="shared" si="320"/>
        <v>1</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339</v>
      </c>
      <c r="P707" s="121"/>
      <c r="Q707" s="66"/>
      <c r="R707" s="121" t="s">
        <v>333</v>
      </c>
      <c r="S707" s="133">
        <f>M692</f>
        <v>1</v>
      </c>
      <c r="T707" s="120"/>
      <c r="U707" s="121" t="s">
        <v>293</v>
      </c>
      <c r="V707" s="133">
        <f t="shared" si="314"/>
        <v>1</v>
      </c>
      <c r="W707" s="133">
        <f>VLOOKUP(U707,Sheet1!$B$6:$C$45,2,FALSE)*V707</f>
        <v>0</v>
      </c>
      <c r="X707" s="141"/>
      <c r="Y707" s="122" t="s">
        <v>280</v>
      </c>
      <c r="Z707" s="146">
        <f>VLOOKUP(Takeoffs!Y707,Sheet1!$B$6:$C$124,2,FALSE)</f>
        <v>19.2</v>
      </c>
      <c r="AA707" s="146">
        <f t="shared" si="315"/>
        <v>38.4</v>
      </c>
      <c r="AB707" s="143">
        <f t="shared" si="316"/>
        <v>2</v>
      </c>
      <c r="AC707" s="133">
        <f t="shared" si="317"/>
        <v>1</v>
      </c>
      <c r="AD707" s="142">
        <v>2</v>
      </c>
      <c r="AE707" s="141"/>
      <c r="AF707" s="121" t="s">
        <v>293</v>
      </c>
      <c r="AG707" s="146">
        <f>VLOOKUP(Takeoffs!AF707,Sheet1!$B$6:$C$124,2,FALSE)</f>
        <v>0</v>
      </c>
      <c r="AH707" s="146">
        <f t="shared" si="318"/>
        <v>0</v>
      </c>
      <c r="AI707" s="143">
        <f t="shared" si="319"/>
        <v>0</v>
      </c>
      <c r="AJ707" s="133">
        <f t="shared" si="320"/>
        <v>1</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502</v>
      </c>
      <c r="P708" s="121"/>
      <c r="Q708" s="66"/>
      <c r="R708" s="121"/>
      <c r="S708" s="133">
        <f>M692</f>
        <v>1</v>
      </c>
      <c r="T708" s="120"/>
      <c r="U708" s="121" t="s">
        <v>293</v>
      </c>
      <c r="V708" s="133">
        <f t="shared" si="314"/>
        <v>1</v>
      </c>
      <c r="W708" s="133">
        <f>VLOOKUP(U708,Sheet1!$B$6:$C$45,2,FALSE)*V708</f>
        <v>0</v>
      </c>
      <c r="X708" s="141"/>
      <c r="Y708" s="135" t="s">
        <v>424</v>
      </c>
      <c r="Z708" s="146">
        <f>VLOOKUP(Takeoffs!Y708,Sheet1!$B$6:$C$124,2,FALSE)</f>
        <v>23.4</v>
      </c>
      <c r="AA708" s="146">
        <f t="shared" si="315"/>
        <v>23.4</v>
      </c>
      <c r="AB708" s="143">
        <f t="shared" si="316"/>
        <v>1</v>
      </c>
      <c r="AC708" s="133">
        <f t="shared" si="317"/>
        <v>1</v>
      </c>
      <c r="AD708" s="142">
        <v>1</v>
      </c>
      <c r="AE708" s="141"/>
      <c r="AF708" s="121" t="s">
        <v>293</v>
      </c>
      <c r="AG708" s="146">
        <f>VLOOKUP(Takeoffs!AF708,Sheet1!$B$6:$C$124,2,FALSE)</f>
        <v>0</v>
      </c>
      <c r="AH708" s="146">
        <f t="shared" si="318"/>
        <v>0</v>
      </c>
      <c r="AI708" s="143">
        <f t="shared" si="319"/>
        <v>0</v>
      </c>
      <c r="AJ708" s="133">
        <f t="shared" si="320"/>
        <v>1</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331</v>
      </c>
      <c r="P709" s="121"/>
      <c r="Q709" s="66"/>
      <c r="R709" s="121" t="s">
        <v>305</v>
      </c>
      <c r="S709" s="133">
        <f>M692</f>
        <v>1</v>
      </c>
      <c r="T709" s="120"/>
      <c r="U709" s="121" t="s">
        <v>293</v>
      </c>
      <c r="V709" s="133">
        <f t="shared" si="314"/>
        <v>1</v>
      </c>
      <c r="W709" s="133">
        <f>VLOOKUP(U709,Sheet1!$B$6:$C$45,2,FALSE)*V709</f>
        <v>0</v>
      </c>
      <c r="X709" s="141"/>
      <c r="Y709" s="122" t="s">
        <v>277</v>
      </c>
      <c r="Z709" s="146">
        <f>VLOOKUP(Takeoffs!Y709,Sheet1!$B$6:$C$124,2,FALSE)</f>
        <v>69.540000000000006</v>
      </c>
      <c r="AA709" s="146">
        <f t="shared" si="315"/>
        <v>69.540000000000006</v>
      </c>
      <c r="AB709" s="143">
        <f t="shared" si="316"/>
        <v>1</v>
      </c>
      <c r="AC709" s="133">
        <f t="shared" si="317"/>
        <v>1</v>
      </c>
      <c r="AD709" s="142">
        <v>1</v>
      </c>
      <c r="AE709" s="141"/>
      <c r="AF709" s="121" t="s">
        <v>293</v>
      </c>
      <c r="AG709" s="146">
        <f>VLOOKUP(Takeoffs!AF709,Sheet1!$B$6:$C$124,2,FALSE)</f>
        <v>0</v>
      </c>
      <c r="AH709" s="146">
        <f t="shared" si="318"/>
        <v>0</v>
      </c>
      <c r="AI709" s="143">
        <f t="shared" si="319"/>
        <v>0</v>
      </c>
      <c r="AJ709" s="133">
        <f t="shared" si="320"/>
        <v>1</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1</v>
      </c>
      <c r="T710" s="120"/>
      <c r="U710" s="121" t="s">
        <v>293</v>
      </c>
      <c r="V710" s="133">
        <f t="shared" si="314"/>
        <v>1</v>
      </c>
      <c r="W710" s="133">
        <f>VLOOKUP(U710,Sheet1!$B$6:$C$45,2,FALSE)*V710</f>
        <v>0</v>
      </c>
      <c r="X710" s="141"/>
      <c r="Y710" s="121" t="s">
        <v>293</v>
      </c>
      <c r="Z710" s="146">
        <f>VLOOKUP(Takeoffs!Y710,Sheet1!$B$6:$C$124,2,FALSE)</f>
        <v>0</v>
      </c>
      <c r="AA710" s="146">
        <f t="shared" si="315"/>
        <v>0</v>
      </c>
      <c r="AB710" s="143">
        <f t="shared" si="316"/>
        <v>1</v>
      </c>
      <c r="AC710" s="133">
        <f t="shared" si="317"/>
        <v>1</v>
      </c>
      <c r="AD710" s="142">
        <v>1</v>
      </c>
      <c r="AE710" s="141"/>
      <c r="AF710" s="121" t="s">
        <v>293</v>
      </c>
      <c r="AG710" s="146">
        <f>VLOOKUP(Takeoffs!AF710,Sheet1!$B$6:$C$124,2,FALSE)</f>
        <v>0</v>
      </c>
      <c r="AH710" s="146">
        <f t="shared" si="318"/>
        <v>0</v>
      </c>
      <c r="AI710" s="143">
        <f t="shared" si="319"/>
        <v>0</v>
      </c>
      <c r="AJ710" s="133">
        <f t="shared" si="320"/>
        <v>1</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409</v>
      </c>
      <c r="P711" s="121"/>
      <c r="Q711" s="66"/>
      <c r="R711" s="121"/>
      <c r="S711" s="133">
        <f>M692</f>
        <v>1</v>
      </c>
      <c r="T711" s="120"/>
      <c r="U711" s="121" t="s">
        <v>293</v>
      </c>
      <c r="V711" s="133">
        <f t="shared" si="314"/>
        <v>1</v>
      </c>
      <c r="W711" s="133">
        <f>VLOOKUP(U711,Sheet1!$B$6:$C$45,2,FALSE)*V711</f>
        <v>0</v>
      </c>
      <c r="X711" s="141"/>
      <c r="Y711" s="121" t="s">
        <v>274</v>
      </c>
      <c r="Z711" s="146">
        <f>VLOOKUP(Takeoffs!Y711,Sheet1!$B$6:$C$124,2,FALSE)</f>
        <v>360</v>
      </c>
      <c r="AA711" s="146">
        <f t="shared" si="315"/>
        <v>360</v>
      </c>
      <c r="AB711" s="143">
        <f t="shared" si="316"/>
        <v>1</v>
      </c>
      <c r="AC711" s="133">
        <f t="shared" si="317"/>
        <v>1</v>
      </c>
      <c r="AD711" s="142">
        <v>1</v>
      </c>
      <c r="AE711" s="141"/>
      <c r="AF711" s="121" t="s">
        <v>293</v>
      </c>
      <c r="AG711" s="146">
        <f>VLOOKUP(Takeoffs!AF711,Sheet1!$B$6:$C$124,2,FALSE)</f>
        <v>0</v>
      </c>
      <c r="AH711" s="146">
        <f t="shared" si="318"/>
        <v>0</v>
      </c>
      <c r="AI711" s="143">
        <f t="shared" si="319"/>
        <v>0</v>
      </c>
      <c r="AJ711" s="133">
        <f t="shared" si="320"/>
        <v>1</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410</v>
      </c>
      <c r="P712" s="121"/>
      <c r="Q712" s="66"/>
      <c r="R712" s="121"/>
      <c r="S712" s="133">
        <f>M692</f>
        <v>1</v>
      </c>
      <c r="T712" s="120"/>
      <c r="U712" s="121" t="s">
        <v>364</v>
      </c>
      <c r="V712" s="133">
        <f t="shared" si="314"/>
        <v>1</v>
      </c>
      <c r="W712" s="133">
        <f>VLOOKUP(U712,Sheet1!$B$6:$C$45,2,FALSE)*V712</f>
        <v>1</v>
      </c>
      <c r="X712" s="141"/>
      <c r="Y712" s="121" t="s">
        <v>293</v>
      </c>
      <c r="Z712" s="146">
        <f>VLOOKUP(Takeoffs!Y712,Sheet1!$B$6:$C$124,2,FALSE)</f>
        <v>0</v>
      </c>
      <c r="AA712" s="146">
        <f t="shared" si="315"/>
        <v>0</v>
      </c>
      <c r="AB712" s="143">
        <f t="shared" si="316"/>
        <v>1</v>
      </c>
      <c r="AC712" s="133">
        <f t="shared" si="317"/>
        <v>1</v>
      </c>
      <c r="AD712" s="142">
        <v>1</v>
      </c>
      <c r="AE712" s="141"/>
      <c r="AF712" s="121" t="s">
        <v>293</v>
      </c>
      <c r="AG712" s="146">
        <f>VLOOKUP(Takeoffs!AF712,Sheet1!$B$6:$C$124,2,FALSE)</f>
        <v>0</v>
      </c>
      <c r="AH712" s="146">
        <f t="shared" si="318"/>
        <v>0</v>
      </c>
      <c r="AI712" s="143">
        <f t="shared" si="319"/>
        <v>0</v>
      </c>
      <c r="AJ712" s="133">
        <f t="shared" si="320"/>
        <v>1</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379</v>
      </c>
      <c r="L713" s="128" t="s">
        <v>380</v>
      </c>
      <c r="N713" s="129"/>
      <c r="O713" s="130" t="s">
        <v>359</v>
      </c>
      <c r="P713" s="155">
        <f>V713+AA713+AH713</f>
        <v>1392.876</v>
      </c>
      <c r="Q713" s="155"/>
      <c r="R713" s="131"/>
      <c r="S713" s="130"/>
      <c r="T713" s="127"/>
      <c r="U713" s="126" t="s">
        <v>353</v>
      </c>
      <c r="V713" s="127">
        <f>W713*80</f>
        <v>600</v>
      </c>
      <c r="W713" s="147">
        <f>SUM(W692:W712)</f>
        <v>7.5</v>
      </c>
      <c r="X713" s="148"/>
      <c r="Y713" s="127" t="s">
        <v>354</v>
      </c>
      <c r="Z713" s="116"/>
      <c r="AA713" s="116">
        <f>SUM(AA692:AA712)</f>
        <v>769.07999999999993</v>
      </c>
      <c r="AB713" s="149"/>
      <c r="AC713" s="149"/>
      <c r="AD713" s="149"/>
      <c r="AE713" s="149"/>
      <c r="AF713" s="127" t="s">
        <v>358</v>
      </c>
      <c r="AG713" s="116"/>
      <c r="AH713" s="116">
        <f>SUM(AH692:AH712)</f>
        <v>23.795999999999996</v>
      </c>
      <c r="AI713" s="149"/>
      <c r="AJ713" s="149"/>
      <c r="AK713" s="149"/>
      <c r="AL713" s="149"/>
      <c r="AM713" s="150">
        <f>P713</f>
        <v>1392.876</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494</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v>1</v>
      </c>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one (1)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1392.876</v>
      </c>
      <c r="L714" s="235" t="str">
        <f>CONCATENATE(Q693,Q694,Q695,Q696,Q697,Q698,Q699,Q700,Q701,Q702,Q703,Q704,Q705,Q706,Q707,Q708,Q709,Q710,Q711,Q712,)</f>
        <v>fire cabling from FIP.</v>
      </c>
      <c r="M714" s="166" t="s">
        <v>369</v>
      </c>
      <c r="N714" s="160" t="str">
        <f>N692</f>
        <v>DOL timeclock controlled fan with fire shutdown - from MSSB power supply and</v>
      </c>
      <c r="O714" s="185" t="s">
        <v>367</v>
      </c>
      <c r="P714" s="203">
        <f>P713/M692</f>
        <v>1392.876</v>
      </c>
      <c r="Q714" s="195"/>
      <c r="R714" s="188"/>
      <c r="S714" s="160"/>
      <c r="T714" s="161"/>
      <c r="U714" s="327" t="s">
        <v>368</v>
      </c>
      <c r="V714" s="327"/>
      <c r="W714" s="162">
        <f>W713/M692</f>
        <v>7.5</v>
      </c>
      <c r="X714" s="163"/>
      <c r="Y714" s="325" t="s">
        <v>367</v>
      </c>
      <c r="Z714" s="325"/>
      <c r="AA714" s="164">
        <f>AA713/M692</f>
        <v>769.07999999999993</v>
      </c>
      <c r="AB714" s="161"/>
      <c r="AC714" s="161"/>
      <c r="AD714" s="161"/>
      <c r="AE714" s="161"/>
      <c r="AF714" s="325" t="s">
        <v>367</v>
      </c>
      <c r="AG714" s="325"/>
      <c r="AH714" s="164">
        <f>AH713/M692</f>
        <v>23.795999999999996</v>
      </c>
      <c r="AI714" s="161"/>
      <c r="AJ714" s="161"/>
      <c r="AK714" s="161"/>
      <c r="AL714" s="247"/>
      <c r="AM714" s="257"/>
      <c r="AN714" s="230">
        <f>K714*1.25</f>
        <v>1741.095</v>
      </c>
      <c r="AO714" s="286"/>
      <c r="AP714" s="284">
        <f t="shared" si="300"/>
        <v>1392.876</v>
      </c>
      <c r="AQ714" s="281">
        <f t="shared" si="301"/>
        <v>600</v>
      </c>
      <c r="AR714" s="284">
        <f t="shared" si="302"/>
        <v>769.07999999999993</v>
      </c>
      <c r="AS714" s="281">
        <f t="shared" si="303"/>
        <v>23.795999999999996</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5">
      <c r="A715" s="262">
        <f>ROW()</f>
        <v>715</v>
      </c>
      <c r="C715" s="211"/>
      <c r="D715" s="211"/>
      <c r="E715" s="211"/>
      <c r="F715" s="211"/>
      <c r="G715" s="211"/>
      <c r="H715" s="211"/>
      <c r="K715" s="116" t="s">
        <v>454</v>
      </c>
      <c r="M715" s="116" t="s">
        <v>107</v>
      </c>
      <c r="N715" s="116" t="s">
        <v>108</v>
      </c>
      <c r="O715" s="170" t="s">
        <v>388</v>
      </c>
      <c r="P715" s="326" t="s">
        <v>377</v>
      </c>
      <c r="Q715" s="326"/>
      <c r="R715" s="101" t="s">
        <v>454</v>
      </c>
      <c r="S715" s="116" t="s">
        <v>0</v>
      </c>
      <c r="T715" s="118"/>
      <c r="U715" s="116" t="s">
        <v>288</v>
      </c>
      <c r="V715" s="116" t="s">
        <v>289</v>
      </c>
      <c r="W715" s="116" t="s">
        <v>292</v>
      </c>
      <c r="X715" s="140"/>
      <c r="Y715" s="116" t="s">
        <v>290</v>
      </c>
      <c r="Z715" s="116" t="s">
        <v>356</v>
      </c>
      <c r="AA715" s="116" t="s">
        <v>357</v>
      </c>
      <c r="AB715" s="116" t="s">
        <v>319</v>
      </c>
      <c r="AC715" s="116" t="s">
        <v>320</v>
      </c>
      <c r="AD715" s="116" t="s">
        <v>318</v>
      </c>
      <c r="AE715" s="140"/>
      <c r="AF715" s="116" t="s">
        <v>294</v>
      </c>
      <c r="AG715" s="116" t="s">
        <v>356</v>
      </c>
      <c r="AH715" s="116" t="s">
        <v>357</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5">
      <c r="A716" s="262">
        <f>ROW()</f>
        <v>716</v>
      </c>
      <c r="C716" s="208"/>
      <c r="D716" s="208"/>
      <c r="E716" s="208"/>
      <c r="F716" s="208"/>
      <c r="G716" s="208"/>
      <c r="H716" s="208"/>
      <c r="L716" s="124" t="str">
        <f>VLOOKUP(M716,Sheet2!$D$2:$E$1024,2,FALSE)</f>
        <v>one</v>
      </c>
      <c r="M716" s="121">
        <f>I738</f>
        <v>1</v>
      </c>
      <c r="N716" s="132" t="s">
        <v>615</v>
      </c>
      <c r="O716" s="121" t="s">
        <v>491</v>
      </c>
      <c r="P716" s="169" t="s">
        <v>381</v>
      </c>
      <c r="Q716" s="169" t="s">
        <v>377</v>
      </c>
      <c r="R716" s="169"/>
      <c r="S716" s="133">
        <f>M716</f>
        <v>1</v>
      </c>
      <c r="T716" s="119"/>
      <c r="U716" s="121" t="s">
        <v>293</v>
      </c>
      <c r="V716" s="133">
        <f>S716</f>
        <v>1</v>
      </c>
      <c r="W716" s="133">
        <f>VLOOKUP(U716,Sheet1!$B$6:$C$45,2,FALSE)*V716</f>
        <v>0</v>
      </c>
      <c r="X716" s="141"/>
      <c r="Y716" s="121" t="s">
        <v>293</v>
      </c>
      <c r="Z716" s="146">
        <f>VLOOKUP(Takeoffs!Y716,Sheet1!$B$6:$C$124,2,FALSE)</f>
        <v>0</v>
      </c>
      <c r="AA716" s="146">
        <f>Z716*AB716</f>
        <v>0</v>
      </c>
      <c r="AB716" s="143">
        <f>AD716*AC716</f>
        <v>1</v>
      </c>
      <c r="AC716" s="133">
        <f>S716</f>
        <v>1</v>
      </c>
      <c r="AD716" s="142">
        <v>1</v>
      </c>
      <c r="AE716" s="141"/>
      <c r="AF716" s="121" t="s">
        <v>293</v>
      </c>
      <c r="AG716" s="146">
        <f>VLOOKUP(Takeoffs!AF716,Sheet1!$B$6:$C$124,2,FALSE)</f>
        <v>0</v>
      </c>
      <c r="AH716" s="146">
        <f>AG716*AI716</f>
        <v>0</v>
      </c>
      <c r="AI716" s="143">
        <f>AK716*AJ716</f>
        <v>0</v>
      </c>
      <c r="AJ716" s="133">
        <f>S716</f>
        <v>1</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342</v>
      </c>
      <c r="P717" s="121"/>
      <c r="Q717" s="66"/>
      <c r="R717" s="121"/>
      <c r="S717" s="133">
        <f>M716</f>
        <v>1</v>
      </c>
      <c r="T717" s="120"/>
      <c r="U717" s="121" t="s">
        <v>293</v>
      </c>
      <c r="V717" s="133">
        <f t="shared" ref="V717:V736" si="323">S717</f>
        <v>1</v>
      </c>
      <c r="W717" s="133">
        <f>VLOOKUP(U717,Sheet1!$B$6:$C$45,2,FALSE)*V717</f>
        <v>0</v>
      </c>
      <c r="X717" s="141"/>
      <c r="Y717" s="121" t="s">
        <v>293</v>
      </c>
      <c r="Z717" s="146">
        <f>VLOOKUP(Takeoffs!Y717,Sheet1!$B$6:$C$124,2,FALSE)</f>
        <v>0</v>
      </c>
      <c r="AA717" s="146">
        <f t="shared" ref="AA717:AA736" si="324">Z717*AB717</f>
        <v>0</v>
      </c>
      <c r="AB717" s="143">
        <f t="shared" ref="AB717:AB736" si="325">AD717*AC717</f>
        <v>1</v>
      </c>
      <c r="AC717" s="133">
        <f t="shared" ref="AC717:AC736" si="326">S717</f>
        <v>1</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1</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596</v>
      </c>
      <c r="Q718" s="121" t="s">
        <v>617</v>
      </c>
      <c r="R718" s="121"/>
      <c r="S718" s="133">
        <f>M716</f>
        <v>1</v>
      </c>
      <c r="T718" s="120"/>
      <c r="U718" s="121" t="s">
        <v>293</v>
      </c>
      <c r="V718" s="133">
        <f t="shared" si="323"/>
        <v>1</v>
      </c>
      <c r="W718" s="133">
        <f>VLOOKUP(U718,Sheet1!$B$6:$C$45,2,FALSE)*V718</f>
        <v>0</v>
      </c>
      <c r="X718" s="141"/>
      <c r="Y718" s="122" t="s">
        <v>252</v>
      </c>
      <c r="Z718" s="146">
        <f>VLOOKUP(Takeoffs!Y718,Sheet1!$B$6:$C$124,2,FALSE)</f>
        <v>43.440000000000005</v>
      </c>
      <c r="AA718" s="146">
        <f t="shared" si="324"/>
        <v>43.440000000000005</v>
      </c>
      <c r="AB718" s="143">
        <f t="shared" si="325"/>
        <v>1</v>
      </c>
      <c r="AC718" s="133">
        <f t="shared" si="326"/>
        <v>1</v>
      </c>
      <c r="AD718" s="142">
        <v>1</v>
      </c>
      <c r="AE718" s="141"/>
      <c r="AF718" s="122" t="s">
        <v>268</v>
      </c>
      <c r="AG718" s="146">
        <f>VLOOKUP(Takeoffs!AF718,Sheet1!$B$6:$C$124,2,FALSE)</f>
        <v>1.02</v>
      </c>
      <c r="AH718" s="146">
        <f t="shared" si="327"/>
        <v>20.399999999999999</v>
      </c>
      <c r="AI718" s="143">
        <f t="shared" si="328"/>
        <v>20</v>
      </c>
      <c r="AJ718" s="133">
        <f t="shared" si="329"/>
        <v>1</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616</v>
      </c>
      <c r="P719" s="121" t="s">
        <v>596</v>
      </c>
      <c r="Q719" s="66" t="s">
        <v>618</v>
      </c>
      <c r="R719" s="121"/>
      <c r="S719" s="133">
        <f>M716</f>
        <v>1</v>
      </c>
      <c r="T719" s="120"/>
      <c r="U719" s="121" t="s">
        <v>293</v>
      </c>
      <c r="V719" s="133">
        <f t="shared" si="323"/>
        <v>1</v>
      </c>
      <c r="W719" s="133">
        <f>VLOOKUP(U719,Sheet1!$B$6:$C$45,2,FALSE)*V719</f>
        <v>0</v>
      </c>
      <c r="X719" s="141"/>
      <c r="Y719" s="121" t="s">
        <v>293</v>
      </c>
      <c r="Z719" s="146">
        <f>VLOOKUP(Takeoffs!Y719,Sheet1!$B$6:$C$124,2,FALSE)</f>
        <v>0</v>
      </c>
      <c r="AA719" s="146">
        <f t="shared" si="324"/>
        <v>0</v>
      </c>
      <c r="AB719" s="143">
        <f t="shared" si="325"/>
        <v>1</v>
      </c>
      <c r="AC719" s="133">
        <f t="shared" si="326"/>
        <v>1</v>
      </c>
      <c r="AD719" s="142">
        <v>1</v>
      </c>
      <c r="AE719" s="141"/>
      <c r="AF719" s="121" t="s">
        <v>293</v>
      </c>
      <c r="AG719" s="146">
        <f>VLOOKUP(Takeoffs!AF719,Sheet1!$B$6:$C$124,2,FALSE)</f>
        <v>0</v>
      </c>
      <c r="AH719" s="146">
        <f t="shared" si="327"/>
        <v>0</v>
      </c>
      <c r="AI719" s="143">
        <f t="shared" si="328"/>
        <v>0</v>
      </c>
      <c r="AJ719" s="133">
        <f t="shared" si="329"/>
        <v>1</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599</v>
      </c>
      <c r="P720" s="121"/>
      <c r="Q720" s="121"/>
      <c r="R720" s="121"/>
      <c r="S720" s="133">
        <f>M716</f>
        <v>1</v>
      </c>
      <c r="T720" s="120"/>
      <c r="U720" s="121" t="s">
        <v>293</v>
      </c>
      <c r="V720" s="133">
        <f t="shared" si="323"/>
        <v>1</v>
      </c>
      <c r="W720" s="133">
        <f>VLOOKUP(U720,Sheet1!$B$6:$C$45,2,FALSE)*V720</f>
        <v>0</v>
      </c>
      <c r="X720" s="141"/>
      <c r="Y720" s="121" t="s">
        <v>293</v>
      </c>
      <c r="Z720" s="146">
        <f>VLOOKUP(Takeoffs!Y720,Sheet1!$B$6:$C$124,2,FALSE)</f>
        <v>0</v>
      </c>
      <c r="AA720" s="146">
        <f t="shared" si="324"/>
        <v>0</v>
      </c>
      <c r="AB720" s="143">
        <f t="shared" si="325"/>
        <v>1</v>
      </c>
      <c r="AC720" s="133">
        <f t="shared" si="326"/>
        <v>1</v>
      </c>
      <c r="AD720" s="142">
        <v>1</v>
      </c>
      <c r="AE720" s="141"/>
      <c r="AF720" s="121" t="s">
        <v>293</v>
      </c>
      <c r="AG720" s="146">
        <f>VLOOKUP(Takeoffs!AF720,Sheet1!$B$6:$C$124,2,FALSE)</f>
        <v>0</v>
      </c>
      <c r="AH720" s="146">
        <f t="shared" si="327"/>
        <v>0</v>
      </c>
      <c r="AI720" s="143">
        <f t="shared" si="328"/>
        <v>0</v>
      </c>
      <c r="AJ720" s="133">
        <f t="shared" si="329"/>
        <v>1</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600</v>
      </c>
      <c r="P721" s="121"/>
      <c r="Q721" s="121"/>
      <c r="R721" s="121"/>
      <c r="S721" s="133">
        <f>M716</f>
        <v>1</v>
      </c>
      <c r="T721" s="120"/>
      <c r="U721" s="121" t="s">
        <v>293</v>
      </c>
      <c r="V721" s="133">
        <f t="shared" si="323"/>
        <v>1</v>
      </c>
      <c r="W721" s="133">
        <f>VLOOKUP(U721,Sheet1!$B$6:$C$45,2,FALSE)*V721</f>
        <v>0</v>
      </c>
      <c r="X721" s="141"/>
      <c r="Y721" s="121" t="s">
        <v>293</v>
      </c>
      <c r="Z721" s="146">
        <f>VLOOKUP(Takeoffs!Y721,Sheet1!$B$6:$C$124,2,FALSE)</f>
        <v>0</v>
      </c>
      <c r="AA721" s="146">
        <f t="shared" si="324"/>
        <v>0</v>
      </c>
      <c r="AB721" s="143">
        <f t="shared" si="325"/>
        <v>1</v>
      </c>
      <c r="AC721" s="133">
        <f t="shared" si="326"/>
        <v>1</v>
      </c>
      <c r="AD721" s="142">
        <v>1</v>
      </c>
      <c r="AE721" s="141"/>
      <c r="AF721" s="122" t="s">
        <v>268</v>
      </c>
      <c r="AG721" s="146">
        <f>VLOOKUP(Takeoffs!AF721,Sheet1!$B$6:$C$124,2,FALSE)</f>
        <v>1.02</v>
      </c>
      <c r="AH721" s="146">
        <f t="shared" si="327"/>
        <v>3.06</v>
      </c>
      <c r="AI721" s="143">
        <f t="shared" si="328"/>
        <v>3</v>
      </c>
      <c r="AJ721" s="133">
        <f t="shared" si="329"/>
        <v>1</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408</v>
      </c>
      <c r="P722" s="121"/>
      <c r="Q722" s="121"/>
      <c r="R722" s="121"/>
      <c r="S722" s="133">
        <f>M716</f>
        <v>1</v>
      </c>
      <c r="T722" s="120"/>
      <c r="U722" s="121" t="s">
        <v>293</v>
      </c>
      <c r="V722" s="133">
        <f t="shared" si="323"/>
        <v>1</v>
      </c>
      <c r="W722" s="133">
        <f>VLOOKUP(U722,Sheet1!$B$6:$C$45,2,FALSE)*V722</f>
        <v>0</v>
      </c>
      <c r="X722" s="141"/>
      <c r="Y722" s="121" t="s">
        <v>293</v>
      </c>
      <c r="Z722" s="146">
        <f>VLOOKUP(Takeoffs!Y722,Sheet1!$B$6:$C$124,2,FALSE)</f>
        <v>0</v>
      </c>
      <c r="AA722" s="146">
        <f t="shared" si="324"/>
        <v>0</v>
      </c>
      <c r="AB722" s="143">
        <f t="shared" si="325"/>
        <v>1</v>
      </c>
      <c r="AC722" s="133">
        <f t="shared" si="326"/>
        <v>1</v>
      </c>
      <c r="AD722" s="142">
        <v>1</v>
      </c>
      <c r="AE722" s="141"/>
      <c r="AF722" s="121" t="s">
        <v>293</v>
      </c>
      <c r="AG722" s="146">
        <f>VLOOKUP(Takeoffs!AF722,Sheet1!$B$6:$C$124,2,FALSE)</f>
        <v>0</v>
      </c>
      <c r="AH722" s="146">
        <f t="shared" si="327"/>
        <v>0</v>
      </c>
      <c r="AI722" s="143">
        <f t="shared" si="328"/>
        <v>0</v>
      </c>
      <c r="AJ722" s="133">
        <f t="shared" si="329"/>
        <v>1</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1</v>
      </c>
      <c r="T723" s="120"/>
      <c r="U723" s="121" t="s">
        <v>293</v>
      </c>
      <c r="V723" s="133">
        <f t="shared" si="323"/>
        <v>1</v>
      </c>
      <c r="W723" s="133">
        <f>VLOOKUP(U723,Sheet1!$B$6:$C$45,2,FALSE)*V723</f>
        <v>0</v>
      </c>
      <c r="X723" s="141"/>
      <c r="Y723" s="121" t="s">
        <v>293</v>
      </c>
      <c r="Z723" s="146">
        <f>VLOOKUP(Takeoffs!Y723,Sheet1!$B$6:$C$124,2,FALSE)</f>
        <v>0</v>
      </c>
      <c r="AA723" s="146">
        <f t="shared" si="324"/>
        <v>0</v>
      </c>
      <c r="AB723" s="143">
        <f t="shared" si="325"/>
        <v>1</v>
      </c>
      <c r="AC723" s="133">
        <f t="shared" si="326"/>
        <v>1</v>
      </c>
      <c r="AD723" s="142">
        <v>1</v>
      </c>
      <c r="AE723" s="141"/>
      <c r="AF723" s="121" t="s">
        <v>293</v>
      </c>
      <c r="AG723" s="146">
        <f>VLOOKUP(Takeoffs!AF723,Sheet1!$B$6:$C$124,2,FALSE)</f>
        <v>0</v>
      </c>
      <c r="AH723" s="146">
        <f t="shared" si="327"/>
        <v>0</v>
      </c>
      <c r="AI723" s="143">
        <f t="shared" si="328"/>
        <v>0</v>
      </c>
      <c r="AJ723" s="133">
        <f t="shared" si="329"/>
        <v>1</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330</v>
      </c>
      <c r="P724" s="121"/>
      <c r="Q724" s="121"/>
      <c r="R724" s="121"/>
      <c r="S724" s="133">
        <f>M716</f>
        <v>1</v>
      </c>
      <c r="T724" s="120"/>
      <c r="U724" s="121" t="s">
        <v>366</v>
      </c>
      <c r="V724" s="133">
        <f t="shared" si="323"/>
        <v>1</v>
      </c>
      <c r="W724" s="133">
        <f>VLOOKUP(U724,Sheet1!$B$6:$C$45,2,FALSE)*V724</f>
        <v>2</v>
      </c>
      <c r="X724" s="141"/>
      <c r="Y724" s="121" t="s">
        <v>293</v>
      </c>
      <c r="Z724" s="146">
        <f>VLOOKUP(Takeoffs!Y724,Sheet1!$B$6:$C$124,2,FALSE)</f>
        <v>0</v>
      </c>
      <c r="AA724" s="146">
        <f t="shared" si="324"/>
        <v>0</v>
      </c>
      <c r="AB724" s="143">
        <f t="shared" si="325"/>
        <v>1</v>
      </c>
      <c r="AC724" s="133">
        <f t="shared" si="326"/>
        <v>1</v>
      </c>
      <c r="AD724" s="142">
        <v>1</v>
      </c>
      <c r="AE724" s="141"/>
      <c r="AF724" s="121" t="s">
        <v>293</v>
      </c>
      <c r="AG724" s="146">
        <f>VLOOKUP(Takeoffs!AF724,Sheet1!$B$6:$C$124,2,FALSE)</f>
        <v>0</v>
      </c>
      <c r="AH724" s="146">
        <f t="shared" si="327"/>
        <v>0</v>
      </c>
      <c r="AI724" s="143">
        <f t="shared" si="328"/>
        <v>0</v>
      </c>
      <c r="AJ724" s="133">
        <f t="shared" si="329"/>
        <v>1</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1</v>
      </c>
      <c r="T725" s="120"/>
      <c r="U725" s="121" t="s">
        <v>293</v>
      </c>
      <c r="V725" s="133">
        <f t="shared" si="323"/>
        <v>1</v>
      </c>
      <c r="W725" s="133">
        <f>VLOOKUP(U725,Sheet1!$B$6:$C$45,2,FALSE)*V725</f>
        <v>0</v>
      </c>
      <c r="X725" s="141"/>
      <c r="Y725" s="121" t="s">
        <v>293</v>
      </c>
      <c r="Z725" s="146">
        <f>VLOOKUP(Takeoffs!Y725,Sheet1!$B$6:$C$124,2,FALSE)</f>
        <v>0</v>
      </c>
      <c r="AA725" s="146">
        <f t="shared" si="324"/>
        <v>0</v>
      </c>
      <c r="AB725" s="143">
        <f t="shared" si="325"/>
        <v>1</v>
      </c>
      <c r="AC725" s="133">
        <f t="shared" si="326"/>
        <v>1</v>
      </c>
      <c r="AD725" s="142">
        <v>1</v>
      </c>
      <c r="AE725" s="141"/>
      <c r="AF725" s="121" t="s">
        <v>293</v>
      </c>
      <c r="AG725" s="146">
        <f>VLOOKUP(Takeoffs!AF725,Sheet1!$B$6:$C$124,2,FALSE)</f>
        <v>0</v>
      </c>
      <c r="AH725" s="146">
        <f t="shared" si="327"/>
        <v>0</v>
      </c>
      <c r="AI725" s="143">
        <f t="shared" si="328"/>
        <v>0</v>
      </c>
      <c r="AJ725" s="133">
        <f t="shared" si="329"/>
        <v>1</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1</v>
      </c>
      <c r="T726" s="120"/>
      <c r="U726" s="121" t="s">
        <v>293</v>
      </c>
      <c r="V726" s="133">
        <f t="shared" si="323"/>
        <v>1</v>
      </c>
      <c r="W726" s="133">
        <f>VLOOKUP(U726,Sheet1!$B$6:$C$45,2,FALSE)*V726</f>
        <v>0</v>
      </c>
      <c r="X726" s="141"/>
      <c r="Y726" s="121" t="s">
        <v>293</v>
      </c>
      <c r="Z726" s="146">
        <f>VLOOKUP(Takeoffs!Y726,Sheet1!$B$6:$C$124,2,FALSE)</f>
        <v>0</v>
      </c>
      <c r="AA726" s="146">
        <f t="shared" si="324"/>
        <v>0</v>
      </c>
      <c r="AB726" s="143">
        <f t="shared" si="325"/>
        <v>1</v>
      </c>
      <c r="AC726" s="133">
        <f t="shared" si="326"/>
        <v>1</v>
      </c>
      <c r="AD726" s="142">
        <v>1</v>
      </c>
      <c r="AE726" s="141"/>
      <c r="AF726" s="121" t="s">
        <v>293</v>
      </c>
      <c r="AG726" s="146">
        <f>VLOOKUP(Takeoffs!AF726,Sheet1!$B$6:$C$124,2,FALSE)</f>
        <v>0</v>
      </c>
      <c r="AH726" s="146">
        <f t="shared" si="327"/>
        <v>0</v>
      </c>
      <c r="AI726" s="143">
        <f t="shared" si="328"/>
        <v>0</v>
      </c>
      <c r="AJ726" s="133">
        <f t="shared" si="329"/>
        <v>1</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592</v>
      </c>
      <c r="P727" s="121"/>
      <c r="Q727" s="121"/>
      <c r="R727" s="121"/>
      <c r="S727" s="133">
        <f>M716</f>
        <v>1</v>
      </c>
      <c r="T727" s="120"/>
      <c r="U727" s="121" t="s">
        <v>293</v>
      </c>
      <c r="V727" s="133">
        <f t="shared" si="323"/>
        <v>1</v>
      </c>
      <c r="W727" s="133">
        <f>VLOOKUP(U727,Sheet1!$B$6:$C$45,2,FALSE)*V727</f>
        <v>0</v>
      </c>
      <c r="X727" s="141"/>
      <c r="Y727" s="135" t="s">
        <v>591</v>
      </c>
      <c r="Z727" s="146">
        <f>VLOOKUP(Takeoffs!Y727,Sheet1!$B$6:$C$124,2,FALSE)</f>
        <v>96</v>
      </c>
      <c r="AA727" s="146">
        <f t="shared" si="324"/>
        <v>96</v>
      </c>
      <c r="AB727" s="143">
        <f t="shared" si="325"/>
        <v>1</v>
      </c>
      <c r="AC727" s="133">
        <f t="shared" si="326"/>
        <v>1</v>
      </c>
      <c r="AD727" s="142">
        <v>1</v>
      </c>
      <c r="AE727" s="141"/>
      <c r="AF727" s="121" t="s">
        <v>293</v>
      </c>
      <c r="AG727" s="146">
        <f>VLOOKUP(Takeoffs!AF727,Sheet1!$B$6:$C$124,2,FALSE)</f>
        <v>0</v>
      </c>
      <c r="AH727" s="146">
        <f t="shared" si="327"/>
        <v>0</v>
      </c>
      <c r="AI727" s="143">
        <f t="shared" si="328"/>
        <v>0</v>
      </c>
      <c r="AJ727" s="133">
        <f t="shared" si="329"/>
        <v>1</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1</v>
      </c>
      <c r="T728" s="120"/>
      <c r="U728" s="121" t="s">
        <v>293</v>
      </c>
      <c r="V728" s="133">
        <f t="shared" si="323"/>
        <v>1</v>
      </c>
      <c r="W728" s="133">
        <f>VLOOKUP(U728,Sheet1!$B$6:$C$45,2,FALSE)*V728</f>
        <v>0</v>
      </c>
      <c r="X728" s="141"/>
      <c r="Y728" s="121" t="s">
        <v>293</v>
      </c>
      <c r="Z728" s="146">
        <f>VLOOKUP(Takeoffs!Y728,Sheet1!$B$6:$C$124,2,FALSE)</f>
        <v>0</v>
      </c>
      <c r="AA728" s="146">
        <f t="shared" si="324"/>
        <v>0</v>
      </c>
      <c r="AB728" s="143">
        <f t="shared" si="325"/>
        <v>1</v>
      </c>
      <c r="AC728" s="133">
        <f t="shared" si="326"/>
        <v>1</v>
      </c>
      <c r="AD728" s="142">
        <v>1</v>
      </c>
      <c r="AE728" s="141"/>
      <c r="AF728" s="152" t="s">
        <v>420</v>
      </c>
      <c r="AG728" s="146">
        <f>VLOOKUP(Takeoffs!AF728,Sheet1!$B$6:$C$124,2,FALSE)</f>
        <v>0.33600000000000002</v>
      </c>
      <c r="AH728" s="146">
        <f t="shared" si="327"/>
        <v>0.33600000000000002</v>
      </c>
      <c r="AI728" s="143">
        <f t="shared" si="328"/>
        <v>1</v>
      </c>
      <c r="AJ728" s="133">
        <f t="shared" si="329"/>
        <v>1</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1</v>
      </c>
      <c r="T729" s="120"/>
      <c r="U729" s="121" t="s">
        <v>232</v>
      </c>
      <c r="V729" s="133">
        <f t="shared" si="323"/>
        <v>1</v>
      </c>
      <c r="W729" s="133">
        <f>VLOOKUP(U729,Sheet1!$B$6:$C$45,2,FALSE)*V729</f>
        <v>1</v>
      </c>
      <c r="X729" s="141"/>
      <c r="Y729" s="122" t="s">
        <v>281</v>
      </c>
      <c r="Z729" s="146">
        <f>VLOOKUP(Takeoffs!Y729,Sheet1!$B$6:$C$124,2,FALSE)</f>
        <v>109.25999999999999</v>
      </c>
      <c r="AA729" s="146">
        <f t="shared" si="324"/>
        <v>109.25999999999999</v>
      </c>
      <c r="AB729" s="143">
        <f t="shared" si="325"/>
        <v>1</v>
      </c>
      <c r="AC729" s="133">
        <f t="shared" si="326"/>
        <v>1</v>
      </c>
      <c r="AD729" s="142">
        <v>1</v>
      </c>
      <c r="AE729" s="141"/>
      <c r="AF729" s="121" t="s">
        <v>293</v>
      </c>
      <c r="AG729" s="146">
        <f>VLOOKUP(Takeoffs!AF729,Sheet1!$B$6:$C$124,2,FALSE)</f>
        <v>0</v>
      </c>
      <c r="AH729" s="146">
        <f t="shared" si="327"/>
        <v>0</v>
      </c>
      <c r="AI729" s="143">
        <f t="shared" si="328"/>
        <v>0</v>
      </c>
      <c r="AJ729" s="133">
        <f t="shared" si="329"/>
        <v>1</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347</v>
      </c>
      <c r="P730" s="121" t="s">
        <v>619</v>
      </c>
      <c r="Q730" s="121" t="s">
        <v>386</v>
      </c>
      <c r="R730" s="121"/>
      <c r="S730" s="133">
        <f>M716</f>
        <v>1</v>
      </c>
      <c r="T730" s="120"/>
      <c r="U730" s="121" t="s">
        <v>293</v>
      </c>
      <c r="V730" s="133">
        <f t="shared" si="323"/>
        <v>1</v>
      </c>
      <c r="W730" s="133">
        <f>VLOOKUP(U730,Sheet1!$B$6:$C$45,2,FALSE)*V730</f>
        <v>0</v>
      </c>
      <c r="X730" s="141"/>
      <c r="Y730" s="122" t="s">
        <v>328</v>
      </c>
      <c r="Z730" s="146">
        <f>VLOOKUP(Takeoffs!Y730,Sheet1!$B$6:$C$124,2,FALSE)</f>
        <v>29.04</v>
      </c>
      <c r="AA730" s="146">
        <f t="shared" si="324"/>
        <v>29.04</v>
      </c>
      <c r="AB730" s="143">
        <f t="shared" si="325"/>
        <v>1</v>
      </c>
      <c r="AC730" s="133">
        <f t="shared" si="326"/>
        <v>1</v>
      </c>
      <c r="AD730" s="142">
        <v>1</v>
      </c>
      <c r="AE730" s="141"/>
      <c r="AF730" s="121" t="s">
        <v>293</v>
      </c>
      <c r="AG730" s="146">
        <f>VLOOKUP(Takeoffs!AF730,Sheet1!$B$6:$C$124,2,FALSE)</f>
        <v>0</v>
      </c>
      <c r="AH730" s="146">
        <f t="shared" si="327"/>
        <v>0</v>
      </c>
      <c r="AI730" s="143">
        <f t="shared" si="328"/>
        <v>0</v>
      </c>
      <c r="AJ730" s="133">
        <f t="shared" si="329"/>
        <v>1</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339</v>
      </c>
      <c r="P731" s="121"/>
      <c r="Q731" s="121"/>
      <c r="R731" s="121" t="s">
        <v>333</v>
      </c>
      <c r="S731" s="133">
        <f>M716</f>
        <v>1</v>
      </c>
      <c r="T731" s="120"/>
      <c r="U731" s="121" t="s">
        <v>293</v>
      </c>
      <c r="V731" s="133">
        <f t="shared" si="323"/>
        <v>1</v>
      </c>
      <c r="W731" s="133">
        <f>VLOOKUP(U731,Sheet1!$B$6:$C$45,2,FALSE)*V731</f>
        <v>0</v>
      </c>
      <c r="X731" s="141"/>
      <c r="Y731" s="122" t="s">
        <v>280</v>
      </c>
      <c r="Z731" s="146">
        <f>VLOOKUP(Takeoffs!Y731,Sheet1!$B$6:$C$124,2,FALSE)</f>
        <v>19.2</v>
      </c>
      <c r="AA731" s="146">
        <f t="shared" si="324"/>
        <v>38.4</v>
      </c>
      <c r="AB731" s="143">
        <f t="shared" si="325"/>
        <v>2</v>
      </c>
      <c r="AC731" s="133">
        <f t="shared" si="326"/>
        <v>1</v>
      </c>
      <c r="AD731" s="142">
        <v>2</v>
      </c>
      <c r="AE731" s="141"/>
      <c r="AF731" s="121" t="s">
        <v>293</v>
      </c>
      <c r="AG731" s="146">
        <f>VLOOKUP(Takeoffs!AF731,Sheet1!$B$6:$C$124,2,FALSE)</f>
        <v>0</v>
      </c>
      <c r="AH731" s="146">
        <f t="shared" si="327"/>
        <v>0</v>
      </c>
      <c r="AI731" s="143">
        <f t="shared" si="328"/>
        <v>0</v>
      </c>
      <c r="AJ731" s="133">
        <f t="shared" si="329"/>
        <v>1</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502</v>
      </c>
      <c r="P732" s="121">
        <v>0</v>
      </c>
      <c r="Q732" s="121"/>
      <c r="R732" s="121"/>
      <c r="S732" s="133">
        <f>M716</f>
        <v>1</v>
      </c>
      <c r="T732" s="120"/>
      <c r="U732" s="121" t="s">
        <v>293</v>
      </c>
      <c r="V732" s="133">
        <f t="shared" si="323"/>
        <v>1</v>
      </c>
      <c r="W732" s="133">
        <f>VLOOKUP(U732,Sheet1!$B$6:$C$45,2,FALSE)*V732</f>
        <v>0</v>
      </c>
      <c r="X732" s="141"/>
      <c r="Y732" s="135" t="s">
        <v>424</v>
      </c>
      <c r="Z732" s="146">
        <f>VLOOKUP(Takeoffs!Y732,Sheet1!$B$6:$C$124,2,FALSE)</f>
        <v>23.4</v>
      </c>
      <c r="AA732" s="146">
        <f t="shared" si="324"/>
        <v>23.4</v>
      </c>
      <c r="AB732" s="143">
        <f t="shared" si="325"/>
        <v>1</v>
      </c>
      <c r="AC732" s="133">
        <f t="shared" si="326"/>
        <v>1</v>
      </c>
      <c r="AD732" s="142">
        <v>1</v>
      </c>
      <c r="AE732" s="141"/>
      <c r="AF732" s="121" t="s">
        <v>293</v>
      </c>
      <c r="AG732" s="146">
        <f>VLOOKUP(Takeoffs!AF732,Sheet1!$B$6:$C$124,2,FALSE)</f>
        <v>0</v>
      </c>
      <c r="AH732" s="146">
        <f t="shared" si="327"/>
        <v>0</v>
      </c>
      <c r="AI732" s="143">
        <f t="shared" si="328"/>
        <v>0</v>
      </c>
      <c r="AJ732" s="133">
        <f t="shared" si="329"/>
        <v>1</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331</v>
      </c>
      <c r="P733" s="121"/>
      <c r="Q733" s="121"/>
      <c r="R733" s="121" t="s">
        <v>305</v>
      </c>
      <c r="S733" s="133">
        <f>M716</f>
        <v>1</v>
      </c>
      <c r="T733" s="120"/>
      <c r="U733" s="121" t="s">
        <v>293</v>
      </c>
      <c r="V733" s="133">
        <f t="shared" si="323"/>
        <v>1</v>
      </c>
      <c r="W733" s="133">
        <f>VLOOKUP(U733,Sheet1!$B$6:$C$45,2,FALSE)*V733</f>
        <v>0</v>
      </c>
      <c r="X733" s="141"/>
      <c r="Y733" s="122" t="s">
        <v>277</v>
      </c>
      <c r="Z733" s="146">
        <f>VLOOKUP(Takeoffs!Y733,Sheet1!$B$6:$C$124,2,FALSE)</f>
        <v>69.540000000000006</v>
      </c>
      <c r="AA733" s="146">
        <f t="shared" si="324"/>
        <v>69.540000000000006</v>
      </c>
      <c r="AB733" s="143">
        <f t="shared" si="325"/>
        <v>1</v>
      </c>
      <c r="AC733" s="133">
        <f t="shared" si="326"/>
        <v>1</v>
      </c>
      <c r="AD733" s="142">
        <v>1</v>
      </c>
      <c r="AE733" s="141"/>
      <c r="AF733" s="121" t="s">
        <v>293</v>
      </c>
      <c r="AG733" s="146">
        <f>VLOOKUP(Takeoffs!AF733,Sheet1!$B$6:$C$124,2,FALSE)</f>
        <v>0</v>
      </c>
      <c r="AH733" s="146">
        <f t="shared" si="327"/>
        <v>0</v>
      </c>
      <c r="AI733" s="143">
        <f t="shared" si="328"/>
        <v>0</v>
      </c>
      <c r="AJ733" s="133">
        <f t="shared" si="329"/>
        <v>1</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1</v>
      </c>
      <c r="T734" s="120"/>
      <c r="U734" s="121" t="s">
        <v>293</v>
      </c>
      <c r="V734" s="133">
        <f t="shared" si="323"/>
        <v>1</v>
      </c>
      <c r="W734" s="133">
        <f>VLOOKUP(U734,Sheet1!$B$6:$C$45,2,FALSE)*V734</f>
        <v>0</v>
      </c>
      <c r="X734" s="141"/>
      <c r="Y734" s="121" t="s">
        <v>293</v>
      </c>
      <c r="Z734" s="146">
        <f>VLOOKUP(Takeoffs!Y734,Sheet1!$B$6:$C$124,2,FALSE)</f>
        <v>0</v>
      </c>
      <c r="AA734" s="146">
        <f t="shared" si="324"/>
        <v>0</v>
      </c>
      <c r="AB734" s="143">
        <f t="shared" si="325"/>
        <v>1</v>
      </c>
      <c r="AC734" s="133">
        <f t="shared" si="326"/>
        <v>1</v>
      </c>
      <c r="AD734" s="142">
        <v>1</v>
      </c>
      <c r="AE734" s="141"/>
      <c r="AF734" s="121" t="s">
        <v>293</v>
      </c>
      <c r="AG734" s="146">
        <f>VLOOKUP(Takeoffs!AF734,Sheet1!$B$6:$C$124,2,FALSE)</f>
        <v>0</v>
      </c>
      <c r="AH734" s="146">
        <f t="shared" si="327"/>
        <v>0</v>
      </c>
      <c r="AI734" s="143">
        <f t="shared" si="328"/>
        <v>0</v>
      </c>
      <c r="AJ734" s="133">
        <f t="shared" si="329"/>
        <v>1</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409</v>
      </c>
      <c r="P735" s="121"/>
      <c r="Q735" s="121"/>
      <c r="R735" s="121"/>
      <c r="S735" s="133">
        <f>M716</f>
        <v>1</v>
      </c>
      <c r="T735" s="120"/>
      <c r="U735" s="121" t="s">
        <v>293</v>
      </c>
      <c r="V735" s="133">
        <f t="shared" si="323"/>
        <v>1</v>
      </c>
      <c r="W735" s="133">
        <f>VLOOKUP(U735,Sheet1!$B$6:$C$45,2,FALSE)*V735</f>
        <v>0</v>
      </c>
      <c r="X735" s="141"/>
      <c r="Y735" s="121" t="s">
        <v>274</v>
      </c>
      <c r="Z735" s="146">
        <f>VLOOKUP(Takeoffs!Y735,Sheet1!$B$6:$C$124,2,FALSE)</f>
        <v>360</v>
      </c>
      <c r="AA735" s="146">
        <f t="shared" si="324"/>
        <v>360</v>
      </c>
      <c r="AB735" s="143">
        <f t="shared" si="325"/>
        <v>1</v>
      </c>
      <c r="AC735" s="133">
        <f t="shared" si="326"/>
        <v>1</v>
      </c>
      <c r="AD735" s="142">
        <v>1</v>
      </c>
      <c r="AE735" s="141"/>
      <c r="AF735" s="121" t="s">
        <v>293</v>
      </c>
      <c r="AG735" s="146">
        <f>VLOOKUP(Takeoffs!AF735,Sheet1!$B$6:$C$124,2,FALSE)</f>
        <v>0</v>
      </c>
      <c r="AH735" s="146">
        <f t="shared" si="327"/>
        <v>0</v>
      </c>
      <c r="AI735" s="143">
        <f t="shared" si="328"/>
        <v>0</v>
      </c>
      <c r="AJ735" s="133">
        <f t="shared" si="329"/>
        <v>1</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410</v>
      </c>
      <c r="P736" s="121"/>
      <c r="Q736" s="121"/>
      <c r="R736" s="121"/>
      <c r="S736" s="133">
        <f>M716</f>
        <v>1</v>
      </c>
      <c r="T736" s="120"/>
      <c r="U736" s="121" t="s">
        <v>364</v>
      </c>
      <c r="V736" s="133">
        <f t="shared" si="323"/>
        <v>1</v>
      </c>
      <c r="W736" s="133">
        <f>VLOOKUP(U736,Sheet1!$B$6:$C$45,2,FALSE)*V736</f>
        <v>1</v>
      </c>
      <c r="X736" s="141"/>
      <c r="Y736" s="121" t="s">
        <v>293</v>
      </c>
      <c r="Z736" s="146">
        <f>VLOOKUP(Takeoffs!Y736,Sheet1!$B$6:$C$124,2,FALSE)</f>
        <v>0</v>
      </c>
      <c r="AA736" s="146">
        <f t="shared" si="324"/>
        <v>0</v>
      </c>
      <c r="AB736" s="143">
        <f t="shared" si="325"/>
        <v>1</v>
      </c>
      <c r="AC736" s="133">
        <f t="shared" si="326"/>
        <v>1</v>
      </c>
      <c r="AD736" s="142">
        <v>1</v>
      </c>
      <c r="AE736" s="141"/>
      <c r="AF736" s="121" t="s">
        <v>293</v>
      </c>
      <c r="AG736" s="146">
        <f>VLOOKUP(Takeoffs!AF736,Sheet1!$B$6:$C$124,2,FALSE)</f>
        <v>0</v>
      </c>
      <c r="AH736" s="146">
        <f t="shared" si="327"/>
        <v>0</v>
      </c>
      <c r="AI736" s="143">
        <f t="shared" si="328"/>
        <v>0</v>
      </c>
      <c r="AJ736" s="133">
        <f t="shared" si="329"/>
        <v>1</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379</v>
      </c>
      <c r="L737" s="128" t="s">
        <v>380</v>
      </c>
      <c r="N737" s="129"/>
      <c r="O737" s="130" t="s">
        <v>359</v>
      </c>
      <c r="P737" s="155">
        <f>V737+AA737+AH737</f>
        <v>1112.876</v>
      </c>
      <c r="Q737" s="155"/>
      <c r="R737" s="131"/>
      <c r="S737" s="130"/>
      <c r="T737" s="127"/>
      <c r="U737" s="126" t="s">
        <v>353</v>
      </c>
      <c r="V737" s="127">
        <f>W737*80</f>
        <v>320</v>
      </c>
      <c r="W737" s="147">
        <f>SUM(W716:W736)</f>
        <v>4</v>
      </c>
      <c r="X737" s="148"/>
      <c r="Y737" s="127" t="s">
        <v>354</v>
      </c>
      <c r="Z737" s="116"/>
      <c r="AA737" s="116">
        <f>SUM(AA716:AA736)</f>
        <v>769.07999999999993</v>
      </c>
      <c r="AB737" s="149"/>
      <c r="AC737" s="149"/>
      <c r="AD737" s="149"/>
      <c r="AE737" s="149"/>
      <c r="AF737" s="127" t="s">
        <v>358</v>
      </c>
      <c r="AG737" s="116"/>
      <c r="AH737" s="116">
        <f>SUM(AH716:AH736)</f>
        <v>23.795999999999996</v>
      </c>
      <c r="AI737" s="149"/>
      <c r="AJ737" s="149"/>
      <c r="AK737" s="149"/>
      <c r="AL737" s="149"/>
      <c r="AM737" s="150">
        <f>P737</f>
        <v>1112.876</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494</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v>1</v>
      </c>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one (1)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1112.876</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369</v>
      </c>
      <c r="N738" s="160" t="str">
        <f>N716</f>
        <v>DOL fan with fire shutdown - from MSSB power supply and timeclock control ( field wiring outside MSSB by customer)</v>
      </c>
      <c r="O738" s="185" t="s">
        <v>367</v>
      </c>
      <c r="P738" s="203">
        <f>P737/M716</f>
        <v>1112.876</v>
      </c>
      <c r="Q738" s="195"/>
      <c r="R738" s="188"/>
      <c r="S738" s="160"/>
      <c r="T738" s="161"/>
      <c r="U738" s="327" t="s">
        <v>368</v>
      </c>
      <c r="V738" s="327"/>
      <c r="W738" s="162">
        <f>W737/M716</f>
        <v>4</v>
      </c>
      <c r="X738" s="163"/>
      <c r="Y738" s="325" t="s">
        <v>367</v>
      </c>
      <c r="Z738" s="325"/>
      <c r="AA738" s="164">
        <f>AA737/M716</f>
        <v>769.07999999999993</v>
      </c>
      <c r="AB738" s="161"/>
      <c r="AC738" s="161"/>
      <c r="AD738" s="161"/>
      <c r="AE738" s="161"/>
      <c r="AF738" s="325" t="s">
        <v>367</v>
      </c>
      <c r="AG738" s="325"/>
      <c r="AH738" s="164">
        <f>AH737/M716</f>
        <v>23.795999999999996</v>
      </c>
      <c r="AI738" s="161"/>
      <c r="AJ738" s="161"/>
      <c r="AK738" s="161"/>
      <c r="AL738" s="247"/>
      <c r="AM738" s="257"/>
      <c r="AN738" s="230">
        <f>K738*1.25</f>
        <v>1391.095</v>
      </c>
      <c r="AO738" s="286"/>
      <c r="AP738" s="284">
        <f t="shared" si="331"/>
        <v>1112.876</v>
      </c>
      <c r="AQ738" s="281">
        <f t="shared" si="332"/>
        <v>320</v>
      </c>
      <c r="AR738" s="284">
        <f t="shared" si="333"/>
        <v>769.07999999999993</v>
      </c>
      <c r="AS738" s="281">
        <f t="shared" si="334"/>
        <v>23.795999999999996</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5">
      <c r="A739" s="262">
        <f>ROW()</f>
        <v>739</v>
      </c>
      <c r="C739" s="211"/>
      <c r="D739" s="211"/>
      <c r="E739" s="211"/>
      <c r="F739" s="211"/>
      <c r="G739" s="211"/>
      <c r="H739" s="211"/>
      <c r="K739" s="116" t="s">
        <v>454</v>
      </c>
      <c r="M739" s="116" t="s">
        <v>107</v>
      </c>
      <c r="N739" s="116" t="s">
        <v>108</v>
      </c>
      <c r="O739" s="170" t="s">
        <v>388</v>
      </c>
      <c r="P739" s="326" t="s">
        <v>377</v>
      </c>
      <c r="Q739" s="326"/>
      <c r="R739" s="101" t="s">
        <v>454</v>
      </c>
      <c r="S739" s="116" t="s">
        <v>0</v>
      </c>
      <c r="T739" s="118"/>
      <c r="U739" s="116" t="s">
        <v>288</v>
      </c>
      <c r="V739" s="116" t="s">
        <v>289</v>
      </c>
      <c r="W739" s="116" t="s">
        <v>292</v>
      </c>
      <c r="X739" s="140"/>
      <c r="Y739" s="116" t="s">
        <v>290</v>
      </c>
      <c r="Z739" s="116" t="s">
        <v>356</v>
      </c>
      <c r="AA739" s="116" t="s">
        <v>357</v>
      </c>
      <c r="AB739" s="116" t="s">
        <v>319</v>
      </c>
      <c r="AC739" s="116" t="s">
        <v>320</v>
      </c>
      <c r="AD739" s="116" t="s">
        <v>318</v>
      </c>
      <c r="AE739" s="140"/>
      <c r="AF739" s="116" t="s">
        <v>294</v>
      </c>
      <c r="AG739" s="116" t="s">
        <v>356</v>
      </c>
      <c r="AH739" s="116" t="s">
        <v>357</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5">
      <c r="A740" s="262">
        <f>ROW()</f>
        <v>740</v>
      </c>
      <c r="C740" s="208"/>
      <c r="D740" s="208"/>
      <c r="E740" s="208"/>
      <c r="F740" s="208"/>
      <c r="G740" s="208"/>
      <c r="H740" s="208"/>
      <c r="L740" s="124" t="str">
        <f>VLOOKUP(M740,Sheet2!$D$2:$E$1024,2,FALSE)</f>
        <v>one</v>
      </c>
      <c r="M740" s="121">
        <f>I762</f>
        <v>1</v>
      </c>
      <c r="N740" s="132" t="s">
        <v>655</v>
      </c>
      <c r="O740" s="121" t="s">
        <v>491</v>
      </c>
      <c r="P740" s="169" t="s">
        <v>381</v>
      </c>
      <c r="Q740" s="169" t="s">
        <v>377</v>
      </c>
      <c r="R740" s="169"/>
      <c r="S740" s="133">
        <f>M740</f>
        <v>1</v>
      </c>
      <c r="T740" s="119"/>
      <c r="U740" s="121" t="s">
        <v>293</v>
      </c>
      <c r="V740" s="133">
        <f>S740</f>
        <v>1</v>
      </c>
      <c r="W740" s="133">
        <f>VLOOKUP(U740,Sheet1!$B$6:$C$45,2,FALSE)*V740</f>
        <v>0</v>
      </c>
      <c r="X740" s="141"/>
      <c r="Y740" s="121" t="s">
        <v>293</v>
      </c>
      <c r="Z740" s="146">
        <f>VLOOKUP(Takeoffs!Y740,Sheet1!$B$6:$C$124,2,FALSE)</f>
        <v>0</v>
      </c>
      <c r="AA740" s="146">
        <f>Z740*AB740</f>
        <v>0</v>
      </c>
      <c r="AB740" s="143">
        <f>AD740*AC740</f>
        <v>1</v>
      </c>
      <c r="AC740" s="133">
        <f>S740</f>
        <v>1</v>
      </c>
      <c r="AD740" s="142">
        <v>1</v>
      </c>
      <c r="AE740" s="141"/>
      <c r="AF740" s="121" t="s">
        <v>293</v>
      </c>
      <c r="AG740" s="146">
        <f>VLOOKUP(Takeoffs!AF740,Sheet1!$B$6:$C$124,2,FALSE)</f>
        <v>0</v>
      </c>
      <c r="AH740" s="146">
        <f>AG740*AI740</f>
        <v>0</v>
      </c>
      <c r="AI740" s="143">
        <f>AK740*AJ740</f>
        <v>0</v>
      </c>
      <c r="AJ740" s="133">
        <f>S740</f>
        <v>1</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342</v>
      </c>
      <c r="P741" s="121"/>
      <c r="Q741" s="66"/>
      <c r="R741" s="121"/>
      <c r="S741" s="133">
        <f>M740</f>
        <v>1</v>
      </c>
      <c r="T741" s="120"/>
      <c r="U741" s="121" t="s">
        <v>293</v>
      </c>
      <c r="V741" s="133">
        <f t="shared" ref="V741:V760" si="337">S741</f>
        <v>1</v>
      </c>
      <c r="W741" s="133">
        <f>VLOOKUP(U741,Sheet1!$B$6:$C$45,2,FALSE)*V741</f>
        <v>0</v>
      </c>
      <c r="X741" s="141"/>
      <c r="Y741" s="121" t="s">
        <v>293</v>
      </c>
      <c r="Z741" s="146">
        <f>VLOOKUP(Takeoffs!Y741,Sheet1!$B$6:$C$124,2,FALSE)</f>
        <v>0</v>
      </c>
      <c r="AA741" s="146">
        <f t="shared" ref="AA741:AA760" si="338">Z741*AB741</f>
        <v>0</v>
      </c>
      <c r="AB741" s="143">
        <f t="shared" ref="AB741:AB760" si="339">AD741*AC741</f>
        <v>1</v>
      </c>
      <c r="AC741" s="133">
        <f t="shared" ref="AC741:AC760" si="340">S741</f>
        <v>1</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1</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656</v>
      </c>
      <c r="P742" s="121"/>
      <c r="Q742" s="66"/>
      <c r="R742" s="121"/>
      <c r="S742" s="133">
        <f>M740</f>
        <v>1</v>
      </c>
      <c r="T742" s="120"/>
      <c r="U742" s="117" t="s">
        <v>481</v>
      </c>
      <c r="V742" s="133">
        <f t="shared" si="337"/>
        <v>1</v>
      </c>
      <c r="W742" s="133">
        <f>VLOOKUP(U742,Sheet1!$B$6:$C$45,2,FALSE)*V742</f>
        <v>2</v>
      </c>
      <c r="X742" s="141"/>
      <c r="Y742" s="122" t="s">
        <v>252</v>
      </c>
      <c r="Z742" s="146">
        <f>VLOOKUP(Takeoffs!Y742,Sheet1!$B$6:$C$124,2,FALSE)</f>
        <v>43.440000000000005</v>
      </c>
      <c r="AA742" s="146">
        <f t="shared" si="338"/>
        <v>86.88000000000001</v>
      </c>
      <c r="AB742" s="143">
        <f t="shared" si="339"/>
        <v>2</v>
      </c>
      <c r="AC742" s="133">
        <f t="shared" si="340"/>
        <v>1</v>
      </c>
      <c r="AD742" s="142">
        <v>2</v>
      </c>
      <c r="AE742" s="141"/>
      <c r="AF742" s="122" t="s">
        <v>268</v>
      </c>
      <c r="AG742" s="146">
        <f>VLOOKUP(Takeoffs!AF742,Sheet1!$B$6:$C$124,2,FALSE)</f>
        <v>1.02</v>
      </c>
      <c r="AH742" s="146">
        <f t="shared" si="341"/>
        <v>20.399999999999999</v>
      </c>
      <c r="AI742" s="143">
        <f t="shared" si="342"/>
        <v>20</v>
      </c>
      <c r="AJ742" s="133">
        <f t="shared" si="343"/>
        <v>1</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657</v>
      </c>
      <c r="P743" s="121"/>
      <c r="Q743" s="66"/>
      <c r="R743" s="121"/>
      <c r="S743" s="133">
        <f>M740</f>
        <v>1</v>
      </c>
      <c r="T743" s="120"/>
      <c r="U743" s="117" t="s">
        <v>481</v>
      </c>
      <c r="V743" s="133">
        <f t="shared" si="337"/>
        <v>1</v>
      </c>
      <c r="W743" s="133">
        <f>VLOOKUP(U743,Sheet1!$B$6:$C$45,2,FALSE)*V743</f>
        <v>2</v>
      </c>
      <c r="X743" s="141"/>
      <c r="Y743" s="121" t="s">
        <v>293</v>
      </c>
      <c r="Z743" s="146">
        <f>VLOOKUP(Takeoffs!Y743,Sheet1!$B$6:$C$124,2,FALSE)</f>
        <v>0</v>
      </c>
      <c r="AA743" s="146">
        <f t="shared" si="338"/>
        <v>0</v>
      </c>
      <c r="AB743" s="143">
        <f t="shared" si="339"/>
        <v>1</v>
      </c>
      <c r="AC743" s="133">
        <f t="shared" si="340"/>
        <v>1</v>
      </c>
      <c r="AD743" s="142">
        <v>1</v>
      </c>
      <c r="AE743" s="141"/>
      <c r="AF743" s="121" t="s">
        <v>293</v>
      </c>
      <c r="AG743" s="146">
        <f>VLOOKUP(Takeoffs!AF743,Sheet1!$B$6:$C$124,2,FALSE)</f>
        <v>0</v>
      </c>
      <c r="AH743" s="146">
        <f t="shared" si="341"/>
        <v>0</v>
      </c>
      <c r="AI743" s="143">
        <f t="shared" si="342"/>
        <v>0</v>
      </c>
      <c r="AJ743" s="133">
        <f t="shared" si="343"/>
        <v>1</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1</v>
      </c>
      <c r="T744" s="120"/>
      <c r="U744" s="121" t="s">
        <v>235</v>
      </c>
      <c r="V744" s="133">
        <f t="shared" si="337"/>
        <v>1</v>
      </c>
      <c r="W744" s="133">
        <f>VLOOKUP(U744,Sheet1!$B$6:$C$45,2,FALSE)*V744</f>
        <v>1.5</v>
      </c>
      <c r="X744" s="141"/>
      <c r="Y744" s="121" t="s">
        <v>293</v>
      </c>
      <c r="Z744" s="146">
        <f>VLOOKUP(Takeoffs!Y744,Sheet1!$B$6:$C$124,2,FALSE)</f>
        <v>0</v>
      </c>
      <c r="AA744" s="146">
        <f t="shared" si="338"/>
        <v>0</v>
      </c>
      <c r="AB744" s="143">
        <f t="shared" si="339"/>
        <v>1</v>
      </c>
      <c r="AC744" s="133">
        <f t="shared" si="340"/>
        <v>1</v>
      </c>
      <c r="AD744" s="142">
        <v>1</v>
      </c>
      <c r="AE744" s="141"/>
      <c r="AF744" s="121" t="s">
        <v>293</v>
      </c>
      <c r="AG744" s="146">
        <f>VLOOKUP(Takeoffs!AF744,Sheet1!$B$6:$C$124,2,FALSE)</f>
        <v>0</v>
      </c>
      <c r="AH744" s="146">
        <f t="shared" si="341"/>
        <v>0</v>
      </c>
      <c r="AI744" s="143">
        <f t="shared" si="342"/>
        <v>0</v>
      </c>
      <c r="AJ744" s="133">
        <f t="shared" si="343"/>
        <v>1</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1</v>
      </c>
      <c r="T745" s="120"/>
      <c r="U745" s="121" t="s">
        <v>293</v>
      </c>
      <c r="V745" s="133">
        <f t="shared" si="337"/>
        <v>1</v>
      </c>
      <c r="W745" s="133">
        <f>VLOOKUP(U745,Sheet1!$B$6:$C$45,2,FALSE)*V745</f>
        <v>0</v>
      </c>
      <c r="X745" s="141"/>
      <c r="Y745" s="121" t="s">
        <v>293</v>
      </c>
      <c r="Z745" s="146">
        <f>VLOOKUP(Takeoffs!Y745,Sheet1!$B$6:$C$124,2,FALSE)</f>
        <v>0</v>
      </c>
      <c r="AA745" s="146">
        <f t="shared" si="338"/>
        <v>0</v>
      </c>
      <c r="AB745" s="143">
        <f t="shared" si="339"/>
        <v>1</v>
      </c>
      <c r="AC745" s="133">
        <f t="shared" si="340"/>
        <v>1</v>
      </c>
      <c r="AD745" s="142">
        <v>1</v>
      </c>
      <c r="AE745" s="141"/>
      <c r="AF745" s="122" t="s">
        <v>268</v>
      </c>
      <c r="AG745" s="146">
        <f>VLOOKUP(Takeoffs!AF745,Sheet1!$B$6:$C$124,2,FALSE)</f>
        <v>1.02</v>
      </c>
      <c r="AH745" s="146">
        <f t="shared" si="341"/>
        <v>3.06</v>
      </c>
      <c r="AI745" s="143">
        <f t="shared" si="342"/>
        <v>3</v>
      </c>
      <c r="AJ745" s="133">
        <f t="shared" si="343"/>
        <v>1</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658</v>
      </c>
      <c r="P746" s="121"/>
      <c r="Q746" s="66"/>
      <c r="R746" s="121"/>
      <c r="S746" s="133">
        <f>M740</f>
        <v>1</v>
      </c>
      <c r="T746" s="120"/>
      <c r="U746" s="121" t="s">
        <v>293</v>
      </c>
      <c r="V746" s="133">
        <f t="shared" si="337"/>
        <v>1</v>
      </c>
      <c r="W746" s="133">
        <f>VLOOKUP(U746,Sheet1!$B$6:$C$45,2,FALSE)*V746</f>
        <v>0</v>
      </c>
      <c r="X746" s="141"/>
      <c r="Y746" s="121" t="s">
        <v>293</v>
      </c>
      <c r="Z746" s="146">
        <f>VLOOKUP(Takeoffs!Y746,Sheet1!$B$6:$C$124,2,FALSE)</f>
        <v>0</v>
      </c>
      <c r="AA746" s="146">
        <f t="shared" si="338"/>
        <v>0</v>
      </c>
      <c r="AB746" s="143">
        <f t="shared" si="339"/>
        <v>1</v>
      </c>
      <c r="AC746" s="133">
        <f t="shared" si="340"/>
        <v>1</v>
      </c>
      <c r="AD746" s="142">
        <v>1</v>
      </c>
      <c r="AE746" s="141"/>
      <c r="AF746" s="121" t="s">
        <v>293</v>
      </c>
      <c r="AG746" s="146">
        <f>VLOOKUP(Takeoffs!AF746,Sheet1!$B$6:$C$124,2,FALSE)</f>
        <v>0</v>
      </c>
      <c r="AH746" s="146">
        <f t="shared" si="341"/>
        <v>0</v>
      </c>
      <c r="AI746" s="143">
        <f t="shared" si="342"/>
        <v>0</v>
      </c>
      <c r="AJ746" s="133">
        <f t="shared" si="343"/>
        <v>1</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1</v>
      </c>
      <c r="T747" s="120"/>
      <c r="U747" s="121" t="s">
        <v>293</v>
      </c>
      <c r="V747" s="133">
        <f t="shared" si="337"/>
        <v>1</v>
      </c>
      <c r="W747" s="133">
        <f>VLOOKUP(U747,Sheet1!$B$6:$C$45,2,FALSE)*V747</f>
        <v>0</v>
      </c>
      <c r="X747" s="141"/>
      <c r="Y747" s="121" t="s">
        <v>293</v>
      </c>
      <c r="Z747" s="146">
        <f>VLOOKUP(Takeoffs!Y747,Sheet1!$B$6:$C$124,2,FALSE)</f>
        <v>0</v>
      </c>
      <c r="AA747" s="146">
        <f t="shared" si="338"/>
        <v>0</v>
      </c>
      <c r="AB747" s="143">
        <f t="shared" si="339"/>
        <v>1</v>
      </c>
      <c r="AC747" s="133">
        <f t="shared" si="340"/>
        <v>1</v>
      </c>
      <c r="AD747" s="142">
        <v>1</v>
      </c>
      <c r="AE747" s="141"/>
      <c r="AF747" s="121" t="s">
        <v>293</v>
      </c>
      <c r="AG747" s="146">
        <f>VLOOKUP(Takeoffs!AF747,Sheet1!$B$6:$C$124,2,FALSE)</f>
        <v>0</v>
      </c>
      <c r="AH747" s="146">
        <f t="shared" si="341"/>
        <v>0</v>
      </c>
      <c r="AI747" s="143">
        <f t="shared" si="342"/>
        <v>0</v>
      </c>
      <c r="AJ747" s="133">
        <f t="shared" si="343"/>
        <v>1</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330</v>
      </c>
      <c r="P748" s="121"/>
      <c r="Q748" s="66"/>
      <c r="R748" s="121"/>
      <c r="S748" s="133">
        <f>M740</f>
        <v>1</v>
      </c>
      <c r="T748" s="120"/>
      <c r="U748" s="121" t="s">
        <v>366</v>
      </c>
      <c r="V748" s="133">
        <f t="shared" si="337"/>
        <v>1</v>
      </c>
      <c r="W748" s="133">
        <f>VLOOKUP(U748,Sheet1!$B$6:$C$45,2,FALSE)*V748</f>
        <v>2</v>
      </c>
      <c r="X748" s="141"/>
      <c r="Y748" s="121" t="s">
        <v>293</v>
      </c>
      <c r="Z748" s="146">
        <f>VLOOKUP(Takeoffs!Y748,Sheet1!$B$6:$C$124,2,FALSE)</f>
        <v>0</v>
      </c>
      <c r="AA748" s="146">
        <f t="shared" si="338"/>
        <v>0</v>
      </c>
      <c r="AB748" s="143">
        <f t="shared" si="339"/>
        <v>1</v>
      </c>
      <c r="AC748" s="133">
        <f t="shared" si="340"/>
        <v>1</v>
      </c>
      <c r="AD748" s="142">
        <v>1</v>
      </c>
      <c r="AE748" s="141"/>
      <c r="AF748" s="121" t="s">
        <v>293</v>
      </c>
      <c r="AG748" s="146">
        <f>VLOOKUP(Takeoffs!AF748,Sheet1!$B$6:$C$124,2,FALSE)</f>
        <v>0</v>
      </c>
      <c r="AH748" s="146">
        <f t="shared" si="341"/>
        <v>0</v>
      </c>
      <c r="AI748" s="143">
        <f t="shared" si="342"/>
        <v>0</v>
      </c>
      <c r="AJ748" s="133">
        <f t="shared" si="343"/>
        <v>1</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1</v>
      </c>
      <c r="T749" s="120"/>
      <c r="U749" s="121" t="s">
        <v>293</v>
      </c>
      <c r="V749" s="133">
        <f t="shared" si="337"/>
        <v>1</v>
      </c>
      <c r="W749" s="133">
        <f>VLOOKUP(U749,Sheet1!$B$6:$C$45,2,FALSE)*V749</f>
        <v>0</v>
      </c>
      <c r="X749" s="141"/>
      <c r="Y749" s="121" t="s">
        <v>293</v>
      </c>
      <c r="Z749" s="146">
        <f>VLOOKUP(Takeoffs!Y749,Sheet1!$B$6:$C$124,2,FALSE)</f>
        <v>0</v>
      </c>
      <c r="AA749" s="146">
        <f t="shared" si="338"/>
        <v>0</v>
      </c>
      <c r="AB749" s="143">
        <f t="shared" si="339"/>
        <v>1</v>
      </c>
      <c r="AC749" s="133">
        <f t="shared" si="340"/>
        <v>1</v>
      </c>
      <c r="AD749" s="142">
        <v>1</v>
      </c>
      <c r="AE749" s="141"/>
      <c r="AF749" s="121" t="s">
        <v>293</v>
      </c>
      <c r="AG749" s="146">
        <f>VLOOKUP(Takeoffs!AF749,Sheet1!$B$6:$C$124,2,FALSE)</f>
        <v>0</v>
      </c>
      <c r="AH749" s="146">
        <f t="shared" si="341"/>
        <v>0</v>
      </c>
      <c r="AI749" s="143">
        <f t="shared" si="342"/>
        <v>0</v>
      </c>
      <c r="AJ749" s="133">
        <f t="shared" si="343"/>
        <v>1</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1</v>
      </c>
      <c r="T750" s="120"/>
      <c r="U750" s="121" t="s">
        <v>293</v>
      </c>
      <c r="V750" s="133">
        <f t="shared" si="337"/>
        <v>1</v>
      </c>
      <c r="W750" s="133">
        <f>VLOOKUP(U750,Sheet1!$B$6:$C$45,2,FALSE)*V750</f>
        <v>0</v>
      </c>
      <c r="X750" s="141"/>
      <c r="Y750" s="121" t="s">
        <v>293</v>
      </c>
      <c r="Z750" s="146">
        <f>VLOOKUP(Takeoffs!Y750,Sheet1!$B$6:$C$124,2,FALSE)</f>
        <v>0</v>
      </c>
      <c r="AA750" s="146">
        <f t="shared" si="338"/>
        <v>0</v>
      </c>
      <c r="AB750" s="143">
        <f t="shared" si="339"/>
        <v>1</v>
      </c>
      <c r="AC750" s="133">
        <f t="shared" si="340"/>
        <v>1</v>
      </c>
      <c r="AD750" s="142">
        <v>1</v>
      </c>
      <c r="AE750" s="141"/>
      <c r="AF750" s="121" t="s">
        <v>293</v>
      </c>
      <c r="AG750" s="146">
        <f>VLOOKUP(Takeoffs!AF750,Sheet1!$B$6:$C$124,2,FALSE)</f>
        <v>0</v>
      </c>
      <c r="AH750" s="146">
        <f t="shared" si="341"/>
        <v>0</v>
      </c>
      <c r="AI750" s="143">
        <f t="shared" si="342"/>
        <v>0</v>
      </c>
      <c r="AJ750" s="133">
        <f t="shared" si="343"/>
        <v>1</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1</v>
      </c>
      <c r="T751" s="120"/>
      <c r="U751" s="121" t="s">
        <v>293</v>
      </c>
      <c r="V751" s="133">
        <f t="shared" si="337"/>
        <v>1</v>
      </c>
      <c r="W751" s="133">
        <f>VLOOKUP(U751,Sheet1!$B$6:$C$45,2,FALSE)*V751</f>
        <v>0</v>
      </c>
      <c r="X751" s="141"/>
      <c r="Y751" s="121" t="s">
        <v>293</v>
      </c>
      <c r="Z751" s="146">
        <f>VLOOKUP(Takeoffs!Y751,Sheet1!$B$6:$C$124,2,FALSE)</f>
        <v>0</v>
      </c>
      <c r="AA751" s="146">
        <f t="shared" si="338"/>
        <v>0</v>
      </c>
      <c r="AB751" s="143">
        <f t="shared" si="339"/>
        <v>1</v>
      </c>
      <c r="AC751" s="133">
        <f t="shared" si="340"/>
        <v>1</v>
      </c>
      <c r="AD751" s="142">
        <v>1</v>
      </c>
      <c r="AE751" s="141"/>
      <c r="AF751" s="121" t="s">
        <v>293</v>
      </c>
      <c r="AG751" s="146">
        <f>VLOOKUP(Takeoffs!AF751,Sheet1!$B$6:$C$124,2,FALSE)</f>
        <v>0</v>
      </c>
      <c r="AH751" s="146">
        <f t="shared" si="341"/>
        <v>0</v>
      </c>
      <c r="AI751" s="143">
        <f t="shared" si="342"/>
        <v>0</v>
      </c>
      <c r="AJ751" s="133">
        <f t="shared" si="343"/>
        <v>1</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1</v>
      </c>
      <c r="T752" s="120"/>
      <c r="U752" s="121" t="s">
        <v>293</v>
      </c>
      <c r="V752" s="133">
        <f t="shared" si="337"/>
        <v>1</v>
      </c>
      <c r="W752" s="133">
        <f>VLOOKUP(U752,Sheet1!$B$6:$C$45,2,FALSE)*V752</f>
        <v>0</v>
      </c>
      <c r="X752" s="141"/>
      <c r="Y752" s="121" t="s">
        <v>293</v>
      </c>
      <c r="Z752" s="146">
        <f>VLOOKUP(Takeoffs!Y752,Sheet1!$B$6:$C$124,2,FALSE)</f>
        <v>0</v>
      </c>
      <c r="AA752" s="146">
        <f t="shared" si="338"/>
        <v>0</v>
      </c>
      <c r="AB752" s="143">
        <f t="shared" si="339"/>
        <v>1</v>
      </c>
      <c r="AC752" s="133">
        <f t="shared" si="340"/>
        <v>1</v>
      </c>
      <c r="AD752" s="142">
        <v>1</v>
      </c>
      <c r="AE752" s="141"/>
      <c r="AF752" s="152" t="s">
        <v>420</v>
      </c>
      <c r="AG752" s="146">
        <f>VLOOKUP(Takeoffs!AF752,Sheet1!$B$6:$C$124,2,FALSE)</f>
        <v>0.33600000000000002</v>
      </c>
      <c r="AH752" s="146">
        <f t="shared" si="341"/>
        <v>0.33600000000000002</v>
      </c>
      <c r="AI752" s="143">
        <f t="shared" si="342"/>
        <v>1</v>
      </c>
      <c r="AJ752" s="133">
        <f t="shared" si="343"/>
        <v>1</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659</v>
      </c>
      <c r="P753" s="121"/>
      <c r="Q753" s="66"/>
      <c r="R753" s="121"/>
      <c r="S753" s="133">
        <f>M740</f>
        <v>1</v>
      </c>
      <c r="T753" s="120"/>
      <c r="U753" s="121" t="s">
        <v>232</v>
      </c>
      <c r="V753" s="133">
        <f t="shared" si="337"/>
        <v>1</v>
      </c>
      <c r="W753" s="133">
        <f>VLOOKUP(U753,Sheet1!$B$6:$C$45,2,FALSE)*V753</f>
        <v>1</v>
      </c>
      <c r="X753" s="141"/>
      <c r="Y753" s="122" t="s">
        <v>281</v>
      </c>
      <c r="Z753" s="146">
        <f>VLOOKUP(Takeoffs!Y753,Sheet1!$B$6:$C$124,2,FALSE)</f>
        <v>109.25999999999999</v>
      </c>
      <c r="AA753" s="146">
        <f t="shared" si="338"/>
        <v>218.51999999999998</v>
      </c>
      <c r="AB753" s="143">
        <f t="shared" si="339"/>
        <v>2</v>
      </c>
      <c r="AC753" s="133">
        <f t="shared" si="340"/>
        <v>1</v>
      </c>
      <c r="AD753" s="142">
        <v>2</v>
      </c>
      <c r="AE753" s="141"/>
      <c r="AF753" s="121" t="s">
        <v>293</v>
      </c>
      <c r="AG753" s="146">
        <f>VLOOKUP(Takeoffs!AF753,Sheet1!$B$6:$C$124,2,FALSE)</f>
        <v>0</v>
      </c>
      <c r="AH753" s="146">
        <f t="shared" si="341"/>
        <v>0</v>
      </c>
      <c r="AI753" s="143">
        <f t="shared" si="342"/>
        <v>0</v>
      </c>
      <c r="AJ753" s="133">
        <f t="shared" si="343"/>
        <v>1</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347</v>
      </c>
      <c r="P754" s="121" t="s">
        <v>382</v>
      </c>
      <c r="Q754" s="66" t="s">
        <v>386</v>
      </c>
      <c r="R754" s="121"/>
      <c r="S754" s="133">
        <f>M740</f>
        <v>1</v>
      </c>
      <c r="T754" s="120"/>
      <c r="U754" s="121" t="s">
        <v>293</v>
      </c>
      <c r="V754" s="133">
        <f t="shared" si="337"/>
        <v>1</v>
      </c>
      <c r="W754" s="133">
        <f>VLOOKUP(U754,Sheet1!$B$6:$C$45,2,FALSE)*V754</f>
        <v>0</v>
      </c>
      <c r="X754" s="141"/>
      <c r="Y754" s="122" t="s">
        <v>328</v>
      </c>
      <c r="Z754" s="146">
        <f>VLOOKUP(Takeoffs!Y754,Sheet1!$B$6:$C$124,2,FALSE)</f>
        <v>29.04</v>
      </c>
      <c r="AA754" s="146">
        <f t="shared" si="338"/>
        <v>29.04</v>
      </c>
      <c r="AB754" s="143">
        <f t="shared" si="339"/>
        <v>1</v>
      </c>
      <c r="AC754" s="133">
        <f t="shared" si="340"/>
        <v>1</v>
      </c>
      <c r="AD754" s="142">
        <v>1</v>
      </c>
      <c r="AE754" s="141"/>
      <c r="AF754" s="121" t="s">
        <v>293</v>
      </c>
      <c r="AG754" s="146">
        <f>VLOOKUP(Takeoffs!AF754,Sheet1!$B$6:$C$124,2,FALSE)</f>
        <v>0</v>
      </c>
      <c r="AH754" s="146">
        <f t="shared" si="341"/>
        <v>0</v>
      </c>
      <c r="AI754" s="143">
        <f t="shared" si="342"/>
        <v>0</v>
      </c>
      <c r="AJ754" s="133">
        <f t="shared" si="343"/>
        <v>1</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339</v>
      </c>
      <c r="P755" s="121"/>
      <c r="Q755" s="66"/>
      <c r="R755" s="121" t="s">
        <v>333</v>
      </c>
      <c r="S755" s="133">
        <f>M740</f>
        <v>1</v>
      </c>
      <c r="T755" s="120"/>
      <c r="U755" s="121" t="s">
        <v>293</v>
      </c>
      <c r="V755" s="133">
        <f t="shared" si="337"/>
        <v>1</v>
      </c>
      <c r="W755" s="133">
        <f>VLOOKUP(U755,Sheet1!$B$6:$C$45,2,FALSE)*V755</f>
        <v>0</v>
      </c>
      <c r="X755" s="141"/>
      <c r="Y755" s="122" t="s">
        <v>280</v>
      </c>
      <c r="Z755" s="146">
        <f>VLOOKUP(Takeoffs!Y755,Sheet1!$B$6:$C$124,2,FALSE)</f>
        <v>19.2</v>
      </c>
      <c r="AA755" s="146">
        <f t="shared" si="338"/>
        <v>38.4</v>
      </c>
      <c r="AB755" s="143">
        <f t="shared" si="339"/>
        <v>2</v>
      </c>
      <c r="AC755" s="133">
        <f t="shared" si="340"/>
        <v>1</v>
      </c>
      <c r="AD755" s="142">
        <v>2</v>
      </c>
      <c r="AE755" s="141"/>
      <c r="AF755" s="121" t="s">
        <v>293</v>
      </c>
      <c r="AG755" s="146">
        <f>VLOOKUP(Takeoffs!AF755,Sheet1!$B$6:$C$124,2,FALSE)</f>
        <v>0</v>
      </c>
      <c r="AH755" s="146">
        <f t="shared" si="341"/>
        <v>0</v>
      </c>
      <c r="AI755" s="143">
        <f t="shared" si="342"/>
        <v>0</v>
      </c>
      <c r="AJ755" s="133">
        <f t="shared" si="343"/>
        <v>1</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502</v>
      </c>
      <c r="P756" s="121"/>
      <c r="Q756" s="66"/>
      <c r="R756" s="121"/>
      <c r="S756" s="133">
        <f>M740</f>
        <v>1</v>
      </c>
      <c r="T756" s="120"/>
      <c r="U756" s="121" t="s">
        <v>293</v>
      </c>
      <c r="V756" s="133">
        <f t="shared" si="337"/>
        <v>1</v>
      </c>
      <c r="W756" s="133">
        <f>VLOOKUP(U756,Sheet1!$B$6:$C$45,2,FALSE)*V756</f>
        <v>0</v>
      </c>
      <c r="X756" s="141"/>
      <c r="Y756" s="135" t="s">
        <v>424</v>
      </c>
      <c r="Z756" s="146">
        <f>VLOOKUP(Takeoffs!Y756,Sheet1!$B$6:$C$124,2,FALSE)</f>
        <v>23.4</v>
      </c>
      <c r="AA756" s="146">
        <f t="shared" si="338"/>
        <v>46.8</v>
      </c>
      <c r="AB756" s="143">
        <f t="shared" si="339"/>
        <v>2</v>
      </c>
      <c r="AC756" s="133">
        <f t="shared" si="340"/>
        <v>1</v>
      </c>
      <c r="AD756" s="142">
        <v>2</v>
      </c>
      <c r="AE756" s="141"/>
      <c r="AF756" s="121" t="s">
        <v>293</v>
      </c>
      <c r="AG756" s="146">
        <f>VLOOKUP(Takeoffs!AF756,Sheet1!$B$6:$C$124,2,FALSE)</f>
        <v>0</v>
      </c>
      <c r="AH756" s="146">
        <f t="shared" si="341"/>
        <v>0</v>
      </c>
      <c r="AI756" s="143">
        <f t="shared" si="342"/>
        <v>0</v>
      </c>
      <c r="AJ756" s="133">
        <f t="shared" si="343"/>
        <v>1</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331</v>
      </c>
      <c r="P757" s="121"/>
      <c r="Q757" s="66"/>
      <c r="R757" s="121" t="s">
        <v>305</v>
      </c>
      <c r="S757" s="133">
        <f>M740</f>
        <v>1</v>
      </c>
      <c r="T757" s="120"/>
      <c r="U757" s="121" t="s">
        <v>293</v>
      </c>
      <c r="V757" s="133">
        <f t="shared" si="337"/>
        <v>1</v>
      </c>
      <c r="W757" s="133">
        <f>VLOOKUP(U757,Sheet1!$B$6:$C$45,2,FALSE)*V757</f>
        <v>0</v>
      </c>
      <c r="X757" s="141"/>
      <c r="Y757" s="122" t="s">
        <v>277</v>
      </c>
      <c r="Z757" s="146">
        <f>VLOOKUP(Takeoffs!Y757,Sheet1!$B$6:$C$124,2,FALSE)</f>
        <v>69.540000000000006</v>
      </c>
      <c r="AA757" s="146">
        <f t="shared" si="338"/>
        <v>69.540000000000006</v>
      </c>
      <c r="AB757" s="143">
        <f t="shared" si="339"/>
        <v>1</v>
      </c>
      <c r="AC757" s="133">
        <f t="shared" si="340"/>
        <v>1</v>
      </c>
      <c r="AD757" s="142">
        <v>1</v>
      </c>
      <c r="AE757" s="141"/>
      <c r="AF757" s="121" t="s">
        <v>293</v>
      </c>
      <c r="AG757" s="146">
        <f>VLOOKUP(Takeoffs!AF757,Sheet1!$B$6:$C$124,2,FALSE)</f>
        <v>0</v>
      </c>
      <c r="AH757" s="146">
        <f t="shared" si="341"/>
        <v>0</v>
      </c>
      <c r="AI757" s="143">
        <f t="shared" si="342"/>
        <v>0</v>
      </c>
      <c r="AJ757" s="133">
        <f t="shared" si="343"/>
        <v>1</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660</v>
      </c>
      <c r="P758" s="121"/>
      <c r="Q758" s="66"/>
      <c r="R758" s="121"/>
      <c r="S758" s="133">
        <f>M740</f>
        <v>1</v>
      </c>
      <c r="T758" s="120"/>
      <c r="U758" s="121" t="s">
        <v>293</v>
      </c>
      <c r="V758" s="133">
        <f t="shared" si="337"/>
        <v>1</v>
      </c>
      <c r="W758" s="133">
        <f>VLOOKUP(U758,Sheet1!$B$6:$C$45,2,FALSE)*V758</f>
        <v>0</v>
      </c>
      <c r="X758" s="141"/>
      <c r="Y758" s="122" t="s">
        <v>277</v>
      </c>
      <c r="Z758" s="146">
        <f>VLOOKUP(Takeoffs!Y758,Sheet1!$B$6:$C$124,2,FALSE)</f>
        <v>69.540000000000006</v>
      </c>
      <c r="AA758" s="146">
        <f t="shared" si="338"/>
        <v>69.540000000000006</v>
      </c>
      <c r="AB758" s="143">
        <f t="shared" si="339"/>
        <v>1</v>
      </c>
      <c r="AC758" s="133">
        <f t="shared" si="340"/>
        <v>1</v>
      </c>
      <c r="AD758" s="142">
        <v>1</v>
      </c>
      <c r="AE758" s="141"/>
      <c r="AF758" s="121" t="s">
        <v>293</v>
      </c>
      <c r="AG758" s="146">
        <f>VLOOKUP(Takeoffs!AF758,Sheet1!$B$6:$C$124,2,FALSE)</f>
        <v>0</v>
      </c>
      <c r="AH758" s="146">
        <f t="shared" si="341"/>
        <v>0</v>
      </c>
      <c r="AI758" s="143">
        <f t="shared" si="342"/>
        <v>0</v>
      </c>
      <c r="AJ758" s="133">
        <f t="shared" si="343"/>
        <v>1</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409</v>
      </c>
      <c r="P759" s="121"/>
      <c r="Q759" s="66"/>
      <c r="R759" s="121"/>
      <c r="S759" s="133">
        <f>M740</f>
        <v>1</v>
      </c>
      <c r="T759" s="120"/>
      <c r="U759" s="121" t="s">
        <v>293</v>
      </c>
      <c r="V759" s="133">
        <f t="shared" si="337"/>
        <v>1</v>
      </c>
      <c r="W759" s="133">
        <f>VLOOKUP(U759,Sheet1!$B$6:$C$45,2,FALSE)*V759</f>
        <v>0</v>
      </c>
      <c r="X759" s="141"/>
      <c r="Y759" s="121" t="s">
        <v>274</v>
      </c>
      <c r="Z759" s="146">
        <f>VLOOKUP(Takeoffs!Y759,Sheet1!$B$6:$C$124,2,FALSE)</f>
        <v>360</v>
      </c>
      <c r="AA759" s="146">
        <f t="shared" si="338"/>
        <v>360</v>
      </c>
      <c r="AB759" s="143">
        <f t="shared" si="339"/>
        <v>1</v>
      </c>
      <c r="AC759" s="133">
        <f t="shared" si="340"/>
        <v>1</v>
      </c>
      <c r="AD759" s="142">
        <v>1</v>
      </c>
      <c r="AE759" s="141"/>
      <c r="AF759" s="121" t="s">
        <v>293</v>
      </c>
      <c r="AG759" s="146">
        <f>VLOOKUP(Takeoffs!AF759,Sheet1!$B$6:$C$124,2,FALSE)</f>
        <v>0</v>
      </c>
      <c r="AH759" s="146">
        <f t="shared" si="341"/>
        <v>0</v>
      </c>
      <c r="AI759" s="143">
        <f t="shared" si="342"/>
        <v>0</v>
      </c>
      <c r="AJ759" s="133">
        <f t="shared" si="343"/>
        <v>1</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410</v>
      </c>
      <c r="P760" s="121"/>
      <c r="Q760" s="66"/>
      <c r="R760" s="121"/>
      <c r="S760" s="133">
        <f>M740</f>
        <v>1</v>
      </c>
      <c r="T760" s="120"/>
      <c r="U760" s="121" t="s">
        <v>364</v>
      </c>
      <c r="V760" s="133">
        <f t="shared" si="337"/>
        <v>1</v>
      </c>
      <c r="W760" s="133">
        <f>VLOOKUP(U760,Sheet1!$B$6:$C$45,2,FALSE)*V760</f>
        <v>1</v>
      </c>
      <c r="X760" s="141"/>
      <c r="Y760" s="121" t="s">
        <v>293</v>
      </c>
      <c r="Z760" s="146">
        <f>VLOOKUP(Takeoffs!Y760,Sheet1!$B$6:$C$124,2,FALSE)</f>
        <v>0</v>
      </c>
      <c r="AA760" s="146">
        <f t="shared" si="338"/>
        <v>0</v>
      </c>
      <c r="AB760" s="143">
        <f t="shared" si="339"/>
        <v>1</v>
      </c>
      <c r="AC760" s="133">
        <f t="shared" si="340"/>
        <v>1</v>
      </c>
      <c r="AD760" s="142">
        <v>1</v>
      </c>
      <c r="AE760" s="141"/>
      <c r="AF760" s="121" t="s">
        <v>293</v>
      </c>
      <c r="AG760" s="146">
        <f>VLOOKUP(Takeoffs!AF760,Sheet1!$B$6:$C$124,2,FALSE)</f>
        <v>0</v>
      </c>
      <c r="AH760" s="146">
        <f t="shared" si="341"/>
        <v>0</v>
      </c>
      <c r="AI760" s="143">
        <f t="shared" si="342"/>
        <v>0</v>
      </c>
      <c r="AJ760" s="133">
        <f t="shared" si="343"/>
        <v>1</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379</v>
      </c>
      <c r="L761" s="128" t="s">
        <v>380</v>
      </c>
      <c r="N761" s="129"/>
      <c r="O761" s="130" t="s">
        <v>359</v>
      </c>
      <c r="P761" s="155">
        <f>V761+AA761+AH761</f>
        <v>1702.5160000000001</v>
      </c>
      <c r="Q761" s="155"/>
      <c r="R761" s="131"/>
      <c r="S761" s="130"/>
      <c r="T761" s="127"/>
      <c r="U761" s="126" t="s">
        <v>353</v>
      </c>
      <c r="V761" s="127">
        <f>W761*80</f>
        <v>760</v>
      </c>
      <c r="W761" s="147">
        <f>SUM(W740:W760)</f>
        <v>9.5</v>
      </c>
      <c r="X761" s="148"/>
      <c r="Y761" s="127" t="s">
        <v>354</v>
      </c>
      <c r="Z761" s="116"/>
      <c r="AA761" s="116">
        <f>SUM(AA740:AA760)</f>
        <v>918.72</v>
      </c>
      <c r="AB761" s="149"/>
      <c r="AC761" s="149"/>
      <c r="AD761" s="149"/>
      <c r="AE761" s="149"/>
      <c r="AF761" s="127" t="s">
        <v>358</v>
      </c>
      <c r="AG761" s="116"/>
      <c r="AH761" s="116">
        <f>SUM(AH740:AH760)</f>
        <v>23.795999999999996</v>
      </c>
      <c r="AI761" s="149"/>
      <c r="AJ761" s="149"/>
      <c r="AK761" s="149"/>
      <c r="AL761" s="149"/>
      <c r="AM761" s="150">
        <f>P761</f>
        <v>1702.5160000000001</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494</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v>1</v>
      </c>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one (1)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1702.5160000000001</v>
      </c>
      <c r="L762" s="234" t="str">
        <f>CONCATENATE(Q741,Q742,Q743,Q744,Q745,Q746,Q747,Q748,Q749,Q750,Q751,Q752,Q753,Q754,Q755,Q756,Q757,Q758,Q759,Q760,)</f>
        <v>fire cabling from FIP.</v>
      </c>
      <c r="M762" s="166" t="s">
        <v>369</v>
      </c>
      <c r="N762" s="160" t="str">
        <f>N740</f>
        <v xml:space="preserve">2 speed DOL fan with fire shutdown - from MSSB power supply </v>
      </c>
      <c r="O762" s="185" t="s">
        <v>367</v>
      </c>
      <c r="P762" s="203">
        <f>P761/M740</f>
        <v>1702.5160000000001</v>
      </c>
      <c r="Q762" s="195"/>
      <c r="R762" s="188"/>
      <c r="S762" s="160"/>
      <c r="T762" s="161"/>
      <c r="U762" s="327" t="s">
        <v>368</v>
      </c>
      <c r="V762" s="327"/>
      <c r="W762" s="162">
        <f>W761/M740</f>
        <v>9.5</v>
      </c>
      <c r="X762" s="163"/>
      <c r="Y762" s="325" t="s">
        <v>367</v>
      </c>
      <c r="Z762" s="325"/>
      <c r="AA762" s="164">
        <f>AA761/M740</f>
        <v>918.72</v>
      </c>
      <c r="AB762" s="161"/>
      <c r="AC762" s="161"/>
      <c r="AD762" s="161"/>
      <c r="AE762" s="161"/>
      <c r="AF762" s="325" t="s">
        <v>367</v>
      </c>
      <c r="AG762" s="325"/>
      <c r="AH762" s="164">
        <f>AH761/M740</f>
        <v>23.795999999999996</v>
      </c>
      <c r="AI762" s="161"/>
      <c r="AJ762" s="161"/>
      <c r="AK762" s="161"/>
      <c r="AL762" s="247"/>
      <c r="AM762" s="257"/>
      <c r="AN762" s="236">
        <f>K762*$D$9</f>
        <v>425.62900000000002</v>
      </c>
      <c r="AO762" s="286"/>
      <c r="AP762" s="284">
        <f t="shared" si="331"/>
        <v>1702.5160000000001</v>
      </c>
      <c r="AQ762" s="281">
        <f t="shared" si="332"/>
        <v>760</v>
      </c>
      <c r="AR762" s="284">
        <f t="shared" si="333"/>
        <v>918.72</v>
      </c>
      <c r="AS762" s="281">
        <f t="shared" si="334"/>
        <v>23.795999999999996</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5">
      <c r="A763" s="262">
        <f>ROW()</f>
        <v>763</v>
      </c>
      <c r="C763" s="211"/>
      <c r="D763" s="211"/>
      <c r="E763" s="211"/>
      <c r="F763" s="211"/>
      <c r="G763" s="211"/>
      <c r="H763" s="211"/>
      <c r="K763" s="116" t="s">
        <v>454</v>
      </c>
      <c r="M763" s="116" t="s">
        <v>107</v>
      </c>
      <c r="N763" s="116" t="s">
        <v>108</v>
      </c>
      <c r="O763" s="170" t="s">
        <v>388</v>
      </c>
      <c r="P763" s="326" t="s">
        <v>377</v>
      </c>
      <c r="Q763" s="326"/>
      <c r="R763" s="101" t="s">
        <v>454</v>
      </c>
      <c r="S763" s="116" t="s">
        <v>0</v>
      </c>
      <c r="T763" s="118"/>
      <c r="U763" s="116" t="s">
        <v>288</v>
      </c>
      <c r="V763" s="116" t="s">
        <v>289</v>
      </c>
      <c r="W763" s="116" t="s">
        <v>292</v>
      </c>
      <c r="X763" s="140"/>
      <c r="Y763" s="116" t="s">
        <v>290</v>
      </c>
      <c r="Z763" s="116" t="s">
        <v>356</v>
      </c>
      <c r="AA763" s="116" t="s">
        <v>357</v>
      </c>
      <c r="AB763" s="116" t="s">
        <v>319</v>
      </c>
      <c r="AC763" s="116" t="s">
        <v>320</v>
      </c>
      <c r="AD763" s="116" t="s">
        <v>318</v>
      </c>
      <c r="AE763" s="140"/>
      <c r="AF763" s="116" t="s">
        <v>294</v>
      </c>
      <c r="AG763" s="116" t="s">
        <v>356</v>
      </c>
      <c r="AH763" s="116" t="s">
        <v>357</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5">
      <c r="A764" s="262">
        <f>ROW()</f>
        <v>764</v>
      </c>
      <c r="C764" s="208"/>
      <c r="D764" s="208"/>
      <c r="E764" s="208"/>
      <c r="F764" s="208"/>
      <c r="G764" s="208"/>
      <c r="H764" s="208"/>
      <c r="L764" s="124" t="str">
        <f>VLOOKUP(M764,Sheet2!$D$2:$E$1024,2,FALSE)</f>
        <v>one</v>
      </c>
      <c r="M764" s="121">
        <f>I786</f>
        <v>1</v>
      </c>
      <c r="N764" s="132" t="s">
        <v>490</v>
      </c>
      <c r="O764" s="121" t="s">
        <v>491</v>
      </c>
      <c r="P764" s="169" t="s">
        <v>381</v>
      </c>
      <c r="Q764" s="169" t="s">
        <v>377</v>
      </c>
      <c r="R764" s="169"/>
      <c r="S764" s="133">
        <f>M764</f>
        <v>1</v>
      </c>
      <c r="T764" s="119"/>
      <c r="U764" s="121" t="s">
        <v>293</v>
      </c>
      <c r="V764" s="133">
        <f>S764</f>
        <v>1</v>
      </c>
      <c r="W764" s="133">
        <f>VLOOKUP(U764,Sheet1!$B$6:$C$45,2,FALSE)*V764</f>
        <v>0</v>
      </c>
      <c r="X764" s="141"/>
      <c r="Y764" s="121" t="s">
        <v>293</v>
      </c>
      <c r="Z764" s="146">
        <f>VLOOKUP(Takeoffs!Y764,Sheet1!$B$6:$C$124,2,FALSE)</f>
        <v>0</v>
      </c>
      <c r="AA764" s="146">
        <f>Z764*AB764</f>
        <v>0</v>
      </c>
      <c r="AB764" s="143">
        <f>AD764*AC764</f>
        <v>1</v>
      </c>
      <c r="AC764" s="133">
        <f>S764</f>
        <v>1</v>
      </c>
      <c r="AD764" s="142">
        <v>1</v>
      </c>
      <c r="AE764" s="141"/>
      <c r="AF764" s="121" t="s">
        <v>293</v>
      </c>
      <c r="AG764" s="146">
        <f>VLOOKUP(Takeoffs!AF764,Sheet1!$B$6:$C$124,2,FALSE)</f>
        <v>0</v>
      </c>
      <c r="AH764" s="146">
        <f>AG764*AI764</f>
        <v>0</v>
      </c>
      <c r="AI764" s="143">
        <f>AK764*AJ764</f>
        <v>0</v>
      </c>
      <c r="AJ764" s="133">
        <f>S764</f>
        <v>1</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342</v>
      </c>
      <c r="P765" s="121"/>
      <c r="Q765" s="66"/>
      <c r="R765" s="121"/>
      <c r="S765" s="133">
        <f>M764</f>
        <v>1</v>
      </c>
      <c r="T765" s="120"/>
      <c r="U765" s="121" t="s">
        <v>293</v>
      </c>
      <c r="V765" s="133">
        <f t="shared" ref="V765:V784" si="346">S765</f>
        <v>1</v>
      </c>
      <c r="W765" s="133">
        <f>VLOOKUP(U765,Sheet1!$B$6:$C$45,2,FALSE)*V765</f>
        <v>0</v>
      </c>
      <c r="X765" s="141"/>
      <c r="Y765" s="121" t="s">
        <v>293</v>
      </c>
      <c r="Z765" s="146">
        <f>VLOOKUP(Takeoffs!Y765,Sheet1!$B$6:$C$124,2,FALSE)</f>
        <v>0</v>
      </c>
      <c r="AA765" s="146">
        <f t="shared" ref="AA765:AA784" si="347">Z765*AB765</f>
        <v>0</v>
      </c>
      <c r="AB765" s="143">
        <f t="shared" ref="AB765:AB784" si="348">AD765*AC765</f>
        <v>1</v>
      </c>
      <c r="AC765" s="133">
        <f>S765</f>
        <v>1</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1</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1</v>
      </c>
      <c r="T766" s="120"/>
      <c r="U766" s="121" t="s">
        <v>293</v>
      </c>
      <c r="V766" s="133">
        <f t="shared" si="346"/>
        <v>1</v>
      </c>
      <c r="W766" s="133">
        <f>VLOOKUP(U766,Sheet1!$B$6:$C$45,2,FALSE)*V766</f>
        <v>0</v>
      </c>
      <c r="X766" s="141"/>
      <c r="Y766" s="122" t="s">
        <v>252</v>
      </c>
      <c r="Z766" s="146">
        <f>VLOOKUP(Takeoffs!Y766,Sheet1!$B$6:$C$124,2,FALSE)</f>
        <v>43.440000000000005</v>
      </c>
      <c r="AA766" s="146">
        <f t="shared" si="347"/>
        <v>43.440000000000005</v>
      </c>
      <c r="AB766" s="143">
        <f t="shared" si="348"/>
        <v>1</v>
      </c>
      <c r="AC766" s="133">
        <f>S766</f>
        <v>1</v>
      </c>
      <c r="AD766" s="142">
        <v>1</v>
      </c>
      <c r="AE766" s="141"/>
      <c r="AF766" s="122" t="s">
        <v>268</v>
      </c>
      <c r="AG766" s="146">
        <f>VLOOKUP(Takeoffs!AF766,Sheet1!$B$6:$C$124,2,FALSE)</f>
        <v>1.02</v>
      </c>
      <c r="AH766" s="146">
        <f t="shared" si="349"/>
        <v>20.399999999999999</v>
      </c>
      <c r="AI766" s="143">
        <f t="shared" si="350"/>
        <v>20</v>
      </c>
      <c r="AJ766" s="133">
        <f t="shared" si="351"/>
        <v>1</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492</v>
      </c>
      <c r="P767" s="121"/>
      <c r="Q767" s="66"/>
      <c r="R767" s="121"/>
      <c r="S767" s="133">
        <f>M764</f>
        <v>1</v>
      </c>
      <c r="T767" s="120"/>
      <c r="U767" s="117" t="s">
        <v>481</v>
      </c>
      <c r="V767" s="133">
        <f t="shared" si="346"/>
        <v>1</v>
      </c>
      <c r="W767" s="133">
        <f>VLOOKUP(U767,Sheet1!$B$6:$C$45,2,FALSE)*V767</f>
        <v>2</v>
      </c>
      <c r="X767" s="141"/>
      <c r="Y767" s="121" t="s">
        <v>293</v>
      </c>
      <c r="Z767" s="146">
        <f>VLOOKUP(Takeoffs!Y767,Sheet1!$B$6:$C$124,2,FALSE)</f>
        <v>0</v>
      </c>
      <c r="AA767" s="146">
        <f t="shared" si="347"/>
        <v>0</v>
      </c>
      <c r="AB767" s="143">
        <f t="shared" si="348"/>
        <v>1</v>
      </c>
      <c r="AC767" s="133">
        <f t="shared" ref="AC767:AC784" si="353">S767</f>
        <v>1</v>
      </c>
      <c r="AD767" s="142">
        <v>1</v>
      </c>
      <c r="AE767" s="141"/>
      <c r="AF767" s="121" t="s">
        <v>293</v>
      </c>
      <c r="AG767" s="146">
        <f>VLOOKUP(Takeoffs!AF767,Sheet1!$B$6:$C$124,2,FALSE)</f>
        <v>0</v>
      </c>
      <c r="AH767" s="146">
        <f t="shared" si="349"/>
        <v>0</v>
      </c>
      <c r="AI767" s="143">
        <f t="shared" si="350"/>
        <v>0</v>
      </c>
      <c r="AJ767" s="133">
        <f t="shared" si="351"/>
        <v>1</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1</v>
      </c>
      <c r="T768" s="120"/>
      <c r="U768" s="121" t="s">
        <v>235</v>
      </c>
      <c r="V768" s="133">
        <f t="shared" si="346"/>
        <v>1</v>
      </c>
      <c r="W768" s="133">
        <f>VLOOKUP(U768,Sheet1!$B$6:$C$45,2,FALSE)*V768</f>
        <v>1.5</v>
      </c>
      <c r="X768" s="141"/>
      <c r="Y768" s="121" t="s">
        <v>293</v>
      </c>
      <c r="Z768" s="146">
        <f>VLOOKUP(Takeoffs!Y768,Sheet1!$B$6:$C$124,2,FALSE)</f>
        <v>0</v>
      </c>
      <c r="AA768" s="146">
        <f t="shared" si="347"/>
        <v>0</v>
      </c>
      <c r="AB768" s="143">
        <f t="shared" si="348"/>
        <v>1</v>
      </c>
      <c r="AC768" s="133">
        <f t="shared" si="353"/>
        <v>1</v>
      </c>
      <c r="AD768" s="142">
        <v>1</v>
      </c>
      <c r="AE768" s="141"/>
      <c r="AF768" s="121" t="s">
        <v>293</v>
      </c>
      <c r="AG768" s="146">
        <f>VLOOKUP(Takeoffs!AF768,Sheet1!$B$6:$C$124,2,FALSE)</f>
        <v>0</v>
      </c>
      <c r="AH768" s="146">
        <f t="shared" si="349"/>
        <v>0</v>
      </c>
      <c r="AI768" s="143">
        <f t="shared" si="350"/>
        <v>0</v>
      </c>
      <c r="AJ768" s="133">
        <f t="shared" si="351"/>
        <v>1</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1</v>
      </c>
      <c r="T769" s="120"/>
      <c r="U769" s="121" t="s">
        <v>293</v>
      </c>
      <c r="V769" s="133">
        <f t="shared" si="346"/>
        <v>1</v>
      </c>
      <c r="W769" s="133">
        <f>VLOOKUP(U769,Sheet1!$B$6:$C$45,2,FALSE)*V769</f>
        <v>0</v>
      </c>
      <c r="X769" s="141"/>
      <c r="Y769" s="121" t="s">
        <v>293</v>
      </c>
      <c r="Z769" s="146">
        <f>VLOOKUP(Takeoffs!Y769,Sheet1!$B$6:$C$124,2,FALSE)</f>
        <v>0</v>
      </c>
      <c r="AA769" s="146">
        <f t="shared" si="347"/>
        <v>0</v>
      </c>
      <c r="AB769" s="143">
        <f t="shared" si="348"/>
        <v>1</v>
      </c>
      <c r="AC769" s="133">
        <f t="shared" si="353"/>
        <v>1</v>
      </c>
      <c r="AD769" s="142">
        <v>1</v>
      </c>
      <c r="AE769" s="141"/>
      <c r="AF769" s="122" t="s">
        <v>268</v>
      </c>
      <c r="AG769" s="146">
        <f>VLOOKUP(Takeoffs!AF769,Sheet1!$B$6:$C$124,2,FALSE)</f>
        <v>1.02</v>
      </c>
      <c r="AH769" s="146">
        <f t="shared" si="349"/>
        <v>3.06</v>
      </c>
      <c r="AI769" s="143">
        <f t="shared" si="350"/>
        <v>3</v>
      </c>
      <c r="AJ769" s="133">
        <f t="shared" si="351"/>
        <v>1</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408</v>
      </c>
      <c r="P770" s="121"/>
      <c r="Q770" s="66"/>
      <c r="R770" s="121"/>
      <c r="S770" s="133">
        <f>M764</f>
        <v>1</v>
      </c>
      <c r="T770" s="120"/>
      <c r="U770" s="121" t="s">
        <v>293</v>
      </c>
      <c r="V770" s="133">
        <f t="shared" si="346"/>
        <v>1</v>
      </c>
      <c r="W770" s="133">
        <f>VLOOKUP(U770,Sheet1!$B$6:$C$45,2,FALSE)*V770</f>
        <v>0</v>
      </c>
      <c r="X770" s="141"/>
      <c r="Y770" s="121" t="s">
        <v>293</v>
      </c>
      <c r="Z770" s="146">
        <f>VLOOKUP(Takeoffs!Y770,Sheet1!$B$6:$C$124,2,FALSE)</f>
        <v>0</v>
      </c>
      <c r="AA770" s="146">
        <f t="shared" si="347"/>
        <v>0</v>
      </c>
      <c r="AB770" s="143">
        <f t="shared" si="348"/>
        <v>1</v>
      </c>
      <c r="AC770" s="133">
        <f t="shared" si="353"/>
        <v>1</v>
      </c>
      <c r="AD770" s="142">
        <v>1</v>
      </c>
      <c r="AE770" s="141"/>
      <c r="AF770" s="121" t="s">
        <v>293</v>
      </c>
      <c r="AG770" s="146">
        <f>VLOOKUP(Takeoffs!AF770,Sheet1!$B$6:$C$124,2,FALSE)</f>
        <v>0</v>
      </c>
      <c r="AH770" s="146">
        <f t="shared" si="349"/>
        <v>0</v>
      </c>
      <c r="AI770" s="143">
        <f t="shared" si="350"/>
        <v>0</v>
      </c>
      <c r="AJ770" s="133">
        <f t="shared" si="351"/>
        <v>1</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1</v>
      </c>
      <c r="T771" s="120"/>
      <c r="U771" s="121" t="s">
        <v>293</v>
      </c>
      <c r="V771" s="133">
        <f t="shared" si="346"/>
        <v>1</v>
      </c>
      <c r="W771" s="133">
        <f>VLOOKUP(U771,Sheet1!$B$6:$C$45,2,FALSE)*V771</f>
        <v>0</v>
      </c>
      <c r="X771" s="141"/>
      <c r="Y771" s="121" t="s">
        <v>293</v>
      </c>
      <c r="Z771" s="146">
        <f>VLOOKUP(Takeoffs!Y771,Sheet1!$B$6:$C$124,2,FALSE)</f>
        <v>0</v>
      </c>
      <c r="AA771" s="146">
        <f t="shared" si="347"/>
        <v>0</v>
      </c>
      <c r="AB771" s="143">
        <f t="shared" si="348"/>
        <v>1</v>
      </c>
      <c r="AC771" s="133">
        <f t="shared" si="353"/>
        <v>1</v>
      </c>
      <c r="AD771" s="142">
        <v>1</v>
      </c>
      <c r="AE771" s="141"/>
      <c r="AF771" s="121" t="s">
        <v>293</v>
      </c>
      <c r="AG771" s="146">
        <f>VLOOKUP(Takeoffs!AF771,Sheet1!$B$6:$C$124,2,FALSE)</f>
        <v>0</v>
      </c>
      <c r="AH771" s="146">
        <f t="shared" si="349"/>
        <v>0</v>
      </c>
      <c r="AI771" s="143">
        <f t="shared" si="350"/>
        <v>0</v>
      </c>
      <c r="AJ771" s="133">
        <f t="shared" si="351"/>
        <v>1</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330</v>
      </c>
      <c r="P772" s="121"/>
      <c r="Q772" s="66"/>
      <c r="R772" s="121"/>
      <c r="S772" s="133">
        <f>M764</f>
        <v>1</v>
      </c>
      <c r="T772" s="120"/>
      <c r="U772" s="121" t="s">
        <v>366</v>
      </c>
      <c r="V772" s="133">
        <f t="shared" si="346"/>
        <v>1</v>
      </c>
      <c r="W772" s="133">
        <f>VLOOKUP(U772,Sheet1!$B$6:$C$45,2,FALSE)*V772</f>
        <v>2</v>
      </c>
      <c r="X772" s="141"/>
      <c r="Y772" s="121" t="s">
        <v>293</v>
      </c>
      <c r="Z772" s="146">
        <f>VLOOKUP(Takeoffs!Y772,Sheet1!$B$6:$C$124,2,FALSE)</f>
        <v>0</v>
      </c>
      <c r="AA772" s="146">
        <f t="shared" si="347"/>
        <v>0</v>
      </c>
      <c r="AB772" s="143">
        <f t="shared" si="348"/>
        <v>1</v>
      </c>
      <c r="AC772" s="133">
        <f t="shared" si="353"/>
        <v>1</v>
      </c>
      <c r="AD772" s="142">
        <v>1</v>
      </c>
      <c r="AE772" s="141"/>
      <c r="AF772" s="121" t="s">
        <v>293</v>
      </c>
      <c r="AG772" s="146">
        <f>VLOOKUP(Takeoffs!AF772,Sheet1!$B$6:$C$124,2,FALSE)</f>
        <v>0</v>
      </c>
      <c r="AH772" s="146">
        <f t="shared" si="349"/>
        <v>0</v>
      </c>
      <c r="AI772" s="143">
        <f t="shared" si="350"/>
        <v>0</v>
      </c>
      <c r="AJ772" s="133">
        <f t="shared" si="351"/>
        <v>1</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1</v>
      </c>
      <c r="T773" s="120"/>
      <c r="U773" s="121" t="s">
        <v>293</v>
      </c>
      <c r="V773" s="133">
        <f t="shared" si="346"/>
        <v>1</v>
      </c>
      <c r="W773" s="133">
        <f>VLOOKUP(U773,Sheet1!$B$6:$C$45,2,FALSE)*V773</f>
        <v>0</v>
      </c>
      <c r="X773" s="141"/>
      <c r="Y773" s="121" t="s">
        <v>293</v>
      </c>
      <c r="Z773" s="146">
        <f>VLOOKUP(Takeoffs!Y773,Sheet1!$B$6:$C$124,2,FALSE)</f>
        <v>0</v>
      </c>
      <c r="AA773" s="146">
        <f t="shared" si="347"/>
        <v>0</v>
      </c>
      <c r="AB773" s="143">
        <f t="shared" si="348"/>
        <v>1</v>
      </c>
      <c r="AC773" s="133">
        <f t="shared" si="353"/>
        <v>1</v>
      </c>
      <c r="AD773" s="142">
        <v>1</v>
      </c>
      <c r="AE773" s="141"/>
      <c r="AF773" s="121" t="s">
        <v>293</v>
      </c>
      <c r="AG773" s="146">
        <f>VLOOKUP(Takeoffs!AF773,Sheet1!$B$6:$C$124,2,FALSE)</f>
        <v>0</v>
      </c>
      <c r="AH773" s="146">
        <f t="shared" si="349"/>
        <v>0</v>
      </c>
      <c r="AI773" s="143">
        <f t="shared" si="350"/>
        <v>0</v>
      </c>
      <c r="AJ773" s="133">
        <f t="shared" si="351"/>
        <v>1</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1</v>
      </c>
      <c r="T774" s="120"/>
      <c r="U774" s="121" t="s">
        <v>293</v>
      </c>
      <c r="V774" s="133">
        <f t="shared" si="346"/>
        <v>1</v>
      </c>
      <c r="W774" s="133">
        <f>VLOOKUP(U774,Sheet1!$B$6:$C$45,2,FALSE)*V774</f>
        <v>0</v>
      </c>
      <c r="X774" s="141"/>
      <c r="Y774" s="121" t="s">
        <v>293</v>
      </c>
      <c r="Z774" s="146">
        <f>VLOOKUP(Takeoffs!Y774,Sheet1!$B$6:$C$124,2,FALSE)</f>
        <v>0</v>
      </c>
      <c r="AA774" s="146">
        <f t="shared" si="347"/>
        <v>0</v>
      </c>
      <c r="AB774" s="143">
        <f t="shared" si="348"/>
        <v>1</v>
      </c>
      <c r="AC774" s="133">
        <f t="shared" si="353"/>
        <v>1</v>
      </c>
      <c r="AD774" s="142">
        <v>1</v>
      </c>
      <c r="AE774" s="141"/>
      <c r="AF774" s="121" t="s">
        <v>293</v>
      </c>
      <c r="AG774" s="146">
        <f>VLOOKUP(Takeoffs!AF774,Sheet1!$B$6:$C$124,2,FALSE)</f>
        <v>0</v>
      </c>
      <c r="AH774" s="146">
        <f t="shared" si="349"/>
        <v>0</v>
      </c>
      <c r="AI774" s="143">
        <f t="shared" si="350"/>
        <v>0</v>
      </c>
      <c r="AJ774" s="133">
        <f t="shared" si="351"/>
        <v>1</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1</v>
      </c>
      <c r="T775" s="120"/>
      <c r="U775" s="121" t="s">
        <v>293</v>
      </c>
      <c r="V775" s="133">
        <f t="shared" si="346"/>
        <v>1</v>
      </c>
      <c r="W775" s="133">
        <f>VLOOKUP(U775,Sheet1!$B$6:$C$45,2,FALSE)*V775</f>
        <v>0</v>
      </c>
      <c r="X775" s="141"/>
      <c r="Y775" s="121" t="s">
        <v>293</v>
      </c>
      <c r="Z775" s="146">
        <f>VLOOKUP(Takeoffs!Y775,Sheet1!$B$6:$C$124,2,FALSE)</f>
        <v>0</v>
      </c>
      <c r="AA775" s="146">
        <f t="shared" si="347"/>
        <v>0</v>
      </c>
      <c r="AB775" s="143">
        <f t="shared" si="348"/>
        <v>1</v>
      </c>
      <c r="AC775" s="133">
        <f t="shared" si="353"/>
        <v>1</v>
      </c>
      <c r="AD775" s="142">
        <v>1</v>
      </c>
      <c r="AE775" s="141"/>
      <c r="AF775" s="121" t="s">
        <v>293</v>
      </c>
      <c r="AG775" s="146">
        <f>VLOOKUP(Takeoffs!AF775,Sheet1!$B$6:$C$124,2,FALSE)</f>
        <v>0</v>
      </c>
      <c r="AH775" s="146">
        <f t="shared" si="349"/>
        <v>0</v>
      </c>
      <c r="AI775" s="143">
        <f t="shared" si="350"/>
        <v>0</v>
      </c>
      <c r="AJ775" s="133">
        <f t="shared" si="351"/>
        <v>1</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1</v>
      </c>
      <c r="T776" s="120"/>
      <c r="U776" s="121" t="s">
        <v>293</v>
      </c>
      <c r="V776" s="133">
        <f t="shared" si="346"/>
        <v>1</v>
      </c>
      <c r="W776" s="133">
        <f>VLOOKUP(U776,Sheet1!$B$6:$C$45,2,FALSE)*V776</f>
        <v>0</v>
      </c>
      <c r="X776" s="141"/>
      <c r="Y776" s="121" t="s">
        <v>293</v>
      </c>
      <c r="Z776" s="146">
        <f>VLOOKUP(Takeoffs!Y776,Sheet1!$B$6:$C$124,2,FALSE)</f>
        <v>0</v>
      </c>
      <c r="AA776" s="146">
        <f t="shared" si="347"/>
        <v>0</v>
      </c>
      <c r="AB776" s="143">
        <f t="shared" si="348"/>
        <v>1</v>
      </c>
      <c r="AC776" s="133">
        <f t="shared" si="353"/>
        <v>1</v>
      </c>
      <c r="AD776" s="142">
        <v>1</v>
      </c>
      <c r="AE776" s="141"/>
      <c r="AF776" s="152" t="s">
        <v>420</v>
      </c>
      <c r="AG776" s="146">
        <f>VLOOKUP(Takeoffs!AF776,Sheet1!$B$6:$C$124,2,FALSE)</f>
        <v>0.33600000000000002</v>
      </c>
      <c r="AH776" s="146">
        <f t="shared" si="349"/>
        <v>0.33600000000000002</v>
      </c>
      <c r="AI776" s="143">
        <f t="shared" si="350"/>
        <v>1</v>
      </c>
      <c r="AJ776" s="133">
        <f t="shared" si="351"/>
        <v>1</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1</v>
      </c>
      <c r="T777" s="120"/>
      <c r="U777" s="121" t="s">
        <v>232</v>
      </c>
      <c r="V777" s="133">
        <f t="shared" si="346"/>
        <v>1</v>
      </c>
      <c r="W777" s="133">
        <f>VLOOKUP(U777,Sheet1!$B$6:$C$45,2,FALSE)*V777</f>
        <v>1</v>
      </c>
      <c r="X777" s="141"/>
      <c r="Y777" s="122" t="s">
        <v>281</v>
      </c>
      <c r="Z777" s="146">
        <f>VLOOKUP(Takeoffs!Y777,Sheet1!$B$6:$C$124,2,FALSE)</f>
        <v>109.25999999999999</v>
      </c>
      <c r="AA777" s="146">
        <f t="shared" si="347"/>
        <v>109.25999999999999</v>
      </c>
      <c r="AB777" s="143">
        <f t="shared" si="348"/>
        <v>1</v>
      </c>
      <c r="AC777" s="133">
        <f t="shared" si="353"/>
        <v>1</v>
      </c>
      <c r="AD777" s="142">
        <v>1</v>
      </c>
      <c r="AE777" s="141"/>
      <c r="AF777" s="121" t="s">
        <v>293</v>
      </c>
      <c r="AG777" s="146">
        <f>VLOOKUP(Takeoffs!AF777,Sheet1!$B$6:$C$124,2,FALSE)</f>
        <v>0</v>
      </c>
      <c r="AH777" s="146">
        <f t="shared" si="349"/>
        <v>0</v>
      </c>
      <c r="AI777" s="143">
        <f t="shared" si="350"/>
        <v>0</v>
      </c>
      <c r="AJ777" s="133">
        <f t="shared" si="351"/>
        <v>1</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347</v>
      </c>
      <c r="P778" s="121" t="s">
        <v>382</v>
      </c>
      <c r="Q778" s="66" t="s">
        <v>386</v>
      </c>
      <c r="R778" s="121"/>
      <c r="S778" s="133">
        <f>M764</f>
        <v>1</v>
      </c>
      <c r="T778" s="120"/>
      <c r="U778" s="121" t="s">
        <v>293</v>
      </c>
      <c r="V778" s="133">
        <f t="shared" si="346"/>
        <v>1</v>
      </c>
      <c r="W778" s="133">
        <f>VLOOKUP(U778,Sheet1!$B$6:$C$45,2,FALSE)*V778</f>
        <v>0</v>
      </c>
      <c r="X778" s="141"/>
      <c r="Y778" s="122" t="s">
        <v>328</v>
      </c>
      <c r="Z778" s="146">
        <f>VLOOKUP(Takeoffs!Y778,Sheet1!$B$6:$C$124,2,FALSE)</f>
        <v>29.04</v>
      </c>
      <c r="AA778" s="146">
        <f t="shared" si="347"/>
        <v>29.04</v>
      </c>
      <c r="AB778" s="143">
        <f t="shared" si="348"/>
        <v>1</v>
      </c>
      <c r="AC778" s="133">
        <f t="shared" si="353"/>
        <v>1</v>
      </c>
      <c r="AD778" s="142">
        <v>1</v>
      </c>
      <c r="AE778" s="141"/>
      <c r="AF778" s="121" t="s">
        <v>293</v>
      </c>
      <c r="AG778" s="146">
        <f>VLOOKUP(Takeoffs!AF778,Sheet1!$B$6:$C$124,2,FALSE)</f>
        <v>0</v>
      </c>
      <c r="AH778" s="146">
        <f t="shared" si="349"/>
        <v>0</v>
      </c>
      <c r="AI778" s="143">
        <f t="shared" si="350"/>
        <v>0</v>
      </c>
      <c r="AJ778" s="133">
        <f t="shared" si="351"/>
        <v>1</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339</v>
      </c>
      <c r="P779" s="121"/>
      <c r="Q779" s="66"/>
      <c r="R779" s="121" t="s">
        <v>333</v>
      </c>
      <c r="S779" s="133">
        <f>M764</f>
        <v>1</v>
      </c>
      <c r="T779" s="120"/>
      <c r="U779" s="121" t="s">
        <v>293</v>
      </c>
      <c r="V779" s="133">
        <f t="shared" si="346"/>
        <v>1</v>
      </c>
      <c r="W779" s="133">
        <f>VLOOKUP(U779,Sheet1!$B$6:$C$45,2,FALSE)*V779</f>
        <v>0</v>
      </c>
      <c r="X779" s="141"/>
      <c r="Y779" s="122" t="s">
        <v>280</v>
      </c>
      <c r="Z779" s="146">
        <f>VLOOKUP(Takeoffs!Y779,Sheet1!$B$6:$C$124,2,FALSE)</f>
        <v>19.2</v>
      </c>
      <c r="AA779" s="146">
        <f t="shared" si="347"/>
        <v>38.4</v>
      </c>
      <c r="AB779" s="143">
        <f t="shared" si="348"/>
        <v>2</v>
      </c>
      <c r="AC779" s="133">
        <f t="shared" si="353"/>
        <v>1</v>
      </c>
      <c r="AD779" s="142">
        <v>2</v>
      </c>
      <c r="AE779" s="141"/>
      <c r="AF779" s="121" t="s">
        <v>293</v>
      </c>
      <c r="AG779" s="146">
        <f>VLOOKUP(Takeoffs!AF779,Sheet1!$B$6:$C$124,2,FALSE)</f>
        <v>0</v>
      </c>
      <c r="AH779" s="146">
        <f t="shared" si="349"/>
        <v>0</v>
      </c>
      <c r="AI779" s="143">
        <f t="shared" si="350"/>
        <v>0</v>
      </c>
      <c r="AJ779" s="133">
        <f t="shared" si="351"/>
        <v>1</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502</v>
      </c>
      <c r="P780" s="121"/>
      <c r="Q780" s="66"/>
      <c r="R780" s="121"/>
      <c r="S780" s="133">
        <f>M764</f>
        <v>1</v>
      </c>
      <c r="T780" s="120"/>
      <c r="U780" s="121" t="s">
        <v>293</v>
      </c>
      <c r="V780" s="133">
        <f t="shared" si="346"/>
        <v>1</v>
      </c>
      <c r="W780" s="133">
        <f>VLOOKUP(U780,Sheet1!$B$6:$C$45,2,FALSE)*V780</f>
        <v>0</v>
      </c>
      <c r="X780" s="141"/>
      <c r="Y780" s="135" t="s">
        <v>424</v>
      </c>
      <c r="Z780" s="146">
        <f>VLOOKUP(Takeoffs!Y780,Sheet1!$B$6:$C$124,2,FALSE)</f>
        <v>23.4</v>
      </c>
      <c r="AA780" s="146">
        <f t="shared" si="347"/>
        <v>23.4</v>
      </c>
      <c r="AB780" s="143">
        <f t="shared" si="348"/>
        <v>1</v>
      </c>
      <c r="AC780" s="133">
        <f t="shared" si="353"/>
        <v>1</v>
      </c>
      <c r="AD780" s="142">
        <v>1</v>
      </c>
      <c r="AE780" s="141"/>
      <c r="AF780" s="121" t="s">
        <v>293</v>
      </c>
      <c r="AG780" s="146">
        <f>VLOOKUP(Takeoffs!AF780,Sheet1!$B$6:$C$124,2,FALSE)</f>
        <v>0</v>
      </c>
      <c r="AH780" s="146">
        <f t="shared" si="349"/>
        <v>0</v>
      </c>
      <c r="AI780" s="143">
        <f t="shared" si="350"/>
        <v>0</v>
      </c>
      <c r="AJ780" s="133">
        <f t="shared" si="351"/>
        <v>1</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331</v>
      </c>
      <c r="P781" s="121"/>
      <c r="Q781" s="66"/>
      <c r="R781" s="121" t="s">
        <v>305</v>
      </c>
      <c r="S781" s="133">
        <f>M764</f>
        <v>1</v>
      </c>
      <c r="T781" s="120"/>
      <c r="U781" s="121" t="s">
        <v>293</v>
      </c>
      <c r="V781" s="133">
        <f t="shared" si="346"/>
        <v>1</v>
      </c>
      <c r="W781" s="133">
        <f>VLOOKUP(U781,Sheet1!$B$6:$C$45,2,FALSE)*V781</f>
        <v>0</v>
      </c>
      <c r="X781" s="141"/>
      <c r="Y781" s="122" t="s">
        <v>277</v>
      </c>
      <c r="Z781" s="146">
        <f>VLOOKUP(Takeoffs!Y781,Sheet1!$B$6:$C$124,2,FALSE)</f>
        <v>69.540000000000006</v>
      </c>
      <c r="AA781" s="146">
        <f t="shared" si="347"/>
        <v>69.540000000000006</v>
      </c>
      <c r="AB781" s="143">
        <f t="shared" si="348"/>
        <v>1</v>
      </c>
      <c r="AC781" s="133">
        <f t="shared" si="353"/>
        <v>1</v>
      </c>
      <c r="AD781" s="142">
        <v>1</v>
      </c>
      <c r="AE781" s="141"/>
      <c r="AF781" s="121" t="s">
        <v>293</v>
      </c>
      <c r="AG781" s="146">
        <f>VLOOKUP(Takeoffs!AF781,Sheet1!$B$6:$C$124,2,FALSE)</f>
        <v>0</v>
      </c>
      <c r="AH781" s="146">
        <f t="shared" si="349"/>
        <v>0</v>
      </c>
      <c r="AI781" s="143">
        <f t="shared" si="350"/>
        <v>0</v>
      </c>
      <c r="AJ781" s="133">
        <f t="shared" si="351"/>
        <v>1</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503</v>
      </c>
      <c r="P782" s="121"/>
      <c r="Q782" s="66"/>
      <c r="R782" s="121"/>
      <c r="S782" s="133">
        <f>M764</f>
        <v>1</v>
      </c>
      <c r="T782" s="120"/>
      <c r="U782" s="121" t="s">
        <v>293</v>
      </c>
      <c r="V782" s="133">
        <f t="shared" si="346"/>
        <v>1</v>
      </c>
      <c r="W782" s="133">
        <f>VLOOKUP(U782,Sheet1!$B$6:$C$45,2,FALSE)*V782</f>
        <v>0</v>
      </c>
      <c r="X782" s="141"/>
      <c r="Y782" s="121" t="s">
        <v>293</v>
      </c>
      <c r="Z782" s="146">
        <f>VLOOKUP(Takeoffs!Y782,Sheet1!$B$6:$C$124,2,FALSE)</f>
        <v>0</v>
      </c>
      <c r="AA782" s="146">
        <f t="shared" si="347"/>
        <v>0</v>
      </c>
      <c r="AB782" s="143">
        <f t="shared" si="348"/>
        <v>1</v>
      </c>
      <c r="AC782" s="133">
        <f t="shared" si="353"/>
        <v>1</v>
      </c>
      <c r="AD782" s="142">
        <v>1</v>
      </c>
      <c r="AE782" s="141"/>
      <c r="AF782" s="121" t="s">
        <v>293</v>
      </c>
      <c r="AG782" s="146">
        <f>VLOOKUP(Takeoffs!AF782,Sheet1!$B$6:$C$124,2,FALSE)</f>
        <v>0</v>
      </c>
      <c r="AH782" s="146">
        <f t="shared" si="349"/>
        <v>0</v>
      </c>
      <c r="AI782" s="143">
        <f t="shared" si="350"/>
        <v>0</v>
      </c>
      <c r="AJ782" s="133">
        <f t="shared" si="351"/>
        <v>1</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409</v>
      </c>
      <c r="P783" s="121"/>
      <c r="Q783" s="66"/>
      <c r="R783" s="121"/>
      <c r="S783" s="133">
        <f>M764</f>
        <v>1</v>
      </c>
      <c r="T783" s="120"/>
      <c r="U783" s="121" t="s">
        <v>293</v>
      </c>
      <c r="V783" s="133">
        <f t="shared" si="346"/>
        <v>1</v>
      </c>
      <c r="W783" s="133">
        <f>VLOOKUP(U783,Sheet1!$B$6:$C$45,2,FALSE)*V783</f>
        <v>0</v>
      </c>
      <c r="X783" s="141"/>
      <c r="Y783" s="121" t="s">
        <v>274</v>
      </c>
      <c r="Z783" s="146">
        <f>VLOOKUP(Takeoffs!Y783,Sheet1!$B$6:$C$124,2,FALSE)</f>
        <v>360</v>
      </c>
      <c r="AA783" s="146">
        <f t="shared" si="347"/>
        <v>360</v>
      </c>
      <c r="AB783" s="143">
        <f t="shared" si="348"/>
        <v>1</v>
      </c>
      <c r="AC783" s="133">
        <f t="shared" si="353"/>
        <v>1</v>
      </c>
      <c r="AD783" s="142">
        <v>1</v>
      </c>
      <c r="AE783" s="141"/>
      <c r="AF783" s="121" t="s">
        <v>293</v>
      </c>
      <c r="AG783" s="146">
        <f>VLOOKUP(Takeoffs!AF783,Sheet1!$B$6:$C$124,2,FALSE)</f>
        <v>0</v>
      </c>
      <c r="AH783" s="146">
        <f t="shared" si="349"/>
        <v>0</v>
      </c>
      <c r="AI783" s="143">
        <f t="shared" si="350"/>
        <v>0</v>
      </c>
      <c r="AJ783" s="133">
        <f t="shared" si="351"/>
        <v>1</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410</v>
      </c>
      <c r="P784" s="121"/>
      <c r="Q784" s="66"/>
      <c r="R784" s="121"/>
      <c r="S784" s="133">
        <f>M764</f>
        <v>1</v>
      </c>
      <c r="T784" s="120"/>
      <c r="U784" s="121" t="s">
        <v>364</v>
      </c>
      <c r="V784" s="133">
        <f t="shared" si="346"/>
        <v>1</v>
      </c>
      <c r="W784" s="133">
        <f>VLOOKUP(U784,Sheet1!$B$6:$C$45,2,FALSE)*V784</f>
        <v>1</v>
      </c>
      <c r="X784" s="141"/>
      <c r="Y784" s="121" t="s">
        <v>293</v>
      </c>
      <c r="Z784" s="146">
        <f>VLOOKUP(Takeoffs!Y784,Sheet1!$B$6:$C$124,2,FALSE)</f>
        <v>0</v>
      </c>
      <c r="AA784" s="146">
        <f t="shared" si="347"/>
        <v>0</v>
      </c>
      <c r="AB784" s="143">
        <f t="shared" si="348"/>
        <v>1</v>
      </c>
      <c r="AC784" s="133">
        <f t="shared" si="353"/>
        <v>1</v>
      </c>
      <c r="AD784" s="142">
        <v>1</v>
      </c>
      <c r="AE784" s="141"/>
      <c r="AF784" s="121" t="s">
        <v>293</v>
      </c>
      <c r="AG784" s="146">
        <f>VLOOKUP(Takeoffs!AF784,Sheet1!$B$6:$C$124,2,FALSE)</f>
        <v>0</v>
      </c>
      <c r="AH784" s="146">
        <f t="shared" si="349"/>
        <v>0</v>
      </c>
      <c r="AI784" s="143">
        <f t="shared" si="350"/>
        <v>0</v>
      </c>
      <c r="AJ784" s="133">
        <f t="shared" si="351"/>
        <v>1</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379</v>
      </c>
      <c r="L785" s="128" t="s">
        <v>380</v>
      </c>
      <c r="N785" s="129"/>
      <c r="O785" s="130" t="s">
        <v>359</v>
      </c>
      <c r="P785" s="155">
        <f>V785+AA785+AH785</f>
        <v>1296.876</v>
      </c>
      <c r="Q785" s="155"/>
      <c r="R785" s="131"/>
      <c r="S785" s="130"/>
      <c r="T785" s="127"/>
      <c r="U785" s="126" t="s">
        <v>353</v>
      </c>
      <c r="V785" s="127">
        <f>W785*80</f>
        <v>600</v>
      </c>
      <c r="W785" s="147">
        <f>SUM(W764:W784)</f>
        <v>7.5</v>
      </c>
      <c r="X785" s="148"/>
      <c r="Y785" s="127" t="s">
        <v>354</v>
      </c>
      <c r="Z785" s="116"/>
      <c r="AA785" s="116">
        <f>SUM(AA764:AA784)</f>
        <v>673.07999999999993</v>
      </c>
      <c r="AB785" s="149"/>
      <c r="AC785" s="149"/>
      <c r="AD785" s="149"/>
      <c r="AE785" s="149"/>
      <c r="AF785" s="127" t="s">
        <v>358</v>
      </c>
      <c r="AG785" s="116"/>
      <c r="AH785" s="116">
        <f>SUM(AH764:AH784)</f>
        <v>23.795999999999996</v>
      </c>
      <c r="AI785" s="149"/>
      <c r="AJ785" s="149"/>
      <c r="AK785" s="149"/>
      <c r="AL785" s="149"/>
      <c r="AM785" s="150">
        <f>P785</f>
        <v>1296.876</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494</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v>1</v>
      </c>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one (1)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1296.876</v>
      </c>
      <c r="L786" s="234" t="str">
        <f>CONCATENATE(Q765,Q766,Q767,Q768,Q769,Q770,Q771,Q772,Q773,Q774,Q775,Q776,Q777,Q778,Q779,Q780,Q781,Q782,Q783,Q784,)</f>
        <v>fire cabling from FIP.</v>
      </c>
      <c r="M786" s="166" t="s">
        <v>369</v>
      </c>
      <c r="N786" s="160" t="str">
        <f>N764</f>
        <v>DOL fan with fire shutdown - from MSSB power supply and BMS interface provisions</v>
      </c>
      <c r="O786" s="185" t="s">
        <v>367</v>
      </c>
      <c r="P786" s="203">
        <f>P785/M764</f>
        <v>1296.876</v>
      </c>
      <c r="Q786" s="195"/>
      <c r="R786" s="188"/>
      <c r="S786" s="160"/>
      <c r="T786" s="161"/>
      <c r="U786" s="327" t="s">
        <v>368</v>
      </c>
      <c r="V786" s="327"/>
      <c r="W786" s="162">
        <f>W785/M764</f>
        <v>7.5</v>
      </c>
      <c r="X786" s="163"/>
      <c r="Y786" s="325" t="s">
        <v>367</v>
      </c>
      <c r="Z786" s="325"/>
      <c r="AA786" s="164">
        <f>AA785/M764</f>
        <v>673.07999999999993</v>
      </c>
      <c r="AB786" s="161"/>
      <c r="AC786" s="161"/>
      <c r="AD786" s="161"/>
      <c r="AE786" s="161"/>
      <c r="AF786" s="325" t="s">
        <v>367</v>
      </c>
      <c r="AG786" s="325"/>
      <c r="AH786" s="164">
        <f>AH785/M764</f>
        <v>23.795999999999996</v>
      </c>
      <c r="AI786" s="161"/>
      <c r="AJ786" s="161"/>
      <c r="AK786" s="161"/>
      <c r="AL786" s="247"/>
      <c r="AM786" s="257"/>
      <c r="AN786" s="236">
        <f>K786*$D$9</f>
        <v>324.21899999999999</v>
      </c>
      <c r="AO786" s="286"/>
      <c r="AP786" s="284">
        <f t="shared" si="331"/>
        <v>1296.876</v>
      </c>
      <c r="AQ786" s="281">
        <f t="shared" si="332"/>
        <v>600</v>
      </c>
      <c r="AR786" s="284">
        <f t="shared" si="333"/>
        <v>673.07999999999993</v>
      </c>
      <c r="AS786" s="281">
        <f t="shared" si="334"/>
        <v>23.795999999999996</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454</v>
      </c>
      <c r="M787" s="116" t="s">
        <v>107</v>
      </c>
      <c r="N787" s="116" t="s">
        <v>108</v>
      </c>
      <c r="O787" s="170" t="s">
        <v>388</v>
      </c>
      <c r="P787" s="328" t="s">
        <v>377</v>
      </c>
      <c r="Q787" s="328"/>
      <c r="R787" s="101" t="s">
        <v>454</v>
      </c>
      <c r="S787" s="116" t="s">
        <v>0</v>
      </c>
      <c r="T787" s="118"/>
      <c r="U787" s="116" t="s">
        <v>288</v>
      </c>
      <c r="V787" s="116" t="s">
        <v>289</v>
      </c>
      <c r="W787" s="116" t="s">
        <v>292</v>
      </c>
      <c r="X787" s="140"/>
      <c r="Y787" s="116" t="s">
        <v>290</v>
      </c>
      <c r="Z787" s="116" t="s">
        <v>356</v>
      </c>
      <c r="AA787" s="116" t="s">
        <v>357</v>
      </c>
      <c r="AB787" s="116" t="s">
        <v>319</v>
      </c>
      <c r="AC787" s="116" t="s">
        <v>320</v>
      </c>
      <c r="AD787" s="116" t="s">
        <v>318</v>
      </c>
      <c r="AE787" s="140"/>
      <c r="AF787" s="116" t="s">
        <v>294</v>
      </c>
      <c r="AG787" s="116" t="s">
        <v>356</v>
      </c>
      <c r="AH787" s="116" t="s">
        <v>357</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one</v>
      </c>
      <c r="M788" s="121">
        <f>I810</f>
        <v>1</v>
      </c>
      <c r="N788" s="132" t="s">
        <v>583</v>
      </c>
      <c r="O788" s="121" t="s">
        <v>133</v>
      </c>
      <c r="P788" s="169" t="s">
        <v>381</v>
      </c>
      <c r="Q788" s="169" t="s">
        <v>377</v>
      </c>
      <c r="R788" s="169"/>
      <c r="S788" s="133">
        <f>M788</f>
        <v>1</v>
      </c>
      <c r="T788" s="119"/>
      <c r="U788" s="121" t="s">
        <v>293</v>
      </c>
      <c r="V788" s="133">
        <f>S788</f>
        <v>1</v>
      </c>
      <c r="W788" s="133">
        <f>VLOOKUP(U788,Sheet1!$B$6:$C$45,2,FALSE)*V788</f>
        <v>0</v>
      </c>
      <c r="X788" s="141"/>
      <c r="Y788" s="121" t="s">
        <v>293</v>
      </c>
      <c r="Z788" s="146">
        <f>VLOOKUP(Takeoffs!Y788,Sheet1!$B$6:$C$124,2,FALSE)</f>
        <v>0</v>
      </c>
      <c r="AA788" s="146">
        <f>Z788*AB788</f>
        <v>0</v>
      </c>
      <c r="AB788" s="143">
        <f>AD788*AC788</f>
        <v>1</v>
      </c>
      <c r="AC788" s="133">
        <f>S788</f>
        <v>1</v>
      </c>
      <c r="AD788" s="142">
        <v>1</v>
      </c>
      <c r="AE788" s="141"/>
      <c r="AF788" s="121" t="s">
        <v>293</v>
      </c>
      <c r="AG788" s="146">
        <f>VLOOKUP(Takeoffs!AF788,Sheet1!$B$6:$C$124,2,FALSE)</f>
        <v>0</v>
      </c>
      <c r="AH788" s="146">
        <f>AG788*AI788</f>
        <v>0</v>
      </c>
      <c r="AI788" s="143">
        <f>AK788*AJ788</f>
        <v>0</v>
      </c>
      <c r="AJ788" s="133">
        <f>S788</f>
        <v>1</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342</v>
      </c>
      <c r="P789" s="121"/>
      <c r="Q789" s="66"/>
      <c r="R789" s="121"/>
      <c r="S789" s="133">
        <f>M788</f>
        <v>1</v>
      </c>
      <c r="T789" s="120"/>
      <c r="U789" s="121" t="s">
        <v>293</v>
      </c>
      <c r="V789" s="133">
        <f t="shared" ref="V789:V808" si="360">S789</f>
        <v>1</v>
      </c>
      <c r="W789" s="133">
        <f>VLOOKUP(U789,Sheet1!$B$6:$C$45,2,FALSE)*V789</f>
        <v>0</v>
      </c>
      <c r="X789" s="141"/>
      <c r="Y789" s="121" t="s">
        <v>293</v>
      </c>
      <c r="Z789" s="146">
        <f>VLOOKUP(Takeoffs!Y789,Sheet1!$B$6:$C$124,2,FALSE)</f>
        <v>0</v>
      </c>
      <c r="AA789" s="146">
        <f t="shared" ref="AA789:AA808" si="361">Z789*AB789</f>
        <v>0</v>
      </c>
      <c r="AB789" s="143">
        <f t="shared" ref="AB789:AB808" si="362">AD789*AC789</f>
        <v>1</v>
      </c>
      <c r="AC789" s="133">
        <f t="shared" ref="AC789:AC808" si="363">S789</f>
        <v>1</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1</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1</v>
      </c>
      <c r="T790" s="120"/>
      <c r="U790" s="121" t="s">
        <v>293</v>
      </c>
      <c r="V790" s="133">
        <f t="shared" si="360"/>
        <v>1</v>
      </c>
      <c r="W790" s="133">
        <f>VLOOKUP(U790,Sheet1!$B$6:$C$45,2,FALSE)*V790</f>
        <v>0</v>
      </c>
      <c r="X790" s="141"/>
      <c r="Y790" s="122" t="s">
        <v>252</v>
      </c>
      <c r="Z790" s="146">
        <f>VLOOKUP(Takeoffs!Y790,Sheet1!$B$6:$C$124,2,FALSE)</f>
        <v>43.440000000000005</v>
      </c>
      <c r="AA790" s="146">
        <f t="shared" si="361"/>
        <v>43.440000000000005</v>
      </c>
      <c r="AB790" s="143">
        <f t="shared" si="362"/>
        <v>1</v>
      </c>
      <c r="AC790" s="133">
        <f t="shared" si="363"/>
        <v>1</v>
      </c>
      <c r="AD790" s="142">
        <v>1</v>
      </c>
      <c r="AE790" s="141"/>
      <c r="AF790" s="122" t="s">
        <v>268</v>
      </c>
      <c r="AG790" s="146">
        <f>VLOOKUP(Takeoffs!AF790,Sheet1!$B$6:$C$124,2,FALSE)</f>
        <v>1.02</v>
      </c>
      <c r="AH790" s="146">
        <f t="shared" si="364"/>
        <v>20.399999999999999</v>
      </c>
      <c r="AI790" s="143">
        <f t="shared" si="365"/>
        <v>20</v>
      </c>
      <c r="AJ790" s="133">
        <f t="shared" si="366"/>
        <v>1</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1</v>
      </c>
      <c r="T791" s="120"/>
      <c r="U791" s="117" t="s">
        <v>481</v>
      </c>
      <c r="V791" s="133">
        <f t="shared" si="360"/>
        <v>1</v>
      </c>
      <c r="W791" s="133">
        <f>VLOOKUP(U791,Sheet1!$B$6:$C$45,2,FALSE)*V791</f>
        <v>2</v>
      </c>
      <c r="X791" s="141"/>
      <c r="Y791" s="121" t="s">
        <v>293</v>
      </c>
      <c r="Z791" s="146">
        <f>VLOOKUP(Takeoffs!Y791,Sheet1!$B$6:$C$124,2,FALSE)</f>
        <v>0</v>
      </c>
      <c r="AA791" s="146">
        <f t="shared" si="361"/>
        <v>0</v>
      </c>
      <c r="AB791" s="143">
        <f t="shared" si="362"/>
        <v>1</v>
      </c>
      <c r="AC791" s="133">
        <f t="shared" si="363"/>
        <v>1</v>
      </c>
      <c r="AD791" s="142">
        <v>1</v>
      </c>
      <c r="AE791" s="141"/>
      <c r="AF791" s="121" t="s">
        <v>293</v>
      </c>
      <c r="AG791" s="146">
        <f>VLOOKUP(Takeoffs!AF791,Sheet1!$B$6:$C$124,2,FALSE)</f>
        <v>0</v>
      </c>
      <c r="AH791" s="146">
        <f t="shared" si="364"/>
        <v>0</v>
      </c>
      <c r="AI791" s="143">
        <f t="shared" si="365"/>
        <v>0</v>
      </c>
      <c r="AJ791" s="133">
        <f t="shared" si="366"/>
        <v>1</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579</v>
      </c>
      <c r="P792" s="121" t="s">
        <v>580</v>
      </c>
      <c r="Q792" s="66" t="s">
        <v>581</v>
      </c>
      <c r="R792" s="121"/>
      <c r="S792" s="133">
        <f>M788</f>
        <v>1</v>
      </c>
      <c r="T792" s="120"/>
      <c r="U792" s="121" t="s">
        <v>235</v>
      </c>
      <c r="V792" s="133">
        <f t="shared" si="360"/>
        <v>1</v>
      </c>
      <c r="W792" s="133">
        <f>VLOOKUP(U792,Sheet1!$B$6:$C$45,2,FALSE)*V792</f>
        <v>1.5</v>
      </c>
      <c r="X792" s="141"/>
      <c r="Y792" s="121" t="s">
        <v>293</v>
      </c>
      <c r="Z792" s="146">
        <f>VLOOKUP(Takeoffs!Y792,Sheet1!$B$6:$C$124,2,FALSE)</f>
        <v>0</v>
      </c>
      <c r="AA792" s="146">
        <f t="shared" si="361"/>
        <v>0</v>
      </c>
      <c r="AB792" s="143">
        <f t="shared" si="362"/>
        <v>1</v>
      </c>
      <c r="AC792" s="133">
        <f t="shared" si="363"/>
        <v>1</v>
      </c>
      <c r="AD792" s="142">
        <v>1</v>
      </c>
      <c r="AE792" s="141"/>
      <c r="AF792" s="121" t="s">
        <v>293</v>
      </c>
      <c r="AG792" s="146">
        <f>VLOOKUP(Takeoffs!AF792,Sheet1!$B$6:$C$124,2,FALSE)</f>
        <v>0</v>
      </c>
      <c r="AH792" s="146">
        <f t="shared" si="364"/>
        <v>0</v>
      </c>
      <c r="AI792" s="143">
        <f t="shared" si="365"/>
        <v>0</v>
      </c>
      <c r="AJ792" s="133">
        <f t="shared" si="366"/>
        <v>1</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392</v>
      </c>
      <c r="P793" s="121"/>
      <c r="Q793" s="66"/>
      <c r="R793" s="121"/>
      <c r="S793" s="133">
        <f>M788</f>
        <v>1</v>
      </c>
      <c r="T793" s="120"/>
      <c r="U793" s="121" t="s">
        <v>293</v>
      </c>
      <c r="V793" s="133">
        <f t="shared" si="360"/>
        <v>1</v>
      </c>
      <c r="W793" s="133">
        <f>VLOOKUP(U793,Sheet1!$B$6:$C$45,2,FALSE)*V793</f>
        <v>0</v>
      </c>
      <c r="X793" s="141"/>
      <c r="Y793" s="121" t="s">
        <v>293</v>
      </c>
      <c r="Z793" s="146">
        <f>VLOOKUP(Takeoffs!Y793,Sheet1!$B$6:$C$124,2,FALSE)</f>
        <v>0</v>
      </c>
      <c r="AA793" s="146">
        <f t="shared" si="361"/>
        <v>0</v>
      </c>
      <c r="AB793" s="143">
        <f t="shared" si="362"/>
        <v>1</v>
      </c>
      <c r="AC793" s="133">
        <f t="shared" si="363"/>
        <v>1</v>
      </c>
      <c r="AD793" s="142">
        <v>1</v>
      </c>
      <c r="AE793" s="141"/>
      <c r="AF793" s="122" t="s">
        <v>268</v>
      </c>
      <c r="AG793" s="146">
        <f>VLOOKUP(Takeoffs!AF793,Sheet1!$B$6:$C$124,2,FALSE)</f>
        <v>1.02</v>
      </c>
      <c r="AH793" s="146">
        <f t="shared" si="364"/>
        <v>3.06</v>
      </c>
      <c r="AI793" s="143">
        <f t="shared" si="365"/>
        <v>3</v>
      </c>
      <c r="AJ793" s="133">
        <f t="shared" si="366"/>
        <v>1</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1</v>
      </c>
      <c r="T794" s="120"/>
      <c r="U794" s="121" t="s">
        <v>293</v>
      </c>
      <c r="V794" s="133">
        <f t="shared" si="360"/>
        <v>1</v>
      </c>
      <c r="W794" s="133">
        <f>VLOOKUP(U794,Sheet1!$B$6:$C$45,2,FALSE)*V794</f>
        <v>0</v>
      </c>
      <c r="X794" s="141"/>
      <c r="Y794" s="121" t="s">
        <v>293</v>
      </c>
      <c r="Z794" s="146">
        <f>VLOOKUP(Takeoffs!Y794,Sheet1!$B$6:$C$124,2,FALSE)</f>
        <v>0</v>
      </c>
      <c r="AA794" s="146">
        <f t="shared" si="361"/>
        <v>0</v>
      </c>
      <c r="AB794" s="143">
        <f t="shared" si="362"/>
        <v>1</v>
      </c>
      <c r="AC794" s="133">
        <f t="shared" si="363"/>
        <v>1</v>
      </c>
      <c r="AD794" s="142">
        <v>1</v>
      </c>
      <c r="AE794" s="141"/>
      <c r="AF794" s="121" t="s">
        <v>293</v>
      </c>
      <c r="AG794" s="146">
        <f>VLOOKUP(Takeoffs!AF794,Sheet1!$B$6:$C$124,2,FALSE)</f>
        <v>0</v>
      </c>
      <c r="AH794" s="146">
        <f t="shared" si="364"/>
        <v>0</v>
      </c>
      <c r="AI794" s="143">
        <f t="shared" si="365"/>
        <v>0</v>
      </c>
      <c r="AJ794" s="133">
        <f t="shared" si="366"/>
        <v>1</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1</v>
      </c>
      <c r="T795" s="120"/>
      <c r="U795" s="121" t="s">
        <v>293</v>
      </c>
      <c r="V795" s="133">
        <f t="shared" si="360"/>
        <v>1</v>
      </c>
      <c r="W795" s="133">
        <f>VLOOKUP(U795,Sheet1!$B$6:$C$45,2,FALSE)*V795</f>
        <v>0</v>
      </c>
      <c r="X795" s="141"/>
      <c r="Y795" s="121" t="s">
        <v>293</v>
      </c>
      <c r="Z795" s="146">
        <f>VLOOKUP(Takeoffs!Y795,Sheet1!$B$6:$C$124,2,FALSE)</f>
        <v>0</v>
      </c>
      <c r="AA795" s="146">
        <f t="shared" si="361"/>
        <v>0</v>
      </c>
      <c r="AB795" s="143">
        <f t="shared" si="362"/>
        <v>1</v>
      </c>
      <c r="AC795" s="133">
        <f t="shared" si="363"/>
        <v>1</v>
      </c>
      <c r="AD795" s="142">
        <v>1</v>
      </c>
      <c r="AE795" s="141"/>
      <c r="AF795" s="121" t="s">
        <v>293</v>
      </c>
      <c r="AG795" s="146">
        <f>VLOOKUP(Takeoffs!AF795,Sheet1!$B$6:$C$124,2,FALSE)</f>
        <v>0</v>
      </c>
      <c r="AH795" s="146">
        <f t="shared" si="364"/>
        <v>0</v>
      </c>
      <c r="AI795" s="143">
        <f t="shared" si="365"/>
        <v>0</v>
      </c>
      <c r="AJ795" s="133">
        <f t="shared" si="366"/>
        <v>1</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330</v>
      </c>
      <c r="P796" s="121"/>
      <c r="Q796" s="66"/>
      <c r="R796" s="121"/>
      <c r="S796" s="133">
        <f>M788</f>
        <v>1</v>
      </c>
      <c r="T796" s="120"/>
      <c r="U796" s="121" t="s">
        <v>366</v>
      </c>
      <c r="V796" s="133">
        <f t="shared" si="360"/>
        <v>1</v>
      </c>
      <c r="W796" s="133">
        <f>VLOOKUP(U796,Sheet1!$B$6:$C$45,2,FALSE)*V796</f>
        <v>2</v>
      </c>
      <c r="X796" s="141"/>
      <c r="Y796" s="121" t="s">
        <v>293</v>
      </c>
      <c r="Z796" s="146">
        <f>VLOOKUP(Takeoffs!Y796,Sheet1!$B$6:$C$124,2,FALSE)</f>
        <v>0</v>
      </c>
      <c r="AA796" s="146">
        <f t="shared" si="361"/>
        <v>0</v>
      </c>
      <c r="AB796" s="143">
        <f t="shared" si="362"/>
        <v>1</v>
      </c>
      <c r="AC796" s="133">
        <f t="shared" si="363"/>
        <v>1</v>
      </c>
      <c r="AD796" s="142">
        <v>1</v>
      </c>
      <c r="AE796" s="141"/>
      <c r="AF796" s="121" t="s">
        <v>293</v>
      </c>
      <c r="AG796" s="146">
        <f>VLOOKUP(Takeoffs!AF796,Sheet1!$B$6:$C$124,2,FALSE)</f>
        <v>0</v>
      </c>
      <c r="AH796" s="146">
        <f t="shared" si="364"/>
        <v>0</v>
      </c>
      <c r="AI796" s="143">
        <f t="shared" si="365"/>
        <v>0</v>
      </c>
      <c r="AJ796" s="133">
        <f t="shared" si="366"/>
        <v>1</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1</v>
      </c>
      <c r="T797" s="120"/>
      <c r="U797" s="121" t="s">
        <v>293</v>
      </c>
      <c r="V797" s="133">
        <f t="shared" si="360"/>
        <v>1</v>
      </c>
      <c r="W797" s="133">
        <f>VLOOKUP(U797,Sheet1!$B$6:$C$45,2,FALSE)*V797</f>
        <v>0</v>
      </c>
      <c r="X797" s="141"/>
      <c r="Y797" s="121" t="s">
        <v>293</v>
      </c>
      <c r="Z797" s="146">
        <f>VLOOKUP(Takeoffs!Y797,Sheet1!$B$6:$C$124,2,FALSE)</f>
        <v>0</v>
      </c>
      <c r="AA797" s="146">
        <f t="shared" si="361"/>
        <v>0</v>
      </c>
      <c r="AB797" s="143">
        <f t="shared" si="362"/>
        <v>1</v>
      </c>
      <c r="AC797" s="133">
        <f t="shared" si="363"/>
        <v>1</v>
      </c>
      <c r="AD797" s="142">
        <v>1</v>
      </c>
      <c r="AE797" s="141"/>
      <c r="AF797" s="121" t="s">
        <v>293</v>
      </c>
      <c r="AG797" s="146">
        <f>VLOOKUP(Takeoffs!AF797,Sheet1!$B$6:$C$124,2,FALSE)</f>
        <v>0</v>
      </c>
      <c r="AH797" s="146">
        <f t="shared" si="364"/>
        <v>0</v>
      </c>
      <c r="AI797" s="143">
        <f t="shared" si="365"/>
        <v>0</v>
      </c>
      <c r="AJ797" s="133">
        <f t="shared" si="366"/>
        <v>1</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1</v>
      </c>
      <c r="T798" s="120"/>
      <c r="U798" s="121" t="s">
        <v>293</v>
      </c>
      <c r="V798" s="133">
        <f t="shared" si="360"/>
        <v>1</v>
      </c>
      <c r="W798" s="133">
        <f>VLOOKUP(U798,Sheet1!$B$6:$C$45,2,FALSE)*V798</f>
        <v>0</v>
      </c>
      <c r="X798" s="141"/>
      <c r="Y798" s="121" t="s">
        <v>293</v>
      </c>
      <c r="Z798" s="146">
        <f>VLOOKUP(Takeoffs!Y798,Sheet1!$B$6:$C$124,2,FALSE)</f>
        <v>0</v>
      </c>
      <c r="AA798" s="146">
        <f t="shared" si="361"/>
        <v>0</v>
      </c>
      <c r="AB798" s="143">
        <f t="shared" si="362"/>
        <v>1</v>
      </c>
      <c r="AC798" s="133">
        <f t="shared" si="363"/>
        <v>1</v>
      </c>
      <c r="AD798" s="142">
        <v>1</v>
      </c>
      <c r="AE798" s="141"/>
      <c r="AF798" s="121" t="s">
        <v>293</v>
      </c>
      <c r="AG798" s="146">
        <f>VLOOKUP(Takeoffs!AF798,Sheet1!$B$6:$C$124,2,FALSE)</f>
        <v>0</v>
      </c>
      <c r="AH798" s="146">
        <f t="shared" si="364"/>
        <v>0</v>
      </c>
      <c r="AI798" s="143">
        <f t="shared" si="365"/>
        <v>0</v>
      </c>
      <c r="AJ798" s="133">
        <f t="shared" si="366"/>
        <v>1</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1</v>
      </c>
      <c r="T799" s="120"/>
      <c r="U799" s="121" t="s">
        <v>293</v>
      </c>
      <c r="V799" s="133">
        <f t="shared" si="360"/>
        <v>1</v>
      </c>
      <c r="W799" s="133">
        <f>VLOOKUP(U799,Sheet1!$B$6:$C$45,2,FALSE)*V799</f>
        <v>0</v>
      </c>
      <c r="X799" s="141"/>
      <c r="Y799" s="121" t="s">
        <v>293</v>
      </c>
      <c r="Z799" s="146">
        <f>VLOOKUP(Takeoffs!Y799,Sheet1!$B$6:$C$124,2,FALSE)</f>
        <v>0</v>
      </c>
      <c r="AA799" s="146">
        <f t="shared" si="361"/>
        <v>0</v>
      </c>
      <c r="AB799" s="143">
        <f t="shared" si="362"/>
        <v>1</v>
      </c>
      <c r="AC799" s="133">
        <f t="shared" si="363"/>
        <v>1</v>
      </c>
      <c r="AD799" s="142">
        <v>1</v>
      </c>
      <c r="AE799" s="141"/>
      <c r="AF799" s="121" t="s">
        <v>293</v>
      </c>
      <c r="AG799" s="146">
        <f>VLOOKUP(Takeoffs!AF799,Sheet1!$B$6:$C$124,2,FALSE)</f>
        <v>0</v>
      </c>
      <c r="AH799" s="146">
        <f t="shared" si="364"/>
        <v>0</v>
      </c>
      <c r="AI799" s="143">
        <f t="shared" si="365"/>
        <v>0</v>
      </c>
      <c r="AJ799" s="133">
        <f t="shared" si="366"/>
        <v>1</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582</v>
      </c>
      <c r="P800" s="121"/>
      <c r="Q800" s="66"/>
      <c r="R800" s="121"/>
      <c r="S800" s="133">
        <f>M788</f>
        <v>1</v>
      </c>
      <c r="T800" s="120"/>
      <c r="U800" s="121" t="s">
        <v>293</v>
      </c>
      <c r="V800" s="133">
        <f t="shared" si="360"/>
        <v>1</v>
      </c>
      <c r="W800" s="133">
        <f>VLOOKUP(U800,Sheet1!$B$6:$C$45,2,FALSE)*V800</f>
        <v>0</v>
      </c>
      <c r="X800" s="141"/>
      <c r="Y800" s="121" t="s">
        <v>293</v>
      </c>
      <c r="Z800" s="146">
        <f>VLOOKUP(Takeoffs!Y800,Sheet1!$B$6:$C$124,2,FALSE)</f>
        <v>0</v>
      </c>
      <c r="AA800" s="146">
        <f t="shared" si="361"/>
        <v>0</v>
      </c>
      <c r="AB800" s="143">
        <f t="shared" si="362"/>
        <v>1</v>
      </c>
      <c r="AC800" s="133">
        <f t="shared" si="363"/>
        <v>1</v>
      </c>
      <c r="AD800" s="142">
        <v>1</v>
      </c>
      <c r="AE800" s="141"/>
      <c r="AF800" s="152" t="s">
        <v>420</v>
      </c>
      <c r="AG800" s="146">
        <f>VLOOKUP(Takeoffs!AF800,Sheet1!$B$6:$C$124,2,FALSE)</f>
        <v>0.33600000000000002</v>
      </c>
      <c r="AH800" s="146">
        <f t="shared" si="364"/>
        <v>0.33600000000000002</v>
      </c>
      <c r="AI800" s="143">
        <f t="shared" si="365"/>
        <v>1</v>
      </c>
      <c r="AJ800" s="133">
        <f t="shared" si="366"/>
        <v>1</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1</v>
      </c>
      <c r="T801" s="120"/>
      <c r="U801" s="121" t="s">
        <v>232</v>
      </c>
      <c r="V801" s="133">
        <f t="shared" si="360"/>
        <v>1</v>
      </c>
      <c r="W801" s="133">
        <f>VLOOKUP(U801,Sheet1!$B$6:$C$45,2,FALSE)*V801</f>
        <v>1</v>
      </c>
      <c r="X801" s="141"/>
      <c r="Y801" s="122" t="s">
        <v>281</v>
      </c>
      <c r="Z801" s="146">
        <f>VLOOKUP(Takeoffs!Y801,Sheet1!$B$6:$C$124,2,FALSE)</f>
        <v>109.25999999999999</v>
      </c>
      <c r="AA801" s="146">
        <f t="shared" si="361"/>
        <v>109.25999999999999</v>
      </c>
      <c r="AB801" s="143">
        <f t="shared" si="362"/>
        <v>1</v>
      </c>
      <c r="AC801" s="133">
        <f t="shared" si="363"/>
        <v>1</v>
      </c>
      <c r="AD801" s="142">
        <v>1</v>
      </c>
      <c r="AE801" s="141"/>
      <c r="AF801" s="121" t="s">
        <v>293</v>
      </c>
      <c r="AG801" s="146">
        <f>VLOOKUP(Takeoffs!AF801,Sheet1!$B$6:$C$124,2,FALSE)</f>
        <v>0</v>
      </c>
      <c r="AH801" s="146">
        <f t="shared" si="364"/>
        <v>0</v>
      </c>
      <c r="AI801" s="143">
        <f t="shared" si="365"/>
        <v>0</v>
      </c>
      <c r="AJ801" s="133">
        <f t="shared" si="366"/>
        <v>1</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1</v>
      </c>
      <c r="T802" s="120"/>
      <c r="U802" s="121" t="s">
        <v>293</v>
      </c>
      <c r="V802" s="133">
        <f t="shared" si="360"/>
        <v>1</v>
      </c>
      <c r="W802" s="133">
        <f>VLOOKUP(U802,Sheet1!$B$6:$C$45,2,FALSE)*V802</f>
        <v>0</v>
      </c>
      <c r="X802" s="141"/>
      <c r="Y802" s="122" t="s">
        <v>328</v>
      </c>
      <c r="Z802" s="146">
        <f>VLOOKUP(Takeoffs!Y802,Sheet1!$B$6:$C$124,2,FALSE)</f>
        <v>29.04</v>
      </c>
      <c r="AA802" s="146">
        <f t="shared" si="361"/>
        <v>29.04</v>
      </c>
      <c r="AB802" s="143">
        <f t="shared" si="362"/>
        <v>1</v>
      </c>
      <c r="AC802" s="133">
        <f t="shared" si="363"/>
        <v>1</v>
      </c>
      <c r="AD802" s="142">
        <v>1</v>
      </c>
      <c r="AE802" s="141"/>
      <c r="AF802" s="121" t="s">
        <v>293</v>
      </c>
      <c r="AG802" s="146">
        <f>VLOOKUP(Takeoffs!AF802,Sheet1!$B$6:$C$124,2,FALSE)</f>
        <v>0</v>
      </c>
      <c r="AH802" s="146">
        <f t="shared" si="364"/>
        <v>0</v>
      </c>
      <c r="AI802" s="143">
        <f t="shared" si="365"/>
        <v>0</v>
      </c>
      <c r="AJ802" s="133">
        <f t="shared" si="366"/>
        <v>1</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339</v>
      </c>
      <c r="P803" s="121"/>
      <c r="Q803" s="66"/>
      <c r="R803" s="121" t="s">
        <v>333</v>
      </c>
      <c r="S803" s="133">
        <f>M788</f>
        <v>1</v>
      </c>
      <c r="T803" s="120"/>
      <c r="U803" s="121" t="s">
        <v>293</v>
      </c>
      <c r="V803" s="133">
        <f t="shared" si="360"/>
        <v>1</v>
      </c>
      <c r="W803" s="133">
        <f>VLOOKUP(U803,Sheet1!$B$6:$C$45,2,FALSE)*V803</f>
        <v>0</v>
      </c>
      <c r="X803" s="141"/>
      <c r="Y803" s="122" t="s">
        <v>280</v>
      </c>
      <c r="Z803" s="146">
        <f>VLOOKUP(Takeoffs!Y803,Sheet1!$B$6:$C$124,2,FALSE)</f>
        <v>19.2</v>
      </c>
      <c r="AA803" s="146">
        <f t="shared" si="361"/>
        <v>38.4</v>
      </c>
      <c r="AB803" s="143">
        <f t="shared" si="362"/>
        <v>2</v>
      </c>
      <c r="AC803" s="133">
        <f t="shared" si="363"/>
        <v>1</v>
      </c>
      <c r="AD803" s="142">
        <v>2</v>
      </c>
      <c r="AE803" s="141"/>
      <c r="AF803" s="121" t="s">
        <v>293</v>
      </c>
      <c r="AG803" s="146">
        <f>VLOOKUP(Takeoffs!AF803,Sheet1!$B$6:$C$124,2,FALSE)</f>
        <v>0</v>
      </c>
      <c r="AH803" s="146">
        <f t="shared" si="364"/>
        <v>0</v>
      </c>
      <c r="AI803" s="143">
        <f t="shared" si="365"/>
        <v>0</v>
      </c>
      <c r="AJ803" s="133">
        <f t="shared" si="366"/>
        <v>1</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502</v>
      </c>
      <c r="P804" s="121"/>
      <c r="Q804" s="66"/>
      <c r="R804" s="121"/>
      <c r="S804" s="133">
        <f>M788</f>
        <v>1</v>
      </c>
      <c r="T804" s="120"/>
      <c r="U804" s="121" t="s">
        <v>293</v>
      </c>
      <c r="V804" s="133">
        <f t="shared" si="360"/>
        <v>1</v>
      </c>
      <c r="W804" s="133">
        <f>VLOOKUP(U804,Sheet1!$B$6:$C$45,2,FALSE)*V804</f>
        <v>0</v>
      </c>
      <c r="X804" s="141"/>
      <c r="Y804" s="135" t="s">
        <v>424</v>
      </c>
      <c r="Z804" s="146">
        <f>VLOOKUP(Takeoffs!Y804,Sheet1!$B$6:$C$124,2,FALSE)</f>
        <v>23.4</v>
      </c>
      <c r="AA804" s="146">
        <f t="shared" si="361"/>
        <v>23.4</v>
      </c>
      <c r="AB804" s="143">
        <f t="shared" si="362"/>
        <v>1</v>
      </c>
      <c r="AC804" s="133">
        <f t="shared" si="363"/>
        <v>1</v>
      </c>
      <c r="AD804" s="142">
        <v>1</v>
      </c>
      <c r="AE804" s="141"/>
      <c r="AF804" s="121" t="s">
        <v>293</v>
      </c>
      <c r="AG804" s="146">
        <f>VLOOKUP(Takeoffs!AF804,Sheet1!$B$6:$C$124,2,FALSE)</f>
        <v>0</v>
      </c>
      <c r="AH804" s="146">
        <f t="shared" si="364"/>
        <v>0</v>
      </c>
      <c r="AI804" s="143">
        <f t="shared" si="365"/>
        <v>0</v>
      </c>
      <c r="AJ804" s="133">
        <f t="shared" si="366"/>
        <v>1</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331</v>
      </c>
      <c r="P805" s="121"/>
      <c r="Q805" s="66"/>
      <c r="R805" s="121" t="s">
        <v>305</v>
      </c>
      <c r="S805" s="133">
        <f>M788</f>
        <v>1</v>
      </c>
      <c r="T805" s="120"/>
      <c r="U805" s="121" t="s">
        <v>293</v>
      </c>
      <c r="V805" s="133">
        <f t="shared" si="360"/>
        <v>1</v>
      </c>
      <c r="W805" s="133">
        <f>VLOOKUP(U805,Sheet1!$B$6:$C$45,2,FALSE)*V805</f>
        <v>0</v>
      </c>
      <c r="X805" s="141"/>
      <c r="Y805" s="122" t="s">
        <v>277</v>
      </c>
      <c r="Z805" s="146">
        <f>VLOOKUP(Takeoffs!Y805,Sheet1!$B$6:$C$124,2,FALSE)</f>
        <v>69.540000000000006</v>
      </c>
      <c r="AA805" s="146">
        <f t="shared" si="361"/>
        <v>69.540000000000006</v>
      </c>
      <c r="AB805" s="143">
        <f t="shared" si="362"/>
        <v>1</v>
      </c>
      <c r="AC805" s="133">
        <f t="shared" si="363"/>
        <v>1</v>
      </c>
      <c r="AD805" s="142">
        <v>1</v>
      </c>
      <c r="AE805" s="141"/>
      <c r="AF805" s="121" t="s">
        <v>293</v>
      </c>
      <c r="AG805" s="146">
        <f>VLOOKUP(Takeoffs!AF805,Sheet1!$B$6:$C$124,2,FALSE)</f>
        <v>0</v>
      </c>
      <c r="AH805" s="146">
        <f t="shared" si="364"/>
        <v>0</v>
      </c>
      <c r="AI805" s="143">
        <f t="shared" si="365"/>
        <v>0</v>
      </c>
      <c r="AJ805" s="133">
        <f t="shared" si="366"/>
        <v>1</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503</v>
      </c>
      <c r="P806" s="121"/>
      <c r="Q806" s="66"/>
      <c r="R806" s="121"/>
      <c r="S806" s="133">
        <f>M788</f>
        <v>1</v>
      </c>
      <c r="T806" s="120"/>
      <c r="U806" s="121" t="s">
        <v>293</v>
      </c>
      <c r="V806" s="133">
        <f t="shared" si="360"/>
        <v>1</v>
      </c>
      <c r="W806" s="133">
        <f>VLOOKUP(U806,Sheet1!$B$6:$C$45,2,FALSE)*V806</f>
        <v>0</v>
      </c>
      <c r="X806" s="141"/>
      <c r="Y806" s="121" t="s">
        <v>293</v>
      </c>
      <c r="Z806" s="146">
        <f>VLOOKUP(Takeoffs!Y806,Sheet1!$B$6:$C$124,2,FALSE)</f>
        <v>0</v>
      </c>
      <c r="AA806" s="146">
        <f t="shared" si="361"/>
        <v>0</v>
      </c>
      <c r="AB806" s="143">
        <f t="shared" si="362"/>
        <v>1</v>
      </c>
      <c r="AC806" s="133">
        <f t="shared" si="363"/>
        <v>1</v>
      </c>
      <c r="AD806" s="142">
        <v>1</v>
      </c>
      <c r="AE806" s="141"/>
      <c r="AF806" s="121" t="s">
        <v>293</v>
      </c>
      <c r="AG806" s="146">
        <f>VLOOKUP(Takeoffs!AF806,Sheet1!$B$6:$C$124,2,FALSE)</f>
        <v>0</v>
      </c>
      <c r="AH806" s="146">
        <f t="shared" si="364"/>
        <v>0</v>
      </c>
      <c r="AI806" s="143">
        <f t="shared" si="365"/>
        <v>0</v>
      </c>
      <c r="AJ806" s="133">
        <f t="shared" si="366"/>
        <v>1</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409</v>
      </c>
      <c r="P807" s="121"/>
      <c r="Q807" s="66"/>
      <c r="R807" s="121"/>
      <c r="S807" s="133">
        <f>M788</f>
        <v>1</v>
      </c>
      <c r="T807" s="120"/>
      <c r="U807" s="121" t="s">
        <v>293</v>
      </c>
      <c r="V807" s="133">
        <f t="shared" si="360"/>
        <v>1</v>
      </c>
      <c r="W807" s="133">
        <f>VLOOKUP(U807,Sheet1!$B$6:$C$45,2,FALSE)*V807</f>
        <v>0</v>
      </c>
      <c r="X807" s="141"/>
      <c r="Y807" s="121" t="s">
        <v>274</v>
      </c>
      <c r="Z807" s="146">
        <f>VLOOKUP(Takeoffs!Y807,Sheet1!$B$6:$C$124,2,FALSE)</f>
        <v>360</v>
      </c>
      <c r="AA807" s="146">
        <f t="shared" si="361"/>
        <v>360</v>
      </c>
      <c r="AB807" s="143">
        <f t="shared" si="362"/>
        <v>1</v>
      </c>
      <c r="AC807" s="133">
        <f t="shared" si="363"/>
        <v>1</v>
      </c>
      <c r="AD807" s="142">
        <v>1</v>
      </c>
      <c r="AE807" s="141"/>
      <c r="AF807" s="121" t="s">
        <v>293</v>
      </c>
      <c r="AG807" s="146">
        <f>VLOOKUP(Takeoffs!AF807,Sheet1!$B$6:$C$124,2,FALSE)</f>
        <v>0</v>
      </c>
      <c r="AH807" s="146">
        <f t="shared" si="364"/>
        <v>0</v>
      </c>
      <c r="AI807" s="143">
        <f t="shared" si="365"/>
        <v>0</v>
      </c>
      <c r="AJ807" s="133">
        <f t="shared" si="366"/>
        <v>1</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410</v>
      </c>
      <c r="P808" s="121"/>
      <c r="Q808" s="66"/>
      <c r="R808" s="121"/>
      <c r="S808" s="133">
        <f>M788</f>
        <v>1</v>
      </c>
      <c r="T808" s="120"/>
      <c r="U808" s="121" t="s">
        <v>364</v>
      </c>
      <c r="V808" s="133">
        <f t="shared" si="360"/>
        <v>1</v>
      </c>
      <c r="W808" s="133">
        <f>VLOOKUP(U808,Sheet1!$B$6:$C$45,2,FALSE)*V808</f>
        <v>1</v>
      </c>
      <c r="X808" s="141"/>
      <c r="Y808" s="121" t="s">
        <v>293</v>
      </c>
      <c r="Z808" s="146">
        <f>VLOOKUP(Takeoffs!Y808,Sheet1!$B$6:$C$124,2,FALSE)</f>
        <v>0</v>
      </c>
      <c r="AA808" s="146">
        <f t="shared" si="361"/>
        <v>0</v>
      </c>
      <c r="AB808" s="143">
        <f t="shared" si="362"/>
        <v>1</v>
      </c>
      <c r="AC808" s="133">
        <f t="shared" si="363"/>
        <v>1</v>
      </c>
      <c r="AD808" s="142">
        <v>1</v>
      </c>
      <c r="AE808" s="141"/>
      <c r="AF808" s="121" t="s">
        <v>293</v>
      </c>
      <c r="AG808" s="146">
        <f>VLOOKUP(Takeoffs!AF808,Sheet1!$B$6:$C$124,2,FALSE)</f>
        <v>0</v>
      </c>
      <c r="AH808" s="146">
        <f t="shared" si="364"/>
        <v>0</v>
      </c>
      <c r="AI808" s="143">
        <f t="shared" si="365"/>
        <v>0</v>
      </c>
      <c r="AJ808" s="133">
        <f t="shared" si="366"/>
        <v>1</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379</v>
      </c>
      <c r="L809" s="128" t="s">
        <v>380</v>
      </c>
      <c r="N809" s="129"/>
      <c r="O809" s="130" t="s">
        <v>359</v>
      </c>
      <c r="P809" s="131">
        <f>V809+AA809+AH809</f>
        <v>1296.876</v>
      </c>
      <c r="Q809" s="131"/>
      <c r="R809" s="131"/>
      <c r="S809" s="130"/>
      <c r="T809" s="127"/>
      <c r="U809" s="126" t="s">
        <v>353</v>
      </c>
      <c r="V809" s="127">
        <f>W809*80</f>
        <v>600</v>
      </c>
      <c r="W809" s="147">
        <f>SUM(W788:W808)</f>
        <v>7.5</v>
      </c>
      <c r="X809" s="148"/>
      <c r="Y809" s="127" t="s">
        <v>354</v>
      </c>
      <c r="Z809" s="116"/>
      <c r="AA809" s="116">
        <f>SUM(AA788:AA808)</f>
        <v>673.07999999999993</v>
      </c>
      <c r="AB809" s="149"/>
      <c r="AC809" s="149"/>
      <c r="AD809" s="149"/>
      <c r="AE809" s="149"/>
      <c r="AF809" s="127" t="s">
        <v>358</v>
      </c>
      <c r="AG809" s="116"/>
      <c r="AH809" s="116">
        <f>SUM(AH788:AH808)</f>
        <v>23.795999999999996</v>
      </c>
      <c r="AI809" s="149"/>
      <c r="AJ809" s="149"/>
      <c r="AK809" s="149"/>
      <c r="AL809" s="149"/>
      <c r="AM809" s="150">
        <f>P809</f>
        <v>1296.876</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494</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v>1</v>
      </c>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one (1)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1296.876</v>
      </c>
      <c r="L810" s="234" t="str">
        <f>CONCATENATE(Q789,Q790,Q791,Q792,Q793,Q794,Q795,Q796,Q797,Q798,Q799,Q800,Q801,Q802,Q803,Q804,Q805,Q806,Q807,Q808,)</f>
        <v>supply and commissioning of VSD, interconnect cabling between  FC and VSD.</v>
      </c>
      <c r="M810" s="166" t="s">
        <v>369</v>
      </c>
      <c r="N810" s="160" t="str">
        <f>N788</f>
        <v>Fume Cupboard fan ( Excluding supply of VSD and FC controls) - from MSSB power supply</v>
      </c>
      <c r="O810" s="160" t="s">
        <v>367</v>
      </c>
      <c r="P810" s="183">
        <f>P809/M788</f>
        <v>1296.876</v>
      </c>
      <c r="Q810" s="191"/>
      <c r="R810" s="161"/>
      <c r="S810" s="160"/>
      <c r="T810" s="161"/>
      <c r="U810" s="327" t="s">
        <v>368</v>
      </c>
      <c r="V810" s="327"/>
      <c r="W810" s="162">
        <f>W809/M788</f>
        <v>7.5</v>
      </c>
      <c r="X810" s="163"/>
      <c r="Y810" s="325" t="s">
        <v>367</v>
      </c>
      <c r="Z810" s="325"/>
      <c r="AA810" s="164">
        <f>AA809/M788</f>
        <v>673.07999999999993</v>
      </c>
      <c r="AB810" s="161"/>
      <c r="AC810" s="161"/>
      <c r="AD810" s="161"/>
      <c r="AE810" s="161"/>
      <c r="AF810" s="325" t="s">
        <v>367</v>
      </c>
      <c r="AG810" s="325"/>
      <c r="AH810" s="164">
        <f>AH809/M788</f>
        <v>23.795999999999996</v>
      </c>
      <c r="AI810" s="161"/>
      <c r="AJ810" s="161"/>
      <c r="AK810" s="161"/>
      <c r="AL810" s="247"/>
      <c r="AM810" s="257"/>
      <c r="AN810" s="236">
        <f>K810*$D$9</f>
        <v>324.21899999999999</v>
      </c>
      <c r="AO810" s="286"/>
      <c r="AP810" s="284">
        <f t="shared" si="355"/>
        <v>1296.876</v>
      </c>
      <c r="AQ810" s="281">
        <f t="shared" si="356"/>
        <v>600</v>
      </c>
      <c r="AR810" s="284">
        <f t="shared" si="357"/>
        <v>673.07999999999993</v>
      </c>
      <c r="AS810" s="281">
        <f t="shared" si="358"/>
        <v>23.795999999999996</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454</v>
      </c>
      <c r="M811" s="116" t="s">
        <v>107</v>
      </c>
      <c r="N811" s="116" t="s">
        <v>108</v>
      </c>
      <c r="O811" s="170" t="s">
        <v>388</v>
      </c>
      <c r="P811" s="328" t="s">
        <v>377</v>
      </c>
      <c r="Q811" s="328"/>
      <c r="R811" s="101" t="s">
        <v>454</v>
      </c>
      <c r="S811" s="116" t="s">
        <v>0</v>
      </c>
      <c r="T811" s="118"/>
      <c r="U811" s="116" t="s">
        <v>288</v>
      </c>
      <c r="V811" s="116" t="s">
        <v>289</v>
      </c>
      <c r="W811" s="116" t="s">
        <v>292</v>
      </c>
      <c r="X811" s="140"/>
      <c r="Y811" s="116" t="s">
        <v>290</v>
      </c>
      <c r="Z811" s="116" t="s">
        <v>356</v>
      </c>
      <c r="AA811" s="116" t="s">
        <v>357</v>
      </c>
      <c r="AB811" s="116" t="s">
        <v>319</v>
      </c>
      <c r="AC811" s="116" t="s">
        <v>320</v>
      </c>
      <c r="AD811" s="116" t="s">
        <v>318</v>
      </c>
      <c r="AE811" s="140"/>
      <c r="AF811" s="116" t="s">
        <v>294</v>
      </c>
      <c r="AG811" s="116" t="s">
        <v>356</v>
      </c>
      <c r="AH811" s="116" t="s">
        <v>357</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one</v>
      </c>
      <c r="M812" s="121">
        <f>I834</f>
        <v>1</v>
      </c>
      <c r="N812" s="132" t="s">
        <v>675</v>
      </c>
      <c r="O812" s="121" t="s">
        <v>491</v>
      </c>
      <c r="P812" s="169" t="s">
        <v>381</v>
      </c>
      <c r="Q812" s="169" t="s">
        <v>377</v>
      </c>
      <c r="R812" s="169"/>
      <c r="S812" s="133">
        <f>M812</f>
        <v>1</v>
      </c>
      <c r="T812" s="119"/>
      <c r="U812" s="121" t="s">
        <v>293</v>
      </c>
      <c r="V812" s="133">
        <f>S812</f>
        <v>1</v>
      </c>
      <c r="W812" s="133">
        <f>VLOOKUP(U812,Sheet1!$B$6:$C$45,2,FALSE)*V812</f>
        <v>0</v>
      </c>
      <c r="X812" s="141"/>
      <c r="Y812" s="121" t="s">
        <v>293</v>
      </c>
      <c r="Z812" s="146">
        <f>VLOOKUP(Takeoffs!Y812,Sheet1!$B$6:$C$124,2,FALSE)</f>
        <v>0</v>
      </c>
      <c r="AA812" s="146">
        <f>Z812*AB812</f>
        <v>0</v>
      </c>
      <c r="AB812" s="143">
        <f>AD812*AC812</f>
        <v>1</v>
      </c>
      <c r="AC812" s="133">
        <f>S812</f>
        <v>1</v>
      </c>
      <c r="AD812" s="142">
        <v>1</v>
      </c>
      <c r="AE812" s="141"/>
      <c r="AF812" s="121" t="s">
        <v>293</v>
      </c>
      <c r="AG812" s="146">
        <f>VLOOKUP(Takeoffs!AF812,Sheet1!$B$6:$C$124,2,FALSE)</f>
        <v>0</v>
      </c>
      <c r="AH812" s="146">
        <f>AG812*AI812</f>
        <v>0</v>
      </c>
      <c r="AI812" s="143">
        <f>AK812*AJ812</f>
        <v>0</v>
      </c>
      <c r="AJ812" s="133">
        <f>S812</f>
        <v>1</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342</v>
      </c>
      <c r="P813" s="121"/>
      <c r="Q813" s="66"/>
      <c r="R813" s="121"/>
      <c r="S813" s="133">
        <f>M812</f>
        <v>1</v>
      </c>
      <c r="T813" s="120"/>
      <c r="U813" s="121" t="s">
        <v>293</v>
      </c>
      <c r="V813" s="133">
        <f t="shared" ref="V813:V832" si="369">S813</f>
        <v>1</v>
      </c>
      <c r="W813" s="133">
        <f>VLOOKUP(U813,Sheet1!$B$6:$C$45,2,FALSE)*V813</f>
        <v>0</v>
      </c>
      <c r="X813" s="141"/>
      <c r="Y813" s="121" t="s">
        <v>293</v>
      </c>
      <c r="Z813" s="146">
        <f>VLOOKUP(Takeoffs!Y813,Sheet1!$B$6:$C$124,2,FALSE)</f>
        <v>0</v>
      </c>
      <c r="AA813" s="146">
        <f t="shared" ref="AA813:AA832" si="370">Z813*AB813</f>
        <v>0</v>
      </c>
      <c r="AB813" s="143">
        <f t="shared" ref="AB813:AB832" si="371">AD813*AC813</f>
        <v>1</v>
      </c>
      <c r="AC813" s="133">
        <f t="shared" ref="AC813:AC832" si="372">S813</f>
        <v>1</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1</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1</v>
      </c>
      <c r="T814" s="120"/>
      <c r="U814" s="121" t="s">
        <v>293</v>
      </c>
      <c r="V814" s="133">
        <f t="shared" si="369"/>
        <v>1</v>
      </c>
      <c r="W814" s="133">
        <f>VLOOKUP(U814,Sheet1!$B$6:$C$45,2,FALSE)*V814</f>
        <v>0</v>
      </c>
      <c r="X814" s="141"/>
      <c r="Y814" s="121" t="s">
        <v>293</v>
      </c>
      <c r="Z814" s="146">
        <f>VLOOKUP(Takeoffs!Y814,Sheet1!$B$6:$C$124,2,FALSE)</f>
        <v>0</v>
      </c>
      <c r="AA814" s="146">
        <f t="shared" si="370"/>
        <v>0</v>
      </c>
      <c r="AB814" s="143">
        <f t="shared" si="371"/>
        <v>1</v>
      </c>
      <c r="AC814" s="133">
        <f t="shared" si="372"/>
        <v>1</v>
      </c>
      <c r="AD814" s="142">
        <v>1</v>
      </c>
      <c r="AE814" s="141"/>
      <c r="AF814" s="122" t="s">
        <v>268</v>
      </c>
      <c r="AG814" s="146">
        <f>VLOOKUP(Takeoffs!AF814,Sheet1!$B$6:$C$124,2,FALSE)</f>
        <v>1.02</v>
      </c>
      <c r="AH814" s="146">
        <f t="shared" si="373"/>
        <v>20.399999999999999</v>
      </c>
      <c r="AI814" s="143">
        <f t="shared" si="374"/>
        <v>20</v>
      </c>
      <c r="AJ814" s="133">
        <f t="shared" si="375"/>
        <v>1</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676</v>
      </c>
      <c r="P815" s="121" t="s">
        <v>542</v>
      </c>
      <c r="Q815" s="66" t="s">
        <v>677</v>
      </c>
      <c r="R815" s="121"/>
      <c r="S815" s="133">
        <f>M812</f>
        <v>1</v>
      </c>
      <c r="T815" s="120"/>
      <c r="U815" s="117" t="s">
        <v>481</v>
      </c>
      <c r="V815" s="133">
        <f t="shared" si="369"/>
        <v>1</v>
      </c>
      <c r="W815" s="133">
        <f>VLOOKUP(U815,Sheet1!$B$6:$C$45,2,FALSE)*V815</f>
        <v>2</v>
      </c>
      <c r="X815" s="141"/>
      <c r="Y815" s="121" t="s">
        <v>293</v>
      </c>
      <c r="Z815" s="146">
        <f>VLOOKUP(Takeoffs!Y815,Sheet1!$B$6:$C$124,2,FALSE)</f>
        <v>0</v>
      </c>
      <c r="AA815" s="146">
        <f t="shared" si="370"/>
        <v>0</v>
      </c>
      <c r="AB815" s="143">
        <f t="shared" si="371"/>
        <v>1</v>
      </c>
      <c r="AC815" s="133">
        <f t="shared" si="372"/>
        <v>1</v>
      </c>
      <c r="AD815" s="142">
        <v>1</v>
      </c>
      <c r="AE815" s="141"/>
      <c r="AF815" s="121" t="s">
        <v>293</v>
      </c>
      <c r="AG815" s="146">
        <f>VLOOKUP(Takeoffs!AF815,Sheet1!$B$6:$C$124,2,FALSE)</f>
        <v>0</v>
      </c>
      <c r="AH815" s="146">
        <f t="shared" si="373"/>
        <v>0</v>
      </c>
      <c r="AI815" s="143">
        <f t="shared" si="374"/>
        <v>0</v>
      </c>
      <c r="AJ815" s="133">
        <f t="shared" si="375"/>
        <v>1</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325</v>
      </c>
      <c r="P816" s="121"/>
      <c r="Q816" s="66"/>
      <c r="R816" s="121"/>
      <c r="S816" s="133">
        <f>M812</f>
        <v>1</v>
      </c>
      <c r="T816" s="120"/>
      <c r="U816" s="121" t="s">
        <v>235</v>
      </c>
      <c r="V816" s="133">
        <f t="shared" si="369"/>
        <v>1</v>
      </c>
      <c r="W816" s="133">
        <f>VLOOKUP(U816,Sheet1!$B$6:$C$45,2,FALSE)*V816</f>
        <v>1.5</v>
      </c>
      <c r="X816" s="141"/>
      <c r="Y816" s="135" t="s">
        <v>546</v>
      </c>
      <c r="Z816" s="146">
        <f>VLOOKUP(Takeoffs!Y816,Sheet1!$B$6:$C$124,2,FALSE)</f>
        <v>649.44000000000005</v>
      </c>
      <c r="AA816" s="146">
        <f t="shared" si="370"/>
        <v>649.44000000000005</v>
      </c>
      <c r="AB816" s="143">
        <f t="shared" si="371"/>
        <v>1</v>
      </c>
      <c r="AC816" s="133">
        <f t="shared" si="372"/>
        <v>1</v>
      </c>
      <c r="AD816" s="142">
        <v>1</v>
      </c>
      <c r="AE816" s="141"/>
      <c r="AF816" s="121" t="s">
        <v>293</v>
      </c>
      <c r="AG816" s="146">
        <f>VLOOKUP(Takeoffs!AF816,Sheet1!$B$6:$C$124,2,FALSE)</f>
        <v>0</v>
      </c>
      <c r="AH816" s="146">
        <f t="shared" si="373"/>
        <v>0</v>
      </c>
      <c r="AI816" s="143">
        <f t="shared" si="374"/>
        <v>0</v>
      </c>
      <c r="AJ816" s="133">
        <f t="shared" si="375"/>
        <v>1</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392</v>
      </c>
      <c r="P817" s="121"/>
      <c r="Q817" s="66"/>
      <c r="R817" s="121"/>
      <c r="S817" s="133">
        <f>M812</f>
        <v>1</v>
      </c>
      <c r="T817" s="120"/>
      <c r="U817" s="121" t="s">
        <v>293</v>
      </c>
      <c r="V817" s="133">
        <f t="shared" si="369"/>
        <v>1</v>
      </c>
      <c r="W817" s="133">
        <f>VLOOKUP(U817,Sheet1!$B$6:$C$45,2,FALSE)*V817</f>
        <v>0</v>
      </c>
      <c r="X817" s="141"/>
      <c r="Y817" s="121" t="s">
        <v>293</v>
      </c>
      <c r="Z817" s="146">
        <f>VLOOKUP(Takeoffs!Y817,Sheet1!$B$6:$C$124,2,FALSE)</f>
        <v>0</v>
      </c>
      <c r="AA817" s="146">
        <f t="shared" si="370"/>
        <v>0</v>
      </c>
      <c r="AB817" s="143">
        <f t="shared" si="371"/>
        <v>1</v>
      </c>
      <c r="AC817" s="133">
        <f t="shared" si="372"/>
        <v>1</v>
      </c>
      <c r="AD817" s="142">
        <v>1</v>
      </c>
      <c r="AE817" s="141"/>
      <c r="AF817" s="122" t="s">
        <v>268</v>
      </c>
      <c r="AG817" s="146">
        <f>VLOOKUP(Takeoffs!AF817,Sheet1!$B$6:$C$124,2,FALSE)</f>
        <v>1.02</v>
      </c>
      <c r="AH817" s="146">
        <f t="shared" si="373"/>
        <v>3.06</v>
      </c>
      <c r="AI817" s="143">
        <f t="shared" si="374"/>
        <v>3</v>
      </c>
      <c r="AJ817" s="133">
        <f t="shared" si="375"/>
        <v>1</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1</v>
      </c>
      <c r="T818" s="120"/>
      <c r="U818" s="121" t="s">
        <v>293</v>
      </c>
      <c r="V818" s="133">
        <f t="shared" si="369"/>
        <v>1</v>
      </c>
      <c r="W818" s="133">
        <f>VLOOKUP(U818,Sheet1!$B$6:$C$45,2,FALSE)*V818</f>
        <v>0</v>
      </c>
      <c r="X818" s="141"/>
      <c r="Y818" s="121" t="s">
        <v>293</v>
      </c>
      <c r="Z818" s="146">
        <f>VLOOKUP(Takeoffs!Y818,Sheet1!$B$6:$C$124,2,FALSE)</f>
        <v>0</v>
      </c>
      <c r="AA818" s="146">
        <f t="shared" si="370"/>
        <v>0</v>
      </c>
      <c r="AB818" s="143">
        <f t="shared" si="371"/>
        <v>1</v>
      </c>
      <c r="AC818" s="133">
        <f t="shared" si="372"/>
        <v>1</v>
      </c>
      <c r="AD818" s="142">
        <v>1</v>
      </c>
      <c r="AE818" s="141"/>
      <c r="AF818" s="121" t="s">
        <v>293</v>
      </c>
      <c r="AG818" s="146">
        <f>VLOOKUP(Takeoffs!AF818,Sheet1!$B$6:$C$124,2,FALSE)</f>
        <v>0</v>
      </c>
      <c r="AH818" s="146">
        <f t="shared" si="373"/>
        <v>0</v>
      </c>
      <c r="AI818" s="143">
        <f t="shared" si="374"/>
        <v>0</v>
      </c>
      <c r="AJ818" s="133">
        <f t="shared" si="375"/>
        <v>1</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1</v>
      </c>
      <c r="T819" s="120"/>
      <c r="U819" s="121" t="s">
        <v>293</v>
      </c>
      <c r="V819" s="133">
        <f t="shared" si="369"/>
        <v>1</v>
      </c>
      <c r="W819" s="133">
        <f>VLOOKUP(U819,Sheet1!$B$6:$C$45,2,FALSE)*V819</f>
        <v>0</v>
      </c>
      <c r="X819" s="141"/>
      <c r="Y819" s="121" t="s">
        <v>293</v>
      </c>
      <c r="Z819" s="146">
        <f>VLOOKUP(Takeoffs!Y819,Sheet1!$B$6:$C$124,2,FALSE)</f>
        <v>0</v>
      </c>
      <c r="AA819" s="146">
        <f t="shared" si="370"/>
        <v>0</v>
      </c>
      <c r="AB819" s="143">
        <f t="shared" si="371"/>
        <v>1</v>
      </c>
      <c r="AC819" s="133">
        <f t="shared" si="372"/>
        <v>1</v>
      </c>
      <c r="AD819" s="142">
        <v>1</v>
      </c>
      <c r="AE819" s="141"/>
      <c r="AF819" s="121" t="s">
        <v>293</v>
      </c>
      <c r="AG819" s="146">
        <f>VLOOKUP(Takeoffs!AF819,Sheet1!$B$6:$C$124,2,FALSE)</f>
        <v>0</v>
      </c>
      <c r="AH819" s="146">
        <f t="shared" si="373"/>
        <v>0</v>
      </c>
      <c r="AI819" s="143">
        <f t="shared" si="374"/>
        <v>0</v>
      </c>
      <c r="AJ819" s="133">
        <f t="shared" si="375"/>
        <v>1</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330</v>
      </c>
      <c r="P820" s="121"/>
      <c r="Q820" s="66"/>
      <c r="R820" s="121"/>
      <c r="S820" s="133">
        <f>M812</f>
        <v>1</v>
      </c>
      <c r="T820" s="120"/>
      <c r="U820" s="121" t="s">
        <v>366</v>
      </c>
      <c r="V820" s="133">
        <f t="shared" si="369"/>
        <v>1</v>
      </c>
      <c r="W820" s="133">
        <f>VLOOKUP(U820,Sheet1!$B$6:$C$45,2,FALSE)*V820</f>
        <v>2</v>
      </c>
      <c r="X820" s="141"/>
      <c r="Y820" s="121" t="s">
        <v>293</v>
      </c>
      <c r="Z820" s="146">
        <f>VLOOKUP(Takeoffs!Y820,Sheet1!$B$6:$C$124,2,FALSE)</f>
        <v>0</v>
      </c>
      <c r="AA820" s="146">
        <f t="shared" si="370"/>
        <v>0</v>
      </c>
      <c r="AB820" s="143">
        <f t="shared" si="371"/>
        <v>1</v>
      </c>
      <c r="AC820" s="133">
        <f t="shared" si="372"/>
        <v>1</v>
      </c>
      <c r="AD820" s="142">
        <v>1</v>
      </c>
      <c r="AE820" s="141"/>
      <c r="AF820" s="121" t="s">
        <v>293</v>
      </c>
      <c r="AG820" s="146">
        <f>VLOOKUP(Takeoffs!AF820,Sheet1!$B$6:$C$124,2,FALSE)</f>
        <v>0</v>
      </c>
      <c r="AH820" s="146">
        <f t="shared" si="373"/>
        <v>0</v>
      </c>
      <c r="AI820" s="143">
        <f t="shared" si="374"/>
        <v>0</v>
      </c>
      <c r="AJ820" s="133">
        <f t="shared" si="375"/>
        <v>1</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1</v>
      </c>
      <c r="T821" s="120"/>
      <c r="U821" s="121" t="s">
        <v>293</v>
      </c>
      <c r="V821" s="133">
        <f t="shared" si="369"/>
        <v>1</v>
      </c>
      <c r="W821" s="133">
        <f>VLOOKUP(U821,Sheet1!$B$6:$C$45,2,FALSE)*V821</f>
        <v>0</v>
      </c>
      <c r="X821" s="141"/>
      <c r="Y821" s="121" t="s">
        <v>293</v>
      </c>
      <c r="Z821" s="146">
        <f>VLOOKUP(Takeoffs!Y821,Sheet1!$B$6:$C$124,2,FALSE)</f>
        <v>0</v>
      </c>
      <c r="AA821" s="146">
        <f t="shared" si="370"/>
        <v>0</v>
      </c>
      <c r="AB821" s="143">
        <f t="shared" si="371"/>
        <v>1</v>
      </c>
      <c r="AC821" s="133">
        <f t="shared" si="372"/>
        <v>1</v>
      </c>
      <c r="AD821" s="142">
        <v>1</v>
      </c>
      <c r="AE821" s="141"/>
      <c r="AF821" s="121" t="s">
        <v>293</v>
      </c>
      <c r="AG821" s="146">
        <f>VLOOKUP(Takeoffs!AF821,Sheet1!$B$6:$C$124,2,FALSE)</f>
        <v>0</v>
      </c>
      <c r="AH821" s="146">
        <f t="shared" si="373"/>
        <v>0</v>
      </c>
      <c r="AI821" s="143">
        <f t="shared" si="374"/>
        <v>0</v>
      </c>
      <c r="AJ821" s="133">
        <f t="shared" si="375"/>
        <v>1</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1</v>
      </c>
      <c r="T822" s="120"/>
      <c r="U822" s="121" t="s">
        <v>293</v>
      </c>
      <c r="V822" s="133">
        <f t="shared" si="369"/>
        <v>1</v>
      </c>
      <c r="W822" s="133">
        <f>VLOOKUP(U822,Sheet1!$B$6:$C$45,2,FALSE)*V822</f>
        <v>0</v>
      </c>
      <c r="X822" s="141"/>
      <c r="Y822" s="121" t="s">
        <v>293</v>
      </c>
      <c r="Z822" s="146">
        <f>VLOOKUP(Takeoffs!Y822,Sheet1!$B$6:$C$124,2,FALSE)</f>
        <v>0</v>
      </c>
      <c r="AA822" s="146">
        <f t="shared" si="370"/>
        <v>0</v>
      </c>
      <c r="AB822" s="143">
        <f t="shared" si="371"/>
        <v>1</v>
      </c>
      <c r="AC822" s="133">
        <f t="shared" si="372"/>
        <v>1</v>
      </c>
      <c r="AD822" s="142">
        <v>1</v>
      </c>
      <c r="AE822" s="141"/>
      <c r="AF822" s="121" t="s">
        <v>293</v>
      </c>
      <c r="AG822" s="146">
        <f>VLOOKUP(Takeoffs!AF822,Sheet1!$B$6:$C$124,2,FALSE)</f>
        <v>0</v>
      </c>
      <c r="AH822" s="146">
        <f t="shared" si="373"/>
        <v>0</v>
      </c>
      <c r="AI822" s="143">
        <f t="shared" si="374"/>
        <v>0</v>
      </c>
      <c r="AJ822" s="133">
        <f t="shared" si="375"/>
        <v>1</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1</v>
      </c>
      <c r="T823" s="120"/>
      <c r="U823" s="121" t="s">
        <v>293</v>
      </c>
      <c r="V823" s="133">
        <f t="shared" si="369"/>
        <v>1</v>
      </c>
      <c r="W823" s="133">
        <f>VLOOKUP(U823,Sheet1!$B$6:$C$45,2,FALSE)*V823</f>
        <v>0</v>
      </c>
      <c r="X823" s="141"/>
      <c r="Y823" s="121" t="s">
        <v>293</v>
      </c>
      <c r="Z823" s="146">
        <f>VLOOKUP(Takeoffs!Y823,Sheet1!$B$6:$C$124,2,FALSE)</f>
        <v>0</v>
      </c>
      <c r="AA823" s="146">
        <f t="shared" si="370"/>
        <v>0</v>
      </c>
      <c r="AB823" s="143">
        <f t="shared" si="371"/>
        <v>1</v>
      </c>
      <c r="AC823" s="133">
        <f t="shared" si="372"/>
        <v>1</v>
      </c>
      <c r="AD823" s="142">
        <v>1</v>
      </c>
      <c r="AE823" s="141"/>
      <c r="AF823" s="121" t="s">
        <v>293</v>
      </c>
      <c r="AG823" s="146">
        <f>VLOOKUP(Takeoffs!AF823,Sheet1!$B$6:$C$124,2,FALSE)</f>
        <v>0</v>
      </c>
      <c r="AH823" s="146">
        <f t="shared" si="373"/>
        <v>0</v>
      </c>
      <c r="AI823" s="143">
        <f t="shared" si="374"/>
        <v>0</v>
      </c>
      <c r="AJ823" s="133">
        <f t="shared" si="375"/>
        <v>1</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1</v>
      </c>
      <c r="T824" s="120"/>
      <c r="U824" s="121" t="s">
        <v>293</v>
      </c>
      <c r="V824" s="133">
        <f t="shared" si="369"/>
        <v>1</v>
      </c>
      <c r="W824" s="133">
        <f>VLOOKUP(U824,Sheet1!$B$6:$C$45,2,FALSE)*V824</f>
        <v>0</v>
      </c>
      <c r="X824" s="141"/>
      <c r="Y824" s="121" t="s">
        <v>293</v>
      </c>
      <c r="Z824" s="146">
        <f>VLOOKUP(Takeoffs!Y824,Sheet1!$B$6:$C$124,2,FALSE)</f>
        <v>0</v>
      </c>
      <c r="AA824" s="146">
        <f t="shared" si="370"/>
        <v>0</v>
      </c>
      <c r="AB824" s="143">
        <f t="shared" si="371"/>
        <v>1</v>
      </c>
      <c r="AC824" s="133">
        <f t="shared" si="372"/>
        <v>1</v>
      </c>
      <c r="AD824" s="142">
        <v>1</v>
      </c>
      <c r="AE824" s="141"/>
      <c r="AF824" s="152" t="s">
        <v>420</v>
      </c>
      <c r="AG824" s="146">
        <f>VLOOKUP(Takeoffs!AF824,Sheet1!$B$6:$C$124,2,FALSE)</f>
        <v>0.33600000000000002</v>
      </c>
      <c r="AH824" s="146">
        <f t="shared" si="373"/>
        <v>0.33600000000000002</v>
      </c>
      <c r="AI824" s="143">
        <f t="shared" si="374"/>
        <v>1</v>
      </c>
      <c r="AJ824" s="133">
        <f t="shared" si="375"/>
        <v>1</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1</v>
      </c>
      <c r="T825" s="120"/>
      <c r="U825" s="121" t="s">
        <v>232</v>
      </c>
      <c r="V825" s="133">
        <f t="shared" si="369"/>
        <v>1</v>
      </c>
      <c r="W825" s="133">
        <f>VLOOKUP(U825,Sheet1!$B$6:$C$45,2,FALSE)*V825</f>
        <v>1</v>
      </c>
      <c r="X825" s="141"/>
      <c r="Y825" s="122" t="s">
        <v>281</v>
      </c>
      <c r="Z825" s="146">
        <f>VLOOKUP(Takeoffs!Y825,Sheet1!$B$6:$C$124,2,FALSE)</f>
        <v>109.25999999999999</v>
      </c>
      <c r="AA825" s="146">
        <f t="shared" si="370"/>
        <v>109.25999999999999</v>
      </c>
      <c r="AB825" s="143">
        <f t="shared" si="371"/>
        <v>1</v>
      </c>
      <c r="AC825" s="133">
        <f t="shared" si="372"/>
        <v>1</v>
      </c>
      <c r="AD825" s="142">
        <v>1</v>
      </c>
      <c r="AE825" s="141"/>
      <c r="AF825" s="121" t="s">
        <v>293</v>
      </c>
      <c r="AG825" s="146">
        <f>VLOOKUP(Takeoffs!AF825,Sheet1!$B$6:$C$124,2,FALSE)</f>
        <v>0</v>
      </c>
      <c r="AH825" s="146">
        <f t="shared" si="373"/>
        <v>0</v>
      </c>
      <c r="AI825" s="143">
        <f t="shared" si="374"/>
        <v>0</v>
      </c>
      <c r="AJ825" s="133">
        <f t="shared" si="375"/>
        <v>1</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347</v>
      </c>
      <c r="P826" s="121" t="s">
        <v>382</v>
      </c>
      <c r="Q826" s="66" t="s">
        <v>386</v>
      </c>
      <c r="R826" s="121"/>
      <c r="S826" s="133">
        <f>M812</f>
        <v>1</v>
      </c>
      <c r="T826" s="120"/>
      <c r="U826" s="121" t="s">
        <v>293</v>
      </c>
      <c r="V826" s="133">
        <f t="shared" si="369"/>
        <v>1</v>
      </c>
      <c r="W826" s="133">
        <f>VLOOKUP(U826,Sheet1!$B$6:$C$45,2,FALSE)*V826</f>
        <v>0</v>
      </c>
      <c r="X826" s="141"/>
      <c r="Y826" s="122" t="s">
        <v>328</v>
      </c>
      <c r="Z826" s="146">
        <f>VLOOKUP(Takeoffs!Y826,Sheet1!$B$6:$C$124,2,FALSE)</f>
        <v>29.04</v>
      </c>
      <c r="AA826" s="146">
        <f t="shared" si="370"/>
        <v>29.04</v>
      </c>
      <c r="AB826" s="143">
        <f t="shared" si="371"/>
        <v>1</v>
      </c>
      <c r="AC826" s="133">
        <f t="shared" si="372"/>
        <v>1</v>
      </c>
      <c r="AD826" s="142">
        <v>1</v>
      </c>
      <c r="AE826" s="141"/>
      <c r="AF826" s="121" t="s">
        <v>293</v>
      </c>
      <c r="AG826" s="146">
        <f>VLOOKUP(Takeoffs!AF826,Sheet1!$B$6:$C$124,2,FALSE)</f>
        <v>0</v>
      </c>
      <c r="AH826" s="146">
        <f t="shared" si="373"/>
        <v>0</v>
      </c>
      <c r="AI826" s="143">
        <f t="shared" si="374"/>
        <v>0</v>
      </c>
      <c r="AJ826" s="133">
        <f t="shared" si="375"/>
        <v>1</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339</v>
      </c>
      <c r="P827" s="121"/>
      <c r="Q827" s="66"/>
      <c r="R827" s="121" t="s">
        <v>333</v>
      </c>
      <c r="S827" s="133">
        <f>M812</f>
        <v>1</v>
      </c>
      <c r="T827" s="120"/>
      <c r="U827" s="121" t="s">
        <v>293</v>
      </c>
      <c r="V827" s="133">
        <f t="shared" si="369"/>
        <v>1</v>
      </c>
      <c r="W827" s="133">
        <f>VLOOKUP(U827,Sheet1!$B$6:$C$45,2,FALSE)*V827</f>
        <v>0</v>
      </c>
      <c r="X827" s="141"/>
      <c r="Y827" s="121" t="s">
        <v>293</v>
      </c>
      <c r="Z827" s="146">
        <f>VLOOKUP(Takeoffs!Y827,Sheet1!$B$6:$C$124,2,FALSE)</f>
        <v>0</v>
      </c>
      <c r="AA827" s="146">
        <f t="shared" si="370"/>
        <v>0</v>
      </c>
      <c r="AB827" s="143">
        <f t="shared" si="371"/>
        <v>2</v>
      </c>
      <c r="AC827" s="133">
        <f t="shared" si="372"/>
        <v>1</v>
      </c>
      <c r="AD827" s="142">
        <v>2</v>
      </c>
      <c r="AE827" s="141"/>
      <c r="AF827" s="121" t="s">
        <v>293</v>
      </c>
      <c r="AG827" s="146">
        <f>VLOOKUP(Takeoffs!AF827,Sheet1!$B$6:$C$124,2,FALSE)</f>
        <v>0</v>
      </c>
      <c r="AH827" s="146">
        <f t="shared" si="373"/>
        <v>0</v>
      </c>
      <c r="AI827" s="143">
        <f t="shared" si="374"/>
        <v>0</v>
      </c>
      <c r="AJ827" s="133">
        <f t="shared" si="375"/>
        <v>1</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678</v>
      </c>
      <c r="P828" s="121"/>
      <c r="Q828" s="66"/>
      <c r="R828" s="121"/>
      <c r="S828" s="133">
        <f>M812</f>
        <v>1</v>
      </c>
      <c r="T828" s="120"/>
      <c r="U828" s="121" t="s">
        <v>293</v>
      </c>
      <c r="V828" s="133">
        <f t="shared" si="369"/>
        <v>1</v>
      </c>
      <c r="W828" s="133">
        <f>VLOOKUP(U828,Sheet1!$B$6:$C$45,2,FALSE)*V828</f>
        <v>0</v>
      </c>
      <c r="X828" s="141"/>
      <c r="Y828" s="135" t="s">
        <v>335</v>
      </c>
      <c r="Z828" s="146">
        <f>VLOOKUP(Takeoffs!Y828,Sheet1!$B$6:$C$124,2,FALSE)</f>
        <v>60</v>
      </c>
      <c r="AA828" s="146">
        <f t="shared" si="370"/>
        <v>60</v>
      </c>
      <c r="AB828" s="143">
        <f t="shared" si="371"/>
        <v>1</v>
      </c>
      <c r="AC828" s="133">
        <f t="shared" si="372"/>
        <v>1</v>
      </c>
      <c r="AD828" s="142">
        <v>1</v>
      </c>
      <c r="AE828" s="141"/>
      <c r="AF828" s="121" t="s">
        <v>293</v>
      </c>
      <c r="AG828" s="146">
        <f>VLOOKUP(Takeoffs!AF828,Sheet1!$B$6:$C$124,2,FALSE)</f>
        <v>0</v>
      </c>
      <c r="AH828" s="146">
        <f t="shared" si="373"/>
        <v>0</v>
      </c>
      <c r="AI828" s="143">
        <f t="shared" si="374"/>
        <v>0</v>
      </c>
      <c r="AJ828" s="133">
        <f t="shared" si="375"/>
        <v>1</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1</v>
      </c>
      <c r="T829" s="120"/>
      <c r="U829" s="121" t="s">
        <v>293</v>
      </c>
      <c r="V829" s="133">
        <f t="shared" si="369"/>
        <v>1</v>
      </c>
      <c r="W829" s="133">
        <f>VLOOKUP(U829,Sheet1!$B$6:$C$45,2,FALSE)*V829</f>
        <v>0</v>
      </c>
      <c r="X829" s="141"/>
      <c r="Y829" s="121" t="s">
        <v>293</v>
      </c>
      <c r="Z829" s="146">
        <f>VLOOKUP(Takeoffs!Y829,Sheet1!$B$6:$C$124,2,FALSE)</f>
        <v>0</v>
      </c>
      <c r="AA829" s="146">
        <f t="shared" si="370"/>
        <v>0</v>
      </c>
      <c r="AB829" s="143">
        <f t="shared" si="371"/>
        <v>1</v>
      </c>
      <c r="AC829" s="133">
        <f t="shared" si="372"/>
        <v>1</v>
      </c>
      <c r="AD829" s="142">
        <v>1</v>
      </c>
      <c r="AE829" s="141"/>
      <c r="AF829" s="121" t="s">
        <v>293</v>
      </c>
      <c r="AG829" s="146">
        <f>VLOOKUP(Takeoffs!AF829,Sheet1!$B$6:$C$124,2,FALSE)</f>
        <v>0</v>
      </c>
      <c r="AH829" s="146">
        <f t="shared" si="373"/>
        <v>0</v>
      </c>
      <c r="AI829" s="143">
        <f t="shared" si="374"/>
        <v>0</v>
      </c>
      <c r="AJ829" s="133">
        <f t="shared" si="375"/>
        <v>1</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1</v>
      </c>
      <c r="T830" s="120"/>
      <c r="U830" s="121" t="s">
        <v>293</v>
      </c>
      <c r="V830" s="133">
        <f t="shared" si="369"/>
        <v>1</v>
      </c>
      <c r="W830" s="133">
        <f>VLOOKUP(U830,Sheet1!$B$6:$C$45,2,FALSE)*V830</f>
        <v>0</v>
      </c>
      <c r="X830" s="141"/>
      <c r="Y830" s="121" t="s">
        <v>293</v>
      </c>
      <c r="Z830" s="146">
        <f>VLOOKUP(Takeoffs!Y830,Sheet1!$B$6:$C$124,2,FALSE)</f>
        <v>0</v>
      </c>
      <c r="AA830" s="146">
        <f t="shared" si="370"/>
        <v>0</v>
      </c>
      <c r="AB830" s="143">
        <f t="shared" si="371"/>
        <v>1</v>
      </c>
      <c r="AC830" s="133">
        <f t="shared" si="372"/>
        <v>1</v>
      </c>
      <c r="AD830" s="142">
        <v>1</v>
      </c>
      <c r="AE830" s="141"/>
      <c r="AF830" s="121" t="s">
        <v>293</v>
      </c>
      <c r="AG830" s="146">
        <f>VLOOKUP(Takeoffs!AF830,Sheet1!$B$6:$C$124,2,FALSE)</f>
        <v>0</v>
      </c>
      <c r="AH830" s="146">
        <f t="shared" si="373"/>
        <v>0</v>
      </c>
      <c r="AI830" s="143">
        <f t="shared" si="374"/>
        <v>0</v>
      </c>
      <c r="AJ830" s="133">
        <f t="shared" si="375"/>
        <v>1</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409</v>
      </c>
      <c r="P831" s="121"/>
      <c r="Q831" s="66"/>
      <c r="R831" s="121"/>
      <c r="S831" s="133">
        <f>M812</f>
        <v>1</v>
      </c>
      <c r="T831" s="120"/>
      <c r="U831" s="121" t="s">
        <v>293</v>
      </c>
      <c r="V831" s="133">
        <f t="shared" si="369"/>
        <v>1</v>
      </c>
      <c r="W831" s="133">
        <f>VLOOKUP(U831,Sheet1!$B$6:$C$45,2,FALSE)*V831</f>
        <v>0</v>
      </c>
      <c r="X831" s="141"/>
      <c r="Y831" s="121" t="s">
        <v>274</v>
      </c>
      <c r="Z831" s="146">
        <f>VLOOKUP(Takeoffs!Y831,Sheet1!$B$6:$C$124,2,FALSE)</f>
        <v>360</v>
      </c>
      <c r="AA831" s="146">
        <f t="shared" si="370"/>
        <v>360</v>
      </c>
      <c r="AB831" s="143">
        <f t="shared" si="371"/>
        <v>1</v>
      </c>
      <c r="AC831" s="133">
        <f t="shared" si="372"/>
        <v>1</v>
      </c>
      <c r="AD831" s="142">
        <v>1</v>
      </c>
      <c r="AE831" s="141"/>
      <c r="AF831" s="121" t="s">
        <v>293</v>
      </c>
      <c r="AG831" s="146">
        <f>VLOOKUP(Takeoffs!AF831,Sheet1!$B$6:$C$124,2,FALSE)</f>
        <v>0</v>
      </c>
      <c r="AH831" s="146">
        <f t="shared" si="373"/>
        <v>0</v>
      </c>
      <c r="AI831" s="143">
        <f t="shared" si="374"/>
        <v>0</v>
      </c>
      <c r="AJ831" s="133">
        <f t="shared" si="375"/>
        <v>1</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410</v>
      </c>
      <c r="P832" s="121"/>
      <c r="Q832" s="66"/>
      <c r="R832" s="121"/>
      <c r="S832" s="133">
        <f>M812</f>
        <v>1</v>
      </c>
      <c r="T832" s="120"/>
      <c r="U832" s="121" t="s">
        <v>364</v>
      </c>
      <c r="V832" s="133">
        <f t="shared" si="369"/>
        <v>1</v>
      </c>
      <c r="W832" s="133">
        <f>VLOOKUP(U832,Sheet1!$B$6:$C$45,2,FALSE)*V832</f>
        <v>1</v>
      </c>
      <c r="X832" s="141"/>
      <c r="Y832" s="121" t="s">
        <v>293</v>
      </c>
      <c r="Z832" s="146">
        <f>VLOOKUP(Takeoffs!Y832,Sheet1!$B$6:$C$124,2,FALSE)</f>
        <v>0</v>
      </c>
      <c r="AA832" s="146">
        <f t="shared" si="370"/>
        <v>0</v>
      </c>
      <c r="AB832" s="143">
        <f t="shared" si="371"/>
        <v>1</v>
      </c>
      <c r="AC832" s="133">
        <f t="shared" si="372"/>
        <v>1</v>
      </c>
      <c r="AD832" s="142">
        <v>1</v>
      </c>
      <c r="AE832" s="141"/>
      <c r="AF832" s="121" t="s">
        <v>293</v>
      </c>
      <c r="AG832" s="146">
        <f>VLOOKUP(Takeoffs!AF832,Sheet1!$B$6:$C$124,2,FALSE)</f>
        <v>0</v>
      </c>
      <c r="AH832" s="146">
        <f t="shared" si="373"/>
        <v>0</v>
      </c>
      <c r="AI832" s="143">
        <f t="shared" si="374"/>
        <v>0</v>
      </c>
      <c r="AJ832" s="133">
        <f t="shared" si="375"/>
        <v>1</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379</v>
      </c>
      <c r="L833" s="128" t="s">
        <v>380</v>
      </c>
      <c r="N833" s="129"/>
      <c r="O833" s="130" t="s">
        <v>359</v>
      </c>
      <c r="P833" s="131">
        <f>V833+AA833+AH833</f>
        <v>1831.5360000000001</v>
      </c>
      <c r="Q833" s="131"/>
      <c r="R833" s="131"/>
      <c r="S833" s="130"/>
      <c r="T833" s="127"/>
      <c r="U833" s="126" t="s">
        <v>353</v>
      </c>
      <c r="V833" s="127">
        <f>W833*80</f>
        <v>600</v>
      </c>
      <c r="W833" s="147">
        <f>SUM(W812:W832)</f>
        <v>7.5</v>
      </c>
      <c r="X833" s="148"/>
      <c r="Y833" s="127" t="s">
        <v>354</v>
      </c>
      <c r="Z833" s="116"/>
      <c r="AA833" s="116">
        <f>SUM(AA812:AA832)</f>
        <v>1207.74</v>
      </c>
      <c r="AB833" s="149"/>
      <c r="AC833" s="149"/>
      <c r="AD833" s="149"/>
      <c r="AE833" s="149"/>
      <c r="AF833" s="127" t="s">
        <v>358</v>
      </c>
      <c r="AG833" s="116"/>
      <c r="AH833" s="116">
        <f>SUM(AH812:AH832)</f>
        <v>23.795999999999996</v>
      </c>
      <c r="AI833" s="149"/>
      <c r="AJ833" s="149"/>
      <c r="AK833" s="149"/>
      <c r="AL833" s="149"/>
      <c r="AM833" s="150">
        <f>P833</f>
        <v>1831.5360000000001</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494</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v>1</v>
      </c>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one (1)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1831.5360000000001</v>
      </c>
      <c r="L834" s="234" t="str">
        <f>CONCATENATE(Q813,Q814,Q815,Q816,Q817,Q818,Q819,Q820,Q821,Q822,Q823,Q824,Q825,Q826,Q827,Q828,Q829,Q830,Q831,Q832,)</f>
        <v>isolator adjacent fanfire cabling from FIP.</v>
      </c>
      <c r="M834" s="166" t="s">
        <v>369</v>
      </c>
      <c r="N834" s="160" t="str">
        <f>N812</f>
        <v>Small sized VSD fan with fire shutdown - from local power supply</v>
      </c>
      <c r="O834" s="160" t="s">
        <v>367</v>
      </c>
      <c r="P834" s="183">
        <f>P833/M812</f>
        <v>1831.5360000000001</v>
      </c>
      <c r="Q834" s="191"/>
      <c r="R834" s="161"/>
      <c r="S834" s="160"/>
      <c r="T834" s="161"/>
      <c r="U834" s="327" t="s">
        <v>368</v>
      </c>
      <c r="V834" s="327"/>
      <c r="W834" s="162">
        <f>W833/M812</f>
        <v>7.5</v>
      </c>
      <c r="X834" s="163"/>
      <c r="Y834" s="325" t="s">
        <v>367</v>
      </c>
      <c r="Z834" s="325"/>
      <c r="AA834" s="164">
        <f>AA833/M812</f>
        <v>1207.74</v>
      </c>
      <c r="AB834" s="161"/>
      <c r="AC834" s="161"/>
      <c r="AD834" s="161"/>
      <c r="AE834" s="161"/>
      <c r="AF834" s="325" t="s">
        <v>367</v>
      </c>
      <c r="AG834" s="325"/>
      <c r="AH834" s="164">
        <f>AH833/M812</f>
        <v>23.795999999999996</v>
      </c>
      <c r="AI834" s="161"/>
      <c r="AJ834" s="161"/>
      <c r="AK834" s="161"/>
      <c r="AL834" s="247"/>
      <c r="AM834" s="257"/>
      <c r="AN834" s="236">
        <f>K834*$D$9</f>
        <v>457.88400000000001</v>
      </c>
      <c r="AO834" s="286"/>
      <c r="AP834" s="284">
        <f t="shared" si="355"/>
        <v>1831.5360000000001</v>
      </c>
      <c r="AQ834" s="281">
        <f t="shared" si="356"/>
        <v>600</v>
      </c>
      <c r="AR834" s="284">
        <f t="shared" si="357"/>
        <v>1207.74</v>
      </c>
      <c r="AS834" s="281">
        <f t="shared" si="358"/>
        <v>23.795999999999996</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454</v>
      </c>
      <c r="M835" s="116" t="s">
        <v>107</v>
      </c>
      <c r="N835" s="116" t="s">
        <v>108</v>
      </c>
      <c r="O835" s="170" t="s">
        <v>388</v>
      </c>
      <c r="P835" s="328" t="s">
        <v>377</v>
      </c>
      <c r="Q835" s="328"/>
      <c r="R835" s="101" t="s">
        <v>454</v>
      </c>
      <c r="S835" s="116" t="s">
        <v>0</v>
      </c>
      <c r="T835" s="118"/>
      <c r="U835" s="116" t="s">
        <v>288</v>
      </c>
      <c r="V835" s="116" t="s">
        <v>289</v>
      </c>
      <c r="W835" s="116" t="s">
        <v>292</v>
      </c>
      <c r="X835" s="140"/>
      <c r="Y835" s="116" t="s">
        <v>290</v>
      </c>
      <c r="Z835" s="116" t="s">
        <v>356</v>
      </c>
      <c r="AA835" s="116" t="s">
        <v>357</v>
      </c>
      <c r="AB835" s="116" t="s">
        <v>319</v>
      </c>
      <c r="AC835" s="116" t="s">
        <v>320</v>
      </c>
      <c r="AD835" s="116" t="s">
        <v>318</v>
      </c>
      <c r="AE835" s="140"/>
      <c r="AF835" s="116" t="s">
        <v>294</v>
      </c>
      <c r="AG835" s="116" t="s">
        <v>356</v>
      </c>
      <c r="AH835" s="116" t="s">
        <v>357</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one</v>
      </c>
      <c r="M836" s="121">
        <f>I858</f>
        <v>1</v>
      </c>
      <c r="N836" s="132" t="s">
        <v>551</v>
      </c>
      <c r="O836" s="121" t="s">
        <v>491</v>
      </c>
      <c r="P836" s="169" t="s">
        <v>381</v>
      </c>
      <c r="Q836" s="169" t="s">
        <v>377</v>
      </c>
      <c r="R836" s="169"/>
      <c r="S836" s="133">
        <f>M836</f>
        <v>1</v>
      </c>
      <c r="T836" s="119"/>
      <c r="U836" s="121" t="s">
        <v>293</v>
      </c>
      <c r="V836" s="133">
        <f>S836</f>
        <v>1</v>
      </c>
      <c r="W836" s="133">
        <f>VLOOKUP(U836,Sheet1!$B$6:$C$45,2,FALSE)*V836</f>
        <v>0</v>
      </c>
      <c r="X836" s="141"/>
      <c r="Y836" s="121" t="s">
        <v>293</v>
      </c>
      <c r="Z836" s="146">
        <f>VLOOKUP(Takeoffs!Y836,Sheet1!$B$6:$C$124,2,FALSE)</f>
        <v>0</v>
      </c>
      <c r="AA836" s="146">
        <f>Z836*AB836</f>
        <v>0</v>
      </c>
      <c r="AB836" s="143">
        <f>AD836*AC836</f>
        <v>1</v>
      </c>
      <c r="AC836" s="133">
        <f>S836</f>
        <v>1</v>
      </c>
      <c r="AD836" s="142">
        <v>1</v>
      </c>
      <c r="AE836" s="141"/>
      <c r="AF836" s="121" t="s">
        <v>293</v>
      </c>
      <c r="AG836" s="146">
        <f>VLOOKUP(Takeoffs!AF836,Sheet1!$B$6:$C$124,2,FALSE)</f>
        <v>0</v>
      </c>
      <c r="AH836" s="146">
        <f>AG836*AI836</f>
        <v>0</v>
      </c>
      <c r="AI836" s="143">
        <f>AK836*AJ836</f>
        <v>0</v>
      </c>
      <c r="AJ836" s="133">
        <f>S836</f>
        <v>1</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342</v>
      </c>
      <c r="P837" s="121"/>
      <c r="Q837" s="66"/>
      <c r="R837" s="121"/>
      <c r="S837" s="133">
        <f>M836</f>
        <v>1</v>
      </c>
      <c r="T837" s="120"/>
      <c r="U837" s="121" t="s">
        <v>293</v>
      </c>
      <c r="V837" s="133">
        <f t="shared" ref="V837:V856" si="378">S837</f>
        <v>1</v>
      </c>
      <c r="W837" s="133">
        <f>VLOOKUP(U837,Sheet1!$B$6:$C$45,2,FALSE)*V837</f>
        <v>0</v>
      </c>
      <c r="X837" s="141"/>
      <c r="Y837" s="121" t="s">
        <v>293</v>
      </c>
      <c r="Z837" s="146">
        <f>VLOOKUP(Takeoffs!Y837,Sheet1!$B$6:$C$124,2,FALSE)</f>
        <v>0</v>
      </c>
      <c r="AA837" s="146">
        <f t="shared" ref="AA837:AA856" si="379">Z837*AB837</f>
        <v>0</v>
      </c>
      <c r="AB837" s="143">
        <f t="shared" ref="AB837:AB856" si="380">AD837*AC837</f>
        <v>1</v>
      </c>
      <c r="AC837" s="133">
        <f t="shared" ref="AC837:AC856" si="381">S837</f>
        <v>1</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1</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1</v>
      </c>
      <c r="T838" s="120"/>
      <c r="U838" s="121" t="s">
        <v>293</v>
      </c>
      <c r="V838" s="133">
        <f t="shared" si="378"/>
        <v>1</v>
      </c>
      <c r="W838" s="133">
        <f>VLOOKUP(U838,Sheet1!$B$6:$C$45,2,FALSE)*V838</f>
        <v>0</v>
      </c>
      <c r="X838" s="141"/>
      <c r="Y838" s="122" t="s">
        <v>252</v>
      </c>
      <c r="Z838" s="146">
        <f>VLOOKUP(Takeoffs!Y838,Sheet1!$B$6:$C$124,2,FALSE)</f>
        <v>43.440000000000005</v>
      </c>
      <c r="AA838" s="146">
        <f t="shared" si="379"/>
        <v>43.440000000000005</v>
      </c>
      <c r="AB838" s="143">
        <f t="shared" si="380"/>
        <v>1</v>
      </c>
      <c r="AC838" s="133">
        <f t="shared" si="381"/>
        <v>1</v>
      </c>
      <c r="AD838" s="142">
        <v>1</v>
      </c>
      <c r="AE838" s="141"/>
      <c r="AF838" s="122" t="s">
        <v>268</v>
      </c>
      <c r="AG838" s="146">
        <f>VLOOKUP(Takeoffs!AF838,Sheet1!$B$6:$C$124,2,FALSE)</f>
        <v>1.02</v>
      </c>
      <c r="AH838" s="146">
        <f t="shared" si="382"/>
        <v>20.399999999999999</v>
      </c>
      <c r="AI838" s="143">
        <f t="shared" si="383"/>
        <v>20</v>
      </c>
      <c r="AJ838" s="133">
        <f t="shared" si="384"/>
        <v>1</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1</v>
      </c>
      <c r="T839" s="120"/>
      <c r="U839" s="117" t="s">
        <v>481</v>
      </c>
      <c r="V839" s="133">
        <f t="shared" si="378"/>
        <v>1</v>
      </c>
      <c r="W839" s="133">
        <f>VLOOKUP(U839,Sheet1!$B$6:$C$45,2,FALSE)*V839</f>
        <v>2</v>
      </c>
      <c r="X839" s="141"/>
      <c r="Y839" s="121" t="s">
        <v>293</v>
      </c>
      <c r="Z839" s="146">
        <f>VLOOKUP(Takeoffs!Y839,Sheet1!$B$6:$C$124,2,FALSE)</f>
        <v>0</v>
      </c>
      <c r="AA839" s="146">
        <f t="shared" si="379"/>
        <v>0</v>
      </c>
      <c r="AB839" s="143">
        <f t="shared" si="380"/>
        <v>1</v>
      </c>
      <c r="AC839" s="133">
        <f t="shared" si="381"/>
        <v>1</v>
      </c>
      <c r="AD839" s="142">
        <v>1</v>
      </c>
      <c r="AE839" s="141"/>
      <c r="AF839" s="121" t="s">
        <v>293</v>
      </c>
      <c r="AG839" s="146">
        <f>VLOOKUP(Takeoffs!AF839,Sheet1!$B$6:$C$124,2,FALSE)</f>
        <v>0</v>
      </c>
      <c r="AH839" s="146">
        <f t="shared" si="382"/>
        <v>0</v>
      </c>
      <c r="AI839" s="143">
        <f t="shared" si="383"/>
        <v>0</v>
      </c>
      <c r="AJ839" s="133">
        <f t="shared" si="384"/>
        <v>1</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325</v>
      </c>
      <c r="P840" s="121"/>
      <c r="Q840" s="66"/>
      <c r="R840" s="121"/>
      <c r="S840" s="133">
        <f>M836</f>
        <v>1</v>
      </c>
      <c r="T840" s="120"/>
      <c r="U840" s="121" t="s">
        <v>235</v>
      </c>
      <c r="V840" s="133">
        <f t="shared" si="378"/>
        <v>1</v>
      </c>
      <c r="W840" s="133">
        <f>VLOOKUP(U840,Sheet1!$B$6:$C$45,2,FALSE)*V840</f>
        <v>1.5</v>
      </c>
      <c r="X840" s="141"/>
      <c r="Y840" s="135" t="s">
        <v>546</v>
      </c>
      <c r="Z840" s="146">
        <f>VLOOKUP(Takeoffs!Y840,Sheet1!$B$6:$C$124,2,FALSE)</f>
        <v>649.44000000000005</v>
      </c>
      <c r="AA840" s="146">
        <f t="shared" si="379"/>
        <v>649.44000000000005</v>
      </c>
      <c r="AB840" s="143">
        <f t="shared" si="380"/>
        <v>1</v>
      </c>
      <c r="AC840" s="133">
        <f t="shared" si="381"/>
        <v>1</v>
      </c>
      <c r="AD840" s="142">
        <v>1</v>
      </c>
      <c r="AE840" s="141"/>
      <c r="AF840" s="121" t="s">
        <v>293</v>
      </c>
      <c r="AG840" s="146">
        <f>VLOOKUP(Takeoffs!AF840,Sheet1!$B$6:$C$124,2,FALSE)</f>
        <v>0</v>
      </c>
      <c r="AH840" s="146">
        <f t="shared" si="382"/>
        <v>0</v>
      </c>
      <c r="AI840" s="143">
        <f t="shared" si="383"/>
        <v>0</v>
      </c>
      <c r="AJ840" s="133">
        <f t="shared" si="384"/>
        <v>1</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392</v>
      </c>
      <c r="P841" s="121"/>
      <c r="Q841" s="66"/>
      <c r="R841" s="121"/>
      <c r="S841" s="133">
        <f>M836</f>
        <v>1</v>
      </c>
      <c r="T841" s="120"/>
      <c r="U841" s="121" t="s">
        <v>293</v>
      </c>
      <c r="V841" s="133">
        <f t="shared" si="378"/>
        <v>1</v>
      </c>
      <c r="W841" s="133">
        <f>VLOOKUP(U841,Sheet1!$B$6:$C$45,2,FALSE)*V841</f>
        <v>0</v>
      </c>
      <c r="X841" s="141"/>
      <c r="Y841" s="121" t="s">
        <v>293</v>
      </c>
      <c r="Z841" s="146">
        <f>VLOOKUP(Takeoffs!Y841,Sheet1!$B$6:$C$124,2,FALSE)</f>
        <v>0</v>
      </c>
      <c r="AA841" s="146">
        <f t="shared" si="379"/>
        <v>0</v>
      </c>
      <c r="AB841" s="143">
        <f t="shared" si="380"/>
        <v>1</v>
      </c>
      <c r="AC841" s="133">
        <f t="shared" si="381"/>
        <v>1</v>
      </c>
      <c r="AD841" s="142">
        <v>1</v>
      </c>
      <c r="AE841" s="141"/>
      <c r="AF841" s="122" t="s">
        <v>268</v>
      </c>
      <c r="AG841" s="146">
        <f>VLOOKUP(Takeoffs!AF841,Sheet1!$B$6:$C$124,2,FALSE)</f>
        <v>1.02</v>
      </c>
      <c r="AH841" s="146">
        <f t="shared" si="382"/>
        <v>3.06</v>
      </c>
      <c r="AI841" s="143">
        <f t="shared" si="383"/>
        <v>3</v>
      </c>
      <c r="AJ841" s="133">
        <f t="shared" si="384"/>
        <v>1</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1</v>
      </c>
      <c r="T842" s="120"/>
      <c r="U842" s="121" t="s">
        <v>293</v>
      </c>
      <c r="V842" s="133">
        <f t="shared" si="378"/>
        <v>1</v>
      </c>
      <c r="W842" s="133">
        <f>VLOOKUP(U842,Sheet1!$B$6:$C$45,2,FALSE)*V842</f>
        <v>0</v>
      </c>
      <c r="X842" s="141"/>
      <c r="Y842" s="121" t="s">
        <v>293</v>
      </c>
      <c r="Z842" s="146">
        <f>VLOOKUP(Takeoffs!Y842,Sheet1!$B$6:$C$124,2,FALSE)</f>
        <v>0</v>
      </c>
      <c r="AA842" s="146">
        <f t="shared" si="379"/>
        <v>0</v>
      </c>
      <c r="AB842" s="143">
        <f t="shared" si="380"/>
        <v>1</v>
      </c>
      <c r="AC842" s="133">
        <f t="shared" si="381"/>
        <v>1</v>
      </c>
      <c r="AD842" s="142">
        <v>1</v>
      </c>
      <c r="AE842" s="141"/>
      <c r="AF842" s="121" t="s">
        <v>293</v>
      </c>
      <c r="AG842" s="146">
        <f>VLOOKUP(Takeoffs!AF842,Sheet1!$B$6:$C$124,2,FALSE)</f>
        <v>0</v>
      </c>
      <c r="AH842" s="146">
        <f t="shared" si="382"/>
        <v>0</v>
      </c>
      <c r="AI842" s="143">
        <f t="shared" si="383"/>
        <v>0</v>
      </c>
      <c r="AJ842" s="133">
        <f t="shared" si="384"/>
        <v>1</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1</v>
      </c>
      <c r="T843" s="120"/>
      <c r="U843" s="121" t="s">
        <v>293</v>
      </c>
      <c r="V843" s="133">
        <f t="shared" si="378"/>
        <v>1</v>
      </c>
      <c r="W843" s="133">
        <f>VLOOKUP(U843,Sheet1!$B$6:$C$45,2,FALSE)*V843</f>
        <v>0</v>
      </c>
      <c r="X843" s="141"/>
      <c r="Y843" s="121" t="s">
        <v>293</v>
      </c>
      <c r="Z843" s="146">
        <f>VLOOKUP(Takeoffs!Y843,Sheet1!$B$6:$C$124,2,FALSE)</f>
        <v>0</v>
      </c>
      <c r="AA843" s="146">
        <f t="shared" si="379"/>
        <v>0</v>
      </c>
      <c r="AB843" s="143">
        <f t="shared" si="380"/>
        <v>1</v>
      </c>
      <c r="AC843" s="133">
        <f t="shared" si="381"/>
        <v>1</v>
      </c>
      <c r="AD843" s="142">
        <v>1</v>
      </c>
      <c r="AE843" s="141"/>
      <c r="AF843" s="121" t="s">
        <v>293</v>
      </c>
      <c r="AG843" s="146">
        <f>VLOOKUP(Takeoffs!AF843,Sheet1!$B$6:$C$124,2,FALSE)</f>
        <v>0</v>
      </c>
      <c r="AH843" s="146">
        <f t="shared" si="382"/>
        <v>0</v>
      </c>
      <c r="AI843" s="143">
        <f t="shared" si="383"/>
        <v>0</v>
      </c>
      <c r="AJ843" s="133">
        <f t="shared" si="384"/>
        <v>1</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330</v>
      </c>
      <c r="P844" s="121"/>
      <c r="Q844" s="66"/>
      <c r="R844" s="121"/>
      <c r="S844" s="133">
        <f>M836</f>
        <v>1</v>
      </c>
      <c r="T844" s="120"/>
      <c r="U844" s="121" t="s">
        <v>366</v>
      </c>
      <c r="V844" s="133">
        <f t="shared" si="378"/>
        <v>1</v>
      </c>
      <c r="W844" s="133">
        <f>VLOOKUP(U844,Sheet1!$B$6:$C$45,2,FALSE)*V844</f>
        <v>2</v>
      </c>
      <c r="X844" s="141"/>
      <c r="Y844" s="121" t="s">
        <v>293</v>
      </c>
      <c r="Z844" s="146">
        <f>VLOOKUP(Takeoffs!Y844,Sheet1!$B$6:$C$124,2,FALSE)</f>
        <v>0</v>
      </c>
      <c r="AA844" s="146">
        <f t="shared" si="379"/>
        <v>0</v>
      </c>
      <c r="AB844" s="143">
        <f t="shared" si="380"/>
        <v>1</v>
      </c>
      <c r="AC844" s="133">
        <f t="shared" si="381"/>
        <v>1</v>
      </c>
      <c r="AD844" s="142">
        <v>1</v>
      </c>
      <c r="AE844" s="141"/>
      <c r="AF844" s="121" t="s">
        <v>293</v>
      </c>
      <c r="AG844" s="146">
        <f>VLOOKUP(Takeoffs!AF844,Sheet1!$B$6:$C$124,2,FALSE)</f>
        <v>0</v>
      </c>
      <c r="AH844" s="146">
        <f t="shared" si="382"/>
        <v>0</v>
      </c>
      <c r="AI844" s="143">
        <f t="shared" si="383"/>
        <v>0</v>
      </c>
      <c r="AJ844" s="133">
        <f t="shared" si="384"/>
        <v>1</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1</v>
      </c>
      <c r="T845" s="120"/>
      <c r="U845" s="121" t="s">
        <v>293</v>
      </c>
      <c r="V845" s="133">
        <f t="shared" si="378"/>
        <v>1</v>
      </c>
      <c r="W845" s="133">
        <f>VLOOKUP(U845,Sheet1!$B$6:$C$45,2,FALSE)*V845</f>
        <v>0</v>
      </c>
      <c r="X845" s="141"/>
      <c r="Y845" s="121" t="s">
        <v>293</v>
      </c>
      <c r="Z845" s="146">
        <f>VLOOKUP(Takeoffs!Y845,Sheet1!$B$6:$C$124,2,FALSE)</f>
        <v>0</v>
      </c>
      <c r="AA845" s="146">
        <f t="shared" si="379"/>
        <v>0</v>
      </c>
      <c r="AB845" s="143">
        <f t="shared" si="380"/>
        <v>1</v>
      </c>
      <c r="AC845" s="133">
        <f t="shared" si="381"/>
        <v>1</v>
      </c>
      <c r="AD845" s="142">
        <v>1</v>
      </c>
      <c r="AE845" s="141"/>
      <c r="AF845" s="121" t="s">
        <v>293</v>
      </c>
      <c r="AG845" s="146">
        <f>VLOOKUP(Takeoffs!AF845,Sheet1!$B$6:$C$124,2,FALSE)</f>
        <v>0</v>
      </c>
      <c r="AH845" s="146">
        <f t="shared" si="382"/>
        <v>0</v>
      </c>
      <c r="AI845" s="143">
        <f t="shared" si="383"/>
        <v>0</v>
      </c>
      <c r="AJ845" s="133">
        <f t="shared" si="384"/>
        <v>1</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1</v>
      </c>
      <c r="T846" s="120"/>
      <c r="U846" s="121" t="s">
        <v>293</v>
      </c>
      <c r="V846" s="133">
        <f t="shared" si="378"/>
        <v>1</v>
      </c>
      <c r="W846" s="133">
        <f>VLOOKUP(U846,Sheet1!$B$6:$C$45,2,FALSE)*V846</f>
        <v>0</v>
      </c>
      <c r="X846" s="141"/>
      <c r="Y846" s="121" t="s">
        <v>293</v>
      </c>
      <c r="Z846" s="146">
        <f>VLOOKUP(Takeoffs!Y846,Sheet1!$B$6:$C$124,2,FALSE)</f>
        <v>0</v>
      </c>
      <c r="AA846" s="146">
        <f t="shared" si="379"/>
        <v>0</v>
      </c>
      <c r="AB846" s="143">
        <f t="shared" si="380"/>
        <v>1</v>
      </c>
      <c r="AC846" s="133">
        <f t="shared" si="381"/>
        <v>1</v>
      </c>
      <c r="AD846" s="142">
        <v>1</v>
      </c>
      <c r="AE846" s="141"/>
      <c r="AF846" s="121" t="s">
        <v>293</v>
      </c>
      <c r="AG846" s="146">
        <f>VLOOKUP(Takeoffs!AF846,Sheet1!$B$6:$C$124,2,FALSE)</f>
        <v>0</v>
      </c>
      <c r="AH846" s="146">
        <f t="shared" si="382"/>
        <v>0</v>
      </c>
      <c r="AI846" s="143">
        <f t="shared" si="383"/>
        <v>0</v>
      </c>
      <c r="AJ846" s="133">
        <f t="shared" si="384"/>
        <v>1</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1</v>
      </c>
      <c r="T847" s="120"/>
      <c r="U847" s="121" t="s">
        <v>293</v>
      </c>
      <c r="V847" s="133">
        <f t="shared" si="378"/>
        <v>1</v>
      </c>
      <c r="W847" s="133">
        <f>VLOOKUP(U847,Sheet1!$B$6:$C$45,2,FALSE)*V847</f>
        <v>0</v>
      </c>
      <c r="X847" s="141"/>
      <c r="Y847" s="121" t="s">
        <v>293</v>
      </c>
      <c r="Z847" s="146">
        <f>VLOOKUP(Takeoffs!Y847,Sheet1!$B$6:$C$124,2,FALSE)</f>
        <v>0</v>
      </c>
      <c r="AA847" s="146">
        <f t="shared" si="379"/>
        <v>0</v>
      </c>
      <c r="AB847" s="143">
        <f t="shared" si="380"/>
        <v>1</v>
      </c>
      <c r="AC847" s="133">
        <f t="shared" si="381"/>
        <v>1</v>
      </c>
      <c r="AD847" s="142">
        <v>1</v>
      </c>
      <c r="AE847" s="141"/>
      <c r="AF847" s="121" t="s">
        <v>293</v>
      </c>
      <c r="AG847" s="146">
        <f>VLOOKUP(Takeoffs!AF847,Sheet1!$B$6:$C$124,2,FALSE)</f>
        <v>0</v>
      </c>
      <c r="AH847" s="146">
        <f t="shared" si="382"/>
        <v>0</v>
      </c>
      <c r="AI847" s="143">
        <f t="shared" si="383"/>
        <v>0</v>
      </c>
      <c r="AJ847" s="133">
        <f t="shared" si="384"/>
        <v>1</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1</v>
      </c>
      <c r="T848" s="120"/>
      <c r="U848" s="121" t="s">
        <v>293</v>
      </c>
      <c r="V848" s="133">
        <f t="shared" si="378"/>
        <v>1</v>
      </c>
      <c r="W848" s="133">
        <f>VLOOKUP(U848,Sheet1!$B$6:$C$45,2,FALSE)*V848</f>
        <v>0</v>
      </c>
      <c r="X848" s="141"/>
      <c r="Y848" s="121" t="s">
        <v>293</v>
      </c>
      <c r="Z848" s="146">
        <f>VLOOKUP(Takeoffs!Y848,Sheet1!$B$6:$C$124,2,FALSE)</f>
        <v>0</v>
      </c>
      <c r="AA848" s="146">
        <f t="shared" si="379"/>
        <v>0</v>
      </c>
      <c r="AB848" s="143">
        <f t="shared" si="380"/>
        <v>1</v>
      </c>
      <c r="AC848" s="133">
        <f t="shared" si="381"/>
        <v>1</v>
      </c>
      <c r="AD848" s="142">
        <v>1</v>
      </c>
      <c r="AE848" s="141"/>
      <c r="AF848" s="152" t="s">
        <v>420</v>
      </c>
      <c r="AG848" s="146">
        <f>VLOOKUP(Takeoffs!AF848,Sheet1!$B$6:$C$124,2,FALSE)</f>
        <v>0.33600000000000002</v>
      </c>
      <c r="AH848" s="146">
        <f t="shared" si="382"/>
        <v>0.33600000000000002</v>
      </c>
      <c r="AI848" s="143">
        <f t="shared" si="383"/>
        <v>1</v>
      </c>
      <c r="AJ848" s="133">
        <f t="shared" si="384"/>
        <v>1</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1</v>
      </c>
      <c r="T849" s="120"/>
      <c r="U849" s="121" t="s">
        <v>232</v>
      </c>
      <c r="V849" s="133">
        <f t="shared" si="378"/>
        <v>1</v>
      </c>
      <c r="W849" s="133">
        <f>VLOOKUP(U849,Sheet1!$B$6:$C$45,2,FALSE)*V849</f>
        <v>1</v>
      </c>
      <c r="X849" s="141"/>
      <c r="Y849" s="122" t="s">
        <v>281</v>
      </c>
      <c r="Z849" s="146">
        <f>VLOOKUP(Takeoffs!Y849,Sheet1!$B$6:$C$124,2,FALSE)</f>
        <v>109.25999999999999</v>
      </c>
      <c r="AA849" s="146">
        <f t="shared" si="379"/>
        <v>109.25999999999999</v>
      </c>
      <c r="AB849" s="143">
        <f t="shared" si="380"/>
        <v>1</v>
      </c>
      <c r="AC849" s="133">
        <f t="shared" si="381"/>
        <v>1</v>
      </c>
      <c r="AD849" s="142">
        <v>1</v>
      </c>
      <c r="AE849" s="141"/>
      <c r="AF849" s="121" t="s">
        <v>293</v>
      </c>
      <c r="AG849" s="146">
        <f>VLOOKUP(Takeoffs!AF849,Sheet1!$B$6:$C$124,2,FALSE)</f>
        <v>0</v>
      </c>
      <c r="AH849" s="146">
        <f t="shared" si="382"/>
        <v>0</v>
      </c>
      <c r="AI849" s="143">
        <f t="shared" si="383"/>
        <v>0</v>
      </c>
      <c r="AJ849" s="133">
        <f t="shared" si="384"/>
        <v>1</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347</v>
      </c>
      <c r="P850" s="121" t="s">
        <v>382</v>
      </c>
      <c r="Q850" s="66" t="s">
        <v>386</v>
      </c>
      <c r="R850" s="121"/>
      <c r="S850" s="133">
        <f>M836</f>
        <v>1</v>
      </c>
      <c r="T850" s="120"/>
      <c r="U850" s="121" t="s">
        <v>293</v>
      </c>
      <c r="V850" s="133">
        <f t="shared" si="378"/>
        <v>1</v>
      </c>
      <c r="W850" s="133">
        <f>VLOOKUP(U850,Sheet1!$B$6:$C$45,2,FALSE)*V850</f>
        <v>0</v>
      </c>
      <c r="X850" s="141"/>
      <c r="Y850" s="122" t="s">
        <v>328</v>
      </c>
      <c r="Z850" s="146">
        <f>VLOOKUP(Takeoffs!Y850,Sheet1!$B$6:$C$124,2,FALSE)</f>
        <v>29.04</v>
      </c>
      <c r="AA850" s="146">
        <f t="shared" si="379"/>
        <v>29.04</v>
      </c>
      <c r="AB850" s="143">
        <f t="shared" si="380"/>
        <v>1</v>
      </c>
      <c r="AC850" s="133">
        <f t="shared" si="381"/>
        <v>1</v>
      </c>
      <c r="AD850" s="142">
        <v>1</v>
      </c>
      <c r="AE850" s="141"/>
      <c r="AF850" s="121" t="s">
        <v>293</v>
      </c>
      <c r="AG850" s="146">
        <f>VLOOKUP(Takeoffs!AF850,Sheet1!$B$6:$C$124,2,FALSE)</f>
        <v>0</v>
      </c>
      <c r="AH850" s="146">
        <f t="shared" si="382"/>
        <v>0</v>
      </c>
      <c r="AI850" s="143">
        <f t="shared" si="383"/>
        <v>0</v>
      </c>
      <c r="AJ850" s="133">
        <f t="shared" si="384"/>
        <v>1</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339</v>
      </c>
      <c r="P851" s="121"/>
      <c r="Q851" s="66"/>
      <c r="R851" s="121" t="s">
        <v>333</v>
      </c>
      <c r="S851" s="133">
        <f>M836</f>
        <v>1</v>
      </c>
      <c r="T851" s="120"/>
      <c r="U851" s="121" t="s">
        <v>293</v>
      </c>
      <c r="V851" s="133">
        <f t="shared" si="378"/>
        <v>1</v>
      </c>
      <c r="W851" s="133">
        <f>VLOOKUP(U851,Sheet1!$B$6:$C$45,2,FALSE)*V851</f>
        <v>0</v>
      </c>
      <c r="X851" s="141"/>
      <c r="Y851" s="122" t="s">
        <v>280</v>
      </c>
      <c r="Z851" s="146">
        <f>VLOOKUP(Takeoffs!Y851,Sheet1!$B$6:$C$124,2,FALSE)</f>
        <v>19.2</v>
      </c>
      <c r="AA851" s="146">
        <f t="shared" si="379"/>
        <v>38.4</v>
      </c>
      <c r="AB851" s="143">
        <f t="shared" si="380"/>
        <v>2</v>
      </c>
      <c r="AC851" s="133">
        <f t="shared" si="381"/>
        <v>1</v>
      </c>
      <c r="AD851" s="142">
        <v>2</v>
      </c>
      <c r="AE851" s="141"/>
      <c r="AF851" s="121" t="s">
        <v>293</v>
      </c>
      <c r="AG851" s="146">
        <f>VLOOKUP(Takeoffs!AF851,Sheet1!$B$6:$C$124,2,FALSE)</f>
        <v>0</v>
      </c>
      <c r="AH851" s="146">
        <f t="shared" si="382"/>
        <v>0</v>
      </c>
      <c r="AI851" s="143">
        <f t="shared" si="383"/>
        <v>0</v>
      </c>
      <c r="AJ851" s="133">
        <f t="shared" si="384"/>
        <v>1</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502</v>
      </c>
      <c r="P852" s="121"/>
      <c r="Q852" s="66"/>
      <c r="R852" s="121"/>
      <c r="S852" s="133">
        <f>M836</f>
        <v>1</v>
      </c>
      <c r="T852" s="120"/>
      <c r="U852" s="121" t="s">
        <v>293</v>
      </c>
      <c r="V852" s="133">
        <f t="shared" si="378"/>
        <v>1</v>
      </c>
      <c r="W852" s="133">
        <f>VLOOKUP(U852,Sheet1!$B$6:$C$45,2,FALSE)*V852</f>
        <v>0</v>
      </c>
      <c r="X852" s="141"/>
      <c r="Y852" s="135" t="s">
        <v>424</v>
      </c>
      <c r="Z852" s="146">
        <f>VLOOKUP(Takeoffs!Y852,Sheet1!$B$6:$C$124,2,FALSE)</f>
        <v>23.4</v>
      </c>
      <c r="AA852" s="146">
        <f t="shared" si="379"/>
        <v>23.4</v>
      </c>
      <c r="AB852" s="143">
        <f t="shared" si="380"/>
        <v>1</v>
      </c>
      <c r="AC852" s="133">
        <f t="shared" si="381"/>
        <v>1</v>
      </c>
      <c r="AD852" s="142">
        <v>1</v>
      </c>
      <c r="AE852" s="141"/>
      <c r="AF852" s="121" t="s">
        <v>293</v>
      </c>
      <c r="AG852" s="146">
        <f>VLOOKUP(Takeoffs!AF852,Sheet1!$B$6:$C$124,2,FALSE)</f>
        <v>0</v>
      </c>
      <c r="AH852" s="146">
        <f t="shared" si="382"/>
        <v>0</v>
      </c>
      <c r="AI852" s="143">
        <f t="shared" si="383"/>
        <v>0</v>
      </c>
      <c r="AJ852" s="133">
        <f t="shared" si="384"/>
        <v>1</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331</v>
      </c>
      <c r="P853" s="121"/>
      <c r="Q853" s="66"/>
      <c r="R853" s="121" t="s">
        <v>305</v>
      </c>
      <c r="S853" s="133">
        <f>M836</f>
        <v>1</v>
      </c>
      <c r="T853" s="120"/>
      <c r="U853" s="121" t="s">
        <v>293</v>
      </c>
      <c r="V853" s="133">
        <f t="shared" si="378"/>
        <v>1</v>
      </c>
      <c r="W853" s="133">
        <f>VLOOKUP(U853,Sheet1!$B$6:$C$45,2,FALSE)*V853</f>
        <v>0</v>
      </c>
      <c r="X853" s="141"/>
      <c r="Y853" s="122" t="s">
        <v>277</v>
      </c>
      <c r="Z853" s="146">
        <f>VLOOKUP(Takeoffs!Y853,Sheet1!$B$6:$C$124,2,FALSE)</f>
        <v>69.540000000000006</v>
      </c>
      <c r="AA853" s="146">
        <f t="shared" si="379"/>
        <v>69.540000000000006</v>
      </c>
      <c r="AB853" s="143">
        <f t="shared" si="380"/>
        <v>1</v>
      </c>
      <c r="AC853" s="133">
        <f t="shared" si="381"/>
        <v>1</v>
      </c>
      <c r="AD853" s="142">
        <v>1</v>
      </c>
      <c r="AE853" s="141"/>
      <c r="AF853" s="121" t="s">
        <v>293</v>
      </c>
      <c r="AG853" s="146">
        <f>VLOOKUP(Takeoffs!AF853,Sheet1!$B$6:$C$124,2,FALSE)</f>
        <v>0</v>
      </c>
      <c r="AH853" s="146">
        <f t="shared" si="382"/>
        <v>0</v>
      </c>
      <c r="AI853" s="143">
        <f t="shared" si="383"/>
        <v>0</v>
      </c>
      <c r="AJ853" s="133">
        <f t="shared" si="384"/>
        <v>1</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503</v>
      </c>
      <c r="P854" s="121"/>
      <c r="Q854" s="66"/>
      <c r="R854" s="121"/>
      <c r="S854" s="133">
        <f>M836</f>
        <v>1</v>
      </c>
      <c r="T854" s="120"/>
      <c r="U854" s="121" t="s">
        <v>293</v>
      </c>
      <c r="V854" s="133">
        <f t="shared" si="378"/>
        <v>1</v>
      </c>
      <c r="W854" s="133">
        <f>VLOOKUP(U854,Sheet1!$B$6:$C$45,2,FALSE)*V854</f>
        <v>0</v>
      </c>
      <c r="X854" s="141"/>
      <c r="Y854" s="121" t="s">
        <v>293</v>
      </c>
      <c r="Z854" s="146">
        <f>VLOOKUP(Takeoffs!Y854,Sheet1!$B$6:$C$124,2,FALSE)</f>
        <v>0</v>
      </c>
      <c r="AA854" s="146">
        <f t="shared" si="379"/>
        <v>0</v>
      </c>
      <c r="AB854" s="143">
        <f t="shared" si="380"/>
        <v>1</v>
      </c>
      <c r="AC854" s="133">
        <f t="shared" si="381"/>
        <v>1</v>
      </c>
      <c r="AD854" s="142">
        <v>1</v>
      </c>
      <c r="AE854" s="141"/>
      <c r="AF854" s="121" t="s">
        <v>293</v>
      </c>
      <c r="AG854" s="146">
        <f>VLOOKUP(Takeoffs!AF854,Sheet1!$B$6:$C$124,2,FALSE)</f>
        <v>0</v>
      </c>
      <c r="AH854" s="146">
        <f t="shared" si="382"/>
        <v>0</v>
      </c>
      <c r="AI854" s="143">
        <f t="shared" si="383"/>
        <v>0</v>
      </c>
      <c r="AJ854" s="133">
        <f t="shared" si="384"/>
        <v>1</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409</v>
      </c>
      <c r="P855" s="121"/>
      <c r="Q855" s="66"/>
      <c r="R855" s="121"/>
      <c r="S855" s="133">
        <f>M836</f>
        <v>1</v>
      </c>
      <c r="T855" s="120"/>
      <c r="U855" s="121" t="s">
        <v>293</v>
      </c>
      <c r="V855" s="133">
        <f t="shared" si="378"/>
        <v>1</v>
      </c>
      <c r="W855" s="133">
        <f>VLOOKUP(U855,Sheet1!$B$6:$C$45,2,FALSE)*V855</f>
        <v>0</v>
      </c>
      <c r="X855" s="141"/>
      <c r="Y855" s="121" t="s">
        <v>274</v>
      </c>
      <c r="Z855" s="146">
        <f>VLOOKUP(Takeoffs!Y855,Sheet1!$B$6:$C$124,2,FALSE)</f>
        <v>360</v>
      </c>
      <c r="AA855" s="146">
        <f t="shared" si="379"/>
        <v>360</v>
      </c>
      <c r="AB855" s="143">
        <f t="shared" si="380"/>
        <v>1</v>
      </c>
      <c r="AC855" s="133">
        <f t="shared" si="381"/>
        <v>1</v>
      </c>
      <c r="AD855" s="142">
        <v>1</v>
      </c>
      <c r="AE855" s="141"/>
      <c r="AF855" s="121" t="s">
        <v>293</v>
      </c>
      <c r="AG855" s="146">
        <f>VLOOKUP(Takeoffs!AF855,Sheet1!$B$6:$C$124,2,FALSE)</f>
        <v>0</v>
      </c>
      <c r="AH855" s="146">
        <f t="shared" si="382"/>
        <v>0</v>
      </c>
      <c r="AI855" s="143">
        <f t="shared" si="383"/>
        <v>0</v>
      </c>
      <c r="AJ855" s="133">
        <f t="shared" si="384"/>
        <v>1</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410</v>
      </c>
      <c r="P856" s="121"/>
      <c r="Q856" s="66"/>
      <c r="R856" s="121"/>
      <c r="S856" s="133">
        <f>M836</f>
        <v>1</v>
      </c>
      <c r="T856" s="120"/>
      <c r="U856" s="121" t="s">
        <v>364</v>
      </c>
      <c r="V856" s="133">
        <f t="shared" si="378"/>
        <v>1</v>
      </c>
      <c r="W856" s="133">
        <f>VLOOKUP(U856,Sheet1!$B$6:$C$45,2,FALSE)*V856</f>
        <v>1</v>
      </c>
      <c r="X856" s="141"/>
      <c r="Y856" s="121" t="s">
        <v>293</v>
      </c>
      <c r="Z856" s="146">
        <f>VLOOKUP(Takeoffs!Y856,Sheet1!$B$6:$C$124,2,FALSE)</f>
        <v>0</v>
      </c>
      <c r="AA856" s="146">
        <f t="shared" si="379"/>
        <v>0</v>
      </c>
      <c r="AB856" s="143">
        <f t="shared" si="380"/>
        <v>1</v>
      </c>
      <c r="AC856" s="133">
        <f t="shared" si="381"/>
        <v>1</v>
      </c>
      <c r="AD856" s="142">
        <v>1</v>
      </c>
      <c r="AE856" s="141"/>
      <c r="AF856" s="121" t="s">
        <v>293</v>
      </c>
      <c r="AG856" s="146">
        <f>VLOOKUP(Takeoffs!AF856,Sheet1!$B$6:$C$124,2,FALSE)</f>
        <v>0</v>
      </c>
      <c r="AH856" s="146">
        <f t="shared" si="382"/>
        <v>0</v>
      </c>
      <c r="AI856" s="143">
        <f t="shared" si="383"/>
        <v>0</v>
      </c>
      <c r="AJ856" s="133">
        <f t="shared" si="384"/>
        <v>1</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379</v>
      </c>
      <c r="L857" s="128" t="s">
        <v>380</v>
      </c>
      <c r="N857" s="129"/>
      <c r="O857" s="130" t="s">
        <v>359</v>
      </c>
      <c r="P857" s="131">
        <f>V857+AA857+AH857</f>
        <v>1946.316</v>
      </c>
      <c r="Q857" s="131"/>
      <c r="R857" s="131"/>
      <c r="S857" s="130"/>
      <c r="T857" s="127"/>
      <c r="U857" s="126" t="s">
        <v>353</v>
      </c>
      <c r="V857" s="127">
        <f>W857*80</f>
        <v>600</v>
      </c>
      <c r="W857" s="147">
        <f>SUM(W836:W856)</f>
        <v>7.5</v>
      </c>
      <c r="X857" s="148"/>
      <c r="Y857" s="127" t="s">
        <v>354</v>
      </c>
      <c r="Z857" s="116"/>
      <c r="AA857" s="116">
        <f>SUM(AA836:AA856)</f>
        <v>1322.52</v>
      </c>
      <c r="AB857" s="149"/>
      <c r="AC857" s="149"/>
      <c r="AD857" s="149"/>
      <c r="AE857" s="149"/>
      <c r="AF857" s="127" t="s">
        <v>358</v>
      </c>
      <c r="AG857" s="116"/>
      <c r="AH857" s="116">
        <f>SUM(AH836:AH856)</f>
        <v>23.795999999999996</v>
      </c>
      <c r="AI857" s="149"/>
      <c r="AJ857" s="149"/>
      <c r="AK857" s="149"/>
      <c r="AL857" s="149"/>
      <c r="AM857" s="150">
        <f>P857</f>
        <v>1946.316</v>
      </c>
      <c r="AO857" s="286"/>
      <c r="AP857" s="284">
        <f t="shared" si="387"/>
        <v>0</v>
      </c>
      <c r="AQ857" s="281">
        <f t="shared" si="388"/>
        <v>0</v>
      </c>
      <c r="AR857" s="284">
        <f t="shared" si="389"/>
        <v>0</v>
      </c>
      <c r="AS857" s="281">
        <f t="shared" si="390"/>
        <v>0</v>
      </c>
      <c r="AT857" s="284">
        <f t="shared" si="391"/>
        <v>0</v>
      </c>
    </row>
    <row r="858" spans="1:97" s="234" customFormat="1" ht="216" x14ac:dyDescent="0.8">
      <c r="A858" s="262">
        <f>ROW()</f>
        <v>858</v>
      </c>
      <c r="B858" s="234" t="s">
        <v>494</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v>1</v>
      </c>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one (1)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1946.316</v>
      </c>
      <c r="L858" s="234" t="str">
        <f>CONCATENATE(Q837,Q838,Q839,Q840,Q841,Q842,Q843,Q844,Q845,Q846,Q847,Q848,Q849,Q850,Q851,Q852,Q853,Q854,Q855,Q856,)</f>
        <v>fire cabling from FIP.</v>
      </c>
      <c r="M858" s="166" t="s">
        <v>369</v>
      </c>
      <c r="N858" s="160" t="str">
        <f>N836</f>
        <v>Small sized VSD fan with fire shutdown - from MSSB power supply and BMS interface provisions</v>
      </c>
      <c r="O858" s="160" t="s">
        <v>367</v>
      </c>
      <c r="P858" s="183">
        <f>P857/M836</f>
        <v>1946.316</v>
      </c>
      <c r="Q858" s="191"/>
      <c r="R858" s="161"/>
      <c r="S858" s="160"/>
      <c r="T858" s="161"/>
      <c r="U858" s="327" t="s">
        <v>368</v>
      </c>
      <c r="V858" s="327"/>
      <c r="W858" s="162">
        <f>W857/M836</f>
        <v>7.5</v>
      </c>
      <c r="X858" s="163"/>
      <c r="Y858" s="325" t="s">
        <v>367</v>
      </c>
      <c r="Z858" s="325"/>
      <c r="AA858" s="164">
        <f>AA857/M836</f>
        <v>1322.52</v>
      </c>
      <c r="AB858" s="161"/>
      <c r="AC858" s="161"/>
      <c r="AD858" s="161"/>
      <c r="AE858" s="161"/>
      <c r="AF858" s="325" t="s">
        <v>367</v>
      </c>
      <c r="AG858" s="325"/>
      <c r="AH858" s="164">
        <f>AH857/M836</f>
        <v>23.795999999999996</v>
      </c>
      <c r="AI858" s="161"/>
      <c r="AJ858" s="161"/>
      <c r="AK858" s="161"/>
      <c r="AL858" s="247"/>
      <c r="AM858" s="257"/>
      <c r="AN858" s="236">
        <f>K858*$D$9</f>
        <v>486.57900000000001</v>
      </c>
      <c r="AO858" s="286"/>
      <c r="AP858" s="284">
        <f t="shared" si="387"/>
        <v>1946.316</v>
      </c>
      <c r="AQ858" s="281">
        <f t="shared" si="388"/>
        <v>600</v>
      </c>
      <c r="AR858" s="284">
        <f t="shared" si="389"/>
        <v>1322.52</v>
      </c>
      <c r="AS858" s="281">
        <f t="shared" si="390"/>
        <v>23.795999999999996</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454</v>
      </c>
      <c r="M859" s="116" t="s">
        <v>107</v>
      </c>
      <c r="N859" s="116" t="s">
        <v>108</v>
      </c>
      <c r="O859" s="170" t="s">
        <v>388</v>
      </c>
      <c r="P859" s="328" t="s">
        <v>377</v>
      </c>
      <c r="Q859" s="328"/>
      <c r="R859" s="101" t="s">
        <v>454</v>
      </c>
      <c r="S859" s="116" t="s">
        <v>0</v>
      </c>
      <c r="T859" s="118"/>
      <c r="U859" s="116" t="s">
        <v>288</v>
      </c>
      <c r="V859" s="116" t="s">
        <v>289</v>
      </c>
      <c r="W859" s="116" t="s">
        <v>292</v>
      </c>
      <c r="X859" s="140"/>
      <c r="Y859" s="116" t="s">
        <v>290</v>
      </c>
      <c r="Z859" s="116" t="s">
        <v>356</v>
      </c>
      <c r="AA859" s="116" t="s">
        <v>357</v>
      </c>
      <c r="AB859" s="116" t="s">
        <v>319</v>
      </c>
      <c r="AC859" s="116" t="s">
        <v>320</v>
      </c>
      <c r="AD859" s="116" t="s">
        <v>318</v>
      </c>
      <c r="AE859" s="140"/>
      <c r="AF859" s="116" t="s">
        <v>294</v>
      </c>
      <c r="AG859" s="116" t="s">
        <v>356</v>
      </c>
      <c r="AH859" s="116" t="s">
        <v>357</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one</v>
      </c>
      <c r="M860" s="121">
        <f>I882</f>
        <v>1</v>
      </c>
      <c r="N860" s="132" t="s">
        <v>550</v>
      </c>
      <c r="O860" s="121" t="s">
        <v>491</v>
      </c>
      <c r="P860" s="169" t="s">
        <v>381</v>
      </c>
      <c r="Q860" s="169" t="s">
        <v>377</v>
      </c>
      <c r="R860" s="169"/>
      <c r="S860" s="133">
        <f>M860</f>
        <v>1</v>
      </c>
      <c r="T860" s="119"/>
      <c r="U860" s="121" t="s">
        <v>293</v>
      </c>
      <c r="V860" s="133">
        <f>S860</f>
        <v>1</v>
      </c>
      <c r="W860" s="133">
        <f>VLOOKUP(U860,Sheet1!$B$6:$C$45,2,FALSE)*V860</f>
        <v>0</v>
      </c>
      <c r="X860" s="141"/>
      <c r="Y860" s="121" t="s">
        <v>293</v>
      </c>
      <c r="Z860" s="146">
        <f>VLOOKUP(Takeoffs!Y860,Sheet1!$B$6:$C$124,2,FALSE)</f>
        <v>0</v>
      </c>
      <c r="AA860" s="146">
        <f>Z860*AB860</f>
        <v>0</v>
      </c>
      <c r="AB860" s="143">
        <f>AD860*AC860</f>
        <v>1</v>
      </c>
      <c r="AC860" s="133">
        <f>S860</f>
        <v>1</v>
      </c>
      <c r="AD860" s="142">
        <v>1</v>
      </c>
      <c r="AE860" s="141"/>
      <c r="AF860" s="121" t="s">
        <v>293</v>
      </c>
      <c r="AG860" s="146">
        <f>VLOOKUP(Takeoffs!AF860,Sheet1!$B$6:$C$124,2,FALSE)</f>
        <v>0</v>
      </c>
      <c r="AH860" s="146">
        <f>AG860*AI860</f>
        <v>0</v>
      </c>
      <c r="AI860" s="143">
        <f>AK860*AJ860</f>
        <v>0</v>
      </c>
      <c r="AJ860" s="133">
        <f>S860</f>
        <v>1</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342</v>
      </c>
      <c r="P861" s="121"/>
      <c r="Q861" s="66"/>
      <c r="R861" s="121"/>
      <c r="S861" s="133">
        <f>M860</f>
        <v>1</v>
      </c>
      <c r="T861" s="120"/>
      <c r="U861" s="121" t="s">
        <v>293</v>
      </c>
      <c r="V861" s="133">
        <f t="shared" ref="V861:V880" si="392">S861</f>
        <v>1</v>
      </c>
      <c r="W861" s="133">
        <f>VLOOKUP(U861,Sheet1!$B$6:$C$45,2,FALSE)*V861</f>
        <v>0</v>
      </c>
      <c r="X861" s="141"/>
      <c r="Y861" s="121" t="s">
        <v>293</v>
      </c>
      <c r="Z861" s="146">
        <f>VLOOKUP(Takeoffs!Y861,Sheet1!$B$6:$C$124,2,FALSE)</f>
        <v>0</v>
      </c>
      <c r="AA861" s="146">
        <f t="shared" ref="AA861:AA880" si="393">Z861*AB861</f>
        <v>0</v>
      </c>
      <c r="AB861" s="143">
        <f t="shared" ref="AB861:AB880" si="394">AD861*AC861</f>
        <v>1</v>
      </c>
      <c r="AC861" s="133">
        <f t="shared" ref="AC861:AC880" si="395">S861</f>
        <v>1</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1</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1</v>
      </c>
      <c r="T862" s="120"/>
      <c r="U862" s="121" t="s">
        <v>293</v>
      </c>
      <c r="V862" s="133">
        <f t="shared" si="392"/>
        <v>1</v>
      </c>
      <c r="W862" s="133">
        <f>VLOOKUP(U862,Sheet1!$B$6:$C$45,2,FALSE)*V862</f>
        <v>0</v>
      </c>
      <c r="X862" s="141"/>
      <c r="Y862" s="122" t="s">
        <v>252</v>
      </c>
      <c r="Z862" s="146">
        <f>VLOOKUP(Takeoffs!Y862,Sheet1!$B$6:$C$124,2,FALSE)</f>
        <v>43.440000000000005</v>
      </c>
      <c r="AA862" s="146">
        <f t="shared" si="393"/>
        <v>43.440000000000005</v>
      </c>
      <c r="AB862" s="143">
        <f t="shared" si="394"/>
        <v>1</v>
      </c>
      <c r="AC862" s="133">
        <f t="shared" si="395"/>
        <v>1</v>
      </c>
      <c r="AD862" s="142">
        <v>1</v>
      </c>
      <c r="AE862" s="141"/>
      <c r="AF862" s="52" t="s">
        <v>267</v>
      </c>
      <c r="AG862" s="146">
        <f>VLOOKUP(Takeoffs!AF862,Sheet1!$B$6:$C$124,2,FALSE)</f>
        <v>3.48</v>
      </c>
      <c r="AH862" s="146">
        <f t="shared" si="396"/>
        <v>69.599999999999994</v>
      </c>
      <c r="AI862" s="143">
        <f t="shared" si="397"/>
        <v>20</v>
      </c>
      <c r="AJ862" s="133">
        <f t="shared" si="398"/>
        <v>1</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1</v>
      </c>
      <c r="T863" s="120"/>
      <c r="U863" s="117" t="s">
        <v>481</v>
      </c>
      <c r="V863" s="133">
        <f t="shared" si="392"/>
        <v>1</v>
      </c>
      <c r="W863" s="133">
        <f>VLOOKUP(U863,Sheet1!$B$6:$C$45,2,FALSE)*V863</f>
        <v>2</v>
      </c>
      <c r="X863" s="141"/>
      <c r="Y863" s="121" t="s">
        <v>293</v>
      </c>
      <c r="Z863" s="146">
        <f>VLOOKUP(Takeoffs!Y863,Sheet1!$B$6:$C$124,2,FALSE)</f>
        <v>0</v>
      </c>
      <c r="AA863" s="146">
        <f t="shared" si="393"/>
        <v>0</v>
      </c>
      <c r="AB863" s="143">
        <f t="shared" si="394"/>
        <v>1</v>
      </c>
      <c r="AC863" s="133">
        <f t="shared" si="395"/>
        <v>1</v>
      </c>
      <c r="AD863" s="142">
        <v>1</v>
      </c>
      <c r="AE863" s="141"/>
      <c r="AF863" s="121" t="s">
        <v>293</v>
      </c>
      <c r="AG863" s="146">
        <f>VLOOKUP(Takeoffs!AF863,Sheet1!$B$6:$C$124,2,FALSE)</f>
        <v>0</v>
      </c>
      <c r="AH863" s="146">
        <f t="shared" si="396"/>
        <v>0</v>
      </c>
      <c r="AI863" s="143">
        <f t="shared" si="397"/>
        <v>0</v>
      </c>
      <c r="AJ863" s="133">
        <f t="shared" si="398"/>
        <v>1</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325</v>
      </c>
      <c r="P864" s="121"/>
      <c r="Q864" s="66"/>
      <c r="R864" s="121"/>
      <c r="S864" s="133">
        <f>M860</f>
        <v>1</v>
      </c>
      <c r="T864" s="120"/>
      <c r="U864" s="121" t="s">
        <v>235</v>
      </c>
      <c r="V864" s="133">
        <f t="shared" si="392"/>
        <v>1</v>
      </c>
      <c r="W864" s="133">
        <f>VLOOKUP(U864,Sheet1!$B$6:$C$45,2,FALSE)*V864</f>
        <v>1.5</v>
      </c>
      <c r="X864" s="141"/>
      <c r="Y864" s="135" t="s">
        <v>549</v>
      </c>
      <c r="Z864" s="146">
        <f>VLOOKUP(Takeoffs!Y864,Sheet1!$B$6:$C$124,2,FALSE)</f>
        <v>865.92</v>
      </c>
      <c r="AA864" s="146">
        <f t="shared" si="393"/>
        <v>865.92</v>
      </c>
      <c r="AB864" s="143">
        <f t="shared" si="394"/>
        <v>1</v>
      </c>
      <c r="AC864" s="133">
        <f t="shared" si="395"/>
        <v>1</v>
      </c>
      <c r="AD864" s="142">
        <v>1</v>
      </c>
      <c r="AE864" s="141"/>
      <c r="AF864" s="121" t="s">
        <v>293</v>
      </c>
      <c r="AG864" s="146">
        <f>VLOOKUP(Takeoffs!AF864,Sheet1!$B$6:$C$124,2,FALSE)</f>
        <v>0</v>
      </c>
      <c r="AH864" s="146">
        <f t="shared" si="396"/>
        <v>0</v>
      </c>
      <c r="AI864" s="143">
        <f t="shared" si="397"/>
        <v>0</v>
      </c>
      <c r="AJ864" s="133">
        <f t="shared" si="398"/>
        <v>1</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392</v>
      </c>
      <c r="P865" s="121"/>
      <c r="Q865" s="66"/>
      <c r="R865" s="121"/>
      <c r="S865" s="133">
        <f>M860</f>
        <v>1</v>
      </c>
      <c r="T865" s="120"/>
      <c r="U865" s="121" t="s">
        <v>293</v>
      </c>
      <c r="V865" s="133">
        <f t="shared" si="392"/>
        <v>1</v>
      </c>
      <c r="W865" s="133">
        <f>VLOOKUP(U865,Sheet1!$B$6:$C$45,2,FALSE)*V865</f>
        <v>0</v>
      </c>
      <c r="X865" s="141"/>
      <c r="Y865" s="121" t="s">
        <v>293</v>
      </c>
      <c r="Z865" s="146">
        <f>VLOOKUP(Takeoffs!Y865,Sheet1!$B$6:$C$124,2,FALSE)</f>
        <v>0</v>
      </c>
      <c r="AA865" s="146">
        <f t="shared" si="393"/>
        <v>0</v>
      </c>
      <c r="AB865" s="143">
        <f t="shared" si="394"/>
        <v>1</v>
      </c>
      <c r="AC865" s="133">
        <f t="shared" si="395"/>
        <v>1</v>
      </c>
      <c r="AD865" s="142">
        <v>1</v>
      </c>
      <c r="AE865" s="141"/>
      <c r="AF865" s="122" t="s">
        <v>268</v>
      </c>
      <c r="AG865" s="146">
        <f>VLOOKUP(Takeoffs!AF865,Sheet1!$B$6:$C$124,2,FALSE)</f>
        <v>1.02</v>
      </c>
      <c r="AH865" s="146">
        <f t="shared" si="396"/>
        <v>3.06</v>
      </c>
      <c r="AI865" s="143">
        <f t="shared" si="397"/>
        <v>3</v>
      </c>
      <c r="AJ865" s="133">
        <f t="shared" si="398"/>
        <v>1</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1</v>
      </c>
      <c r="T866" s="120"/>
      <c r="U866" s="121" t="s">
        <v>293</v>
      </c>
      <c r="V866" s="133">
        <f t="shared" si="392"/>
        <v>1</v>
      </c>
      <c r="W866" s="133">
        <f>VLOOKUP(U866,Sheet1!$B$6:$C$45,2,FALSE)*V866</f>
        <v>0</v>
      </c>
      <c r="X866" s="141"/>
      <c r="Y866" s="121" t="s">
        <v>293</v>
      </c>
      <c r="Z866" s="146">
        <f>VLOOKUP(Takeoffs!Y866,Sheet1!$B$6:$C$124,2,FALSE)</f>
        <v>0</v>
      </c>
      <c r="AA866" s="146">
        <f t="shared" si="393"/>
        <v>0</v>
      </c>
      <c r="AB866" s="143">
        <f t="shared" si="394"/>
        <v>1</v>
      </c>
      <c r="AC866" s="133">
        <f t="shared" si="395"/>
        <v>1</v>
      </c>
      <c r="AD866" s="142">
        <v>1</v>
      </c>
      <c r="AE866" s="141"/>
      <c r="AF866" s="121" t="s">
        <v>293</v>
      </c>
      <c r="AG866" s="146">
        <f>VLOOKUP(Takeoffs!AF866,Sheet1!$B$6:$C$124,2,FALSE)</f>
        <v>0</v>
      </c>
      <c r="AH866" s="146">
        <f t="shared" si="396"/>
        <v>0</v>
      </c>
      <c r="AI866" s="143">
        <f t="shared" si="397"/>
        <v>0</v>
      </c>
      <c r="AJ866" s="133">
        <f t="shared" si="398"/>
        <v>1</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1</v>
      </c>
      <c r="T867" s="120"/>
      <c r="U867" s="121" t="s">
        <v>293</v>
      </c>
      <c r="V867" s="133">
        <f t="shared" si="392"/>
        <v>1</v>
      </c>
      <c r="W867" s="133">
        <f>VLOOKUP(U867,Sheet1!$B$6:$C$45,2,FALSE)*V867</f>
        <v>0</v>
      </c>
      <c r="X867" s="141"/>
      <c r="Y867" s="121" t="s">
        <v>293</v>
      </c>
      <c r="Z867" s="146">
        <f>VLOOKUP(Takeoffs!Y867,Sheet1!$B$6:$C$124,2,FALSE)</f>
        <v>0</v>
      </c>
      <c r="AA867" s="146">
        <f t="shared" si="393"/>
        <v>0</v>
      </c>
      <c r="AB867" s="143">
        <f t="shared" si="394"/>
        <v>1</v>
      </c>
      <c r="AC867" s="133">
        <f t="shared" si="395"/>
        <v>1</v>
      </c>
      <c r="AD867" s="142">
        <v>1</v>
      </c>
      <c r="AE867" s="141"/>
      <c r="AF867" s="121" t="s">
        <v>293</v>
      </c>
      <c r="AG867" s="146">
        <f>VLOOKUP(Takeoffs!AF867,Sheet1!$B$6:$C$124,2,FALSE)</f>
        <v>0</v>
      </c>
      <c r="AH867" s="146">
        <f t="shared" si="396"/>
        <v>0</v>
      </c>
      <c r="AI867" s="143">
        <f t="shared" si="397"/>
        <v>0</v>
      </c>
      <c r="AJ867" s="133">
        <f t="shared" si="398"/>
        <v>1</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330</v>
      </c>
      <c r="P868" s="121"/>
      <c r="Q868" s="66"/>
      <c r="R868" s="121"/>
      <c r="S868" s="133">
        <f>M860</f>
        <v>1</v>
      </c>
      <c r="T868" s="120"/>
      <c r="U868" s="121" t="s">
        <v>366</v>
      </c>
      <c r="V868" s="133">
        <f t="shared" si="392"/>
        <v>1</v>
      </c>
      <c r="W868" s="133">
        <f>VLOOKUP(U868,Sheet1!$B$6:$C$45,2,FALSE)*V868</f>
        <v>2</v>
      </c>
      <c r="X868" s="141"/>
      <c r="Y868" s="121" t="s">
        <v>293</v>
      </c>
      <c r="Z868" s="146">
        <f>VLOOKUP(Takeoffs!Y868,Sheet1!$B$6:$C$124,2,FALSE)</f>
        <v>0</v>
      </c>
      <c r="AA868" s="146">
        <f t="shared" si="393"/>
        <v>0</v>
      </c>
      <c r="AB868" s="143">
        <f t="shared" si="394"/>
        <v>1</v>
      </c>
      <c r="AC868" s="133">
        <f t="shared" si="395"/>
        <v>1</v>
      </c>
      <c r="AD868" s="142">
        <v>1</v>
      </c>
      <c r="AE868" s="141"/>
      <c r="AF868" s="121" t="s">
        <v>293</v>
      </c>
      <c r="AG868" s="146">
        <f>VLOOKUP(Takeoffs!AF868,Sheet1!$B$6:$C$124,2,FALSE)</f>
        <v>0</v>
      </c>
      <c r="AH868" s="146">
        <f t="shared" si="396"/>
        <v>0</v>
      </c>
      <c r="AI868" s="143">
        <f t="shared" si="397"/>
        <v>0</v>
      </c>
      <c r="AJ868" s="133">
        <f t="shared" si="398"/>
        <v>1</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1</v>
      </c>
      <c r="T869" s="120"/>
      <c r="U869" s="121" t="s">
        <v>293</v>
      </c>
      <c r="V869" s="133">
        <f t="shared" si="392"/>
        <v>1</v>
      </c>
      <c r="W869" s="133">
        <f>VLOOKUP(U869,Sheet1!$B$6:$C$45,2,FALSE)*V869</f>
        <v>0</v>
      </c>
      <c r="X869" s="141"/>
      <c r="Y869" s="121" t="s">
        <v>293</v>
      </c>
      <c r="Z869" s="146">
        <f>VLOOKUP(Takeoffs!Y869,Sheet1!$B$6:$C$124,2,FALSE)</f>
        <v>0</v>
      </c>
      <c r="AA869" s="146">
        <f t="shared" si="393"/>
        <v>0</v>
      </c>
      <c r="AB869" s="143">
        <f t="shared" si="394"/>
        <v>1</v>
      </c>
      <c r="AC869" s="133">
        <f t="shared" si="395"/>
        <v>1</v>
      </c>
      <c r="AD869" s="142">
        <v>1</v>
      </c>
      <c r="AE869" s="141"/>
      <c r="AF869" s="121" t="s">
        <v>293</v>
      </c>
      <c r="AG869" s="146">
        <f>VLOOKUP(Takeoffs!AF869,Sheet1!$B$6:$C$124,2,FALSE)</f>
        <v>0</v>
      </c>
      <c r="AH869" s="146">
        <f t="shared" si="396"/>
        <v>0</v>
      </c>
      <c r="AI869" s="143">
        <f t="shared" si="397"/>
        <v>0</v>
      </c>
      <c r="AJ869" s="133">
        <f t="shared" si="398"/>
        <v>1</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1</v>
      </c>
      <c r="T870" s="120"/>
      <c r="U870" s="121" t="s">
        <v>293</v>
      </c>
      <c r="V870" s="133">
        <f t="shared" si="392"/>
        <v>1</v>
      </c>
      <c r="W870" s="133">
        <f>VLOOKUP(U870,Sheet1!$B$6:$C$45,2,FALSE)*V870</f>
        <v>0</v>
      </c>
      <c r="X870" s="141"/>
      <c r="Y870" s="121" t="s">
        <v>293</v>
      </c>
      <c r="Z870" s="146">
        <f>VLOOKUP(Takeoffs!Y870,Sheet1!$B$6:$C$124,2,FALSE)</f>
        <v>0</v>
      </c>
      <c r="AA870" s="146">
        <f t="shared" si="393"/>
        <v>0</v>
      </c>
      <c r="AB870" s="143">
        <f t="shared" si="394"/>
        <v>1</v>
      </c>
      <c r="AC870" s="133">
        <f t="shared" si="395"/>
        <v>1</v>
      </c>
      <c r="AD870" s="142">
        <v>1</v>
      </c>
      <c r="AE870" s="141"/>
      <c r="AF870" s="121" t="s">
        <v>293</v>
      </c>
      <c r="AG870" s="146">
        <f>VLOOKUP(Takeoffs!AF870,Sheet1!$B$6:$C$124,2,FALSE)</f>
        <v>0</v>
      </c>
      <c r="AH870" s="146">
        <f t="shared" si="396"/>
        <v>0</v>
      </c>
      <c r="AI870" s="143">
        <f t="shared" si="397"/>
        <v>0</v>
      </c>
      <c r="AJ870" s="133">
        <f t="shared" si="398"/>
        <v>1</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1</v>
      </c>
      <c r="T871" s="120"/>
      <c r="U871" s="121" t="s">
        <v>293</v>
      </c>
      <c r="V871" s="133">
        <f t="shared" si="392"/>
        <v>1</v>
      </c>
      <c r="W871" s="133">
        <f>VLOOKUP(U871,Sheet1!$B$6:$C$45,2,FALSE)*V871</f>
        <v>0</v>
      </c>
      <c r="X871" s="141"/>
      <c r="Y871" s="121" t="s">
        <v>293</v>
      </c>
      <c r="Z871" s="146">
        <f>VLOOKUP(Takeoffs!Y871,Sheet1!$B$6:$C$124,2,FALSE)</f>
        <v>0</v>
      </c>
      <c r="AA871" s="146">
        <f t="shared" si="393"/>
        <v>0</v>
      </c>
      <c r="AB871" s="143">
        <f t="shared" si="394"/>
        <v>1</v>
      </c>
      <c r="AC871" s="133">
        <f t="shared" si="395"/>
        <v>1</v>
      </c>
      <c r="AD871" s="142">
        <v>1</v>
      </c>
      <c r="AE871" s="141"/>
      <c r="AF871" s="121" t="s">
        <v>293</v>
      </c>
      <c r="AG871" s="146">
        <f>VLOOKUP(Takeoffs!AF871,Sheet1!$B$6:$C$124,2,FALSE)</f>
        <v>0</v>
      </c>
      <c r="AH871" s="146">
        <f t="shared" si="396"/>
        <v>0</v>
      </c>
      <c r="AI871" s="143">
        <f t="shared" si="397"/>
        <v>0</v>
      </c>
      <c r="AJ871" s="133">
        <f t="shared" si="398"/>
        <v>1</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1</v>
      </c>
      <c r="T872" s="120"/>
      <c r="U872" s="121" t="s">
        <v>293</v>
      </c>
      <c r="V872" s="133">
        <f t="shared" si="392"/>
        <v>1</v>
      </c>
      <c r="W872" s="133">
        <f>VLOOKUP(U872,Sheet1!$B$6:$C$45,2,FALSE)*V872</f>
        <v>0</v>
      </c>
      <c r="X872" s="141"/>
      <c r="Y872" s="121" t="s">
        <v>293</v>
      </c>
      <c r="Z872" s="146">
        <f>VLOOKUP(Takeoffs!Y872,Sheet1!$B$6:$C$124,2,FALSE)</f>
        <v>0</v>
      </c>
      <c r="AA872" s="146">
        <f t="shared" si="393"/>
        <v>0</v>
      </c>
      <c r="AB872" s="143">
        <f t="shared" si="394"/>
        <v>1</v>
      </c>
      <c r="AC872" s="133">
        <f t="shared" si="395"/>
        <v>1</v>
      </c>
      <c r="AD872" s="142">
        <v>1</v>
      </c>
      <c r="AE872" s="141"/>
      <c r="AF872" s="152" t="s">
        <v>420</v>
      </c>
      <c r="AG872" s="146">
        <f>VLOOKUP(Takeoffs!AF872,Sheet1!$B$6:$C$124,2,FALSE)</f>
        <v>0.33600000000000002</v>
      </c>
      <c r="AH872" s="146">
        <f t="shared" si="396"/>
        <v>0.33600000000000002</v>
      </c>
      <c r="AI872" s="143">
        <f t="shared" si="397"/>
        <v>1</v>
      </c>
      <c r="AJ872" s="133">
        <f t="shared" si="398"/>
        <v>1</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1</v>
      </c>
      <c r="T873" s="120"/>
      <c r="U873" s="121" t="s">
        <v>232</v>
      </c>
      <c r="V873" s="133">
        <f t="shared" si="392"/>
        <v>1</v>
      </c>
      <c r="W873" s="133">
        <f>VLOOKUP(U873,Sheet1!$B$6:$C$45,2,FALSE)*V873</f>
        <v>1</v>
      </c>
      <c r="X873" s="141"/>
      <c r="Y873" s="122" t="s">
        <v>281</v>
      </c>
      <c r="Z873" s="146">
        <f>VLOOKUP(Takeoffs!Y873,Sheet1!$B$6:$C$124,2,FALSE)</f>
        <v>109.25999999999999</v>
      </c>
      <c r="AA873" s="146">
        <f t="shared" si="393"/>
        <v>109.25999999999999</v>
      </c>
      <c r="AB873" s="143">
        <f t="shared" si="394"/>
        <v>1</v>
      </c>
      <c r="AC873" s="133">
        <f t="shared" si="395"/>
        <v>1</v>
      </c>
      <c r="AD873" s="142">
        <v>1</v>
      </c>
      <c r="AE873" s="141"/>
      <c r="AF873" s="121" t="s">
        <v>293</v>
      </c>
      <c r="AG873" s="146">
        <f>VLOOKUP(Takeoffs!AF873,Sheet1!$B$6:$C$124,2,FALSE)</f>
        <v>0</v>
      </c>
      <c r="AH873" s="146">
        <f t="shared" si="396"/>
        <v>0</v>
      </c>
      <c r="AI873" s="143">
        <f t="shared" si="397"/>
        <v>0</v>
      </c>
      <c r="AJ873" s="133">
        <f t="shared" si="398"/>
        <v>1</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347</v>
      </c>
      <c r="P874" s="121" t="s">
        <v>382</v>
      </c>
      <c r="Q874" s="66" t="s">
        <v>386</v>
      </c>
      <c r="R874" s="121"/>
      <c r="S874" s="133">
        <f>M860</f>
        <v>1</v>
      </c>
      <c r="T874" s="120"/>
      <c r="U874" s="121" t="s">
        <v>293</v>
      </c>
      <c r="V874" s="133">
        <f t="shared" si="392"/>
        <v>1</v>
      </c>
      <c r="W874" s="133">
        <f>VLOOKUP(U874,Sheet1!$B$6:$C$45,2,FALSE)*V874</f>
        <v>0</v>
      </c>
      <c r="X874" s="141"/>
      <c r="Y874" s="122" t="s">
        <v>328</v>
      </c>
      <c r="Z874" s="146">
        <f>VLOOKUP(Takeoffs!Y874,Sheet1!$B$6:$C$124,2,FALSE)</f>
        <v>29.04</v>
      </c>
      <c r="AA874" s="146">
        <f t="shared" si="393"/>
        <v>29.04</v>
      </c>
      <c r="AB874" s="143">
        <f t="shared" si="394"/>
        <v>1</v>
      </c>
      <c r="AC874" s="133">
        <f t="shared" si="395"/>
        <v>1</v>
      </c>
      <c r="AD874" s="142">
        <v>1</v>
      </c>
      <c r="AE874" s="141"/>
      <c r="AF874" s="121" t="s">
        <v>293</v>
      </c>
      <c r="AG874" s="146">
        <f>VLOOKUP(Takeoffs!AF874,Sheet1!$B$6:$C$124,2,FALSE)</f>
        <v>0</v>
      </c>
      <c r="AH874" s="146">
        <f t="shared" si="396"/>
        <v>0</v>
      </c>
      <c r="AI874" s="143">
        <f t="shared" si="397"/>
        <v>0</v>
      </c>
      <c r="AJ874" s="133">
        <f t="shared" si="398"/>
        <v>1</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339</v>
      </c>
      <c r="P875" s="121"/>
      <c r="Q875" s="66"/>
      <c r="R875" s="121" t="s">
        <v>333</v>
      </c>
      <c r="S875" s="133">
        <f>M860</f>
        <v>1</v>
      </c>
      <c r="T875" s="120"/>
      <c r="U875" s="121" t="s">
        <v>293</v>
      </c>
      <c r="V875" s="133">
        <f t="shared" si="392"/>
        <v>1</v>
      </c>
      <c r="W875" s="133">
        <f>VLOOKUP(U875,Sheet1!$B$6:$C$45,2,FALSE)*V875</f>
        <v>0</v>
      </c>
      <c r="X875" s="141"/>
      <c r="Y875" s="122" t="s">
        <v>280</v>
      </c>
      <c r="Z875" s="146">
        <f>VLOOKUP(Takeoffs!Y875,Sheet1!$B$6:$C$124,2,FALSE)</f>
        <v>19.2</v>
      </c>
      <c r="AA875" s="146">
        <f t="shared" si="393"/>
        <v>38.4</v>
      </c>
      <c r="AB875" s="143">
        <f t="shared" si="394"/>
        <v>2</v>
      </c>
      <c r="AC875" s="133">
        <f t="shared" si="395"/>
        <v>1</v>
      </c>
      <c r="AD875" s="142">
        <v>2</v>
      </c>
      <c r="AE875" s="141"/>
      <c r="AF875" s="121" t="s">
        <v>293</v>
      </c>
      <c r="AG875" s="146">
        <f>VLOOKUP(Takeoffs!AF875,Sheet1!$B$6:$C$124,2,FALSE)</f>
        <v>0</v>
      </c>
      <c r="AH875" s="146">
        <f t="shared" si="396"/>
        <v>0</v>
      </c>
      <c r="AI875" s="143">
        <f t="shared" si="397"/>
        <v>0</v>
      </c>
      <c r="AJ875" s="133">
        <f t="shared" si="398"/>
        <v>1</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502</v>
      </c>
      <c r="P876" s="121"/>
      <c r="Q876" s="66"/>
      <c r="R876" s="121"/>
      <c r="S876" s="133">
        <f>M860</f>
        <v>1</v>
      </c>
      <c r="T876" s="120"/>
      <c r="U876" s="121" t="s">
        <v>293</v>
      </c>
      <c r="V876" s="133">
        <f t="shared" si="392"/>
        <v>1</v>
      </c>
      <c r="W876" s="133">
        <f>VLOOKUP(U876,Sheet1!$B$6:$C$45,2,FALSE)*V876</f>
        <v>0</v>
      </c>
      <c r="X876" s="141"/>
      <c r="Y876" s="135" t="s">
        <v>424</v>
      </c>
      <c r="Z876" s="146">
        <f>VLOOKUP(Takeoffs!Y876,Sheet1!$B$6:$C$124,2,FALSE)</f>
        <v>23.4</v>
      </c>
      <c r="AA876" s="146">
        <f t="shared" si="393"/>
        <v>23.4</v>
      </c>
      <c r="AB876" s="143">
        <f t="shared" si="394"/>
        <v>1</v>
      </c>
      <c r="AC876" s="133">
        <f t="shared" si="395"/>
        <v>1</v>
      </c>
      <c r="AD876" s="142">
        <v>1</v>
      </c>
      <c r="AE876" s="141"/>
      <c r="AF876" s="121" t="s">
        <v>293</v>
      </c>
      <c r="AG876" s="146">
        <f>VLOOKUP(Takeoffs!AF876,Sheet1!$B$6:$C$124,2,FALSE)</f>
        <v>0</v>
      </c>
      <c r="AH876" s="146">
        <f t="shared" si="396"/>
        <v>0</v>
      </c>
      <c r="AI876" s="143">
        <f t="shared" si="397"/>
        <v>0</v>
      </c>
      <c r="AJ876" s="133">
        <f t="shared" si="398"/>
        <v>1</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331</v>
      </c>
      <c r="P877" s="121"/>
      <c r="Q877" s="66"/>
      <c r="R877" s="121" t="s">
        <v>305</v>
      </c>
      <c r="S877" s="133">
        <f>M860</f>
        <v>1</v>
      </c>
      <c r="T877" s="120"/>
      <c r="U877" s="121" t="s">
        <v>293</v>
      </c>
      <c r="V877" s="133">
        <f t="shared" si="392"/>
        <v>1</v>
      </c>
      <c r="W877" s="133">
        <f>VLOOKUP(U877,Sheet1!$B$6:$C$45,2,FALSE)*V877</f>
        <v>0</v>
      </c>
      <c r="X877" s="141"/>
      <c r="Y877" s="122" t="s">
        <v>277</v>
      </c>
      <c r="Z877" s="146">
        <f>VLOOKUP(Takeoffs!Y877,Sheet1!$B$6:$C$124,2,FALSE)</f>
        <v>69.540000000000006</v>
      </c>
      <c r="AA877" s="146">
        <f t="shared" si="393"/>
        <v>69.540000000000006</v>
      </c>
      <c r="AB877" s="143">
        <f t="shared" si="394"/>
        <v>1</v>
      </c>
      <c r="AC877" s="133">
        <f t="shared" si="395"/>
        <v>1</v>
      </c>
      <c r="AD877" s="142">
        <v>1</v>
      </c>
      <c r="AE877" s="141"/>
      <c r="AF877" s="121" t="s">
        <v>293</v>
      </c>
      <c r="AG877" s="146">
        <f>VLOOKUP(Takeoffs!AF877,Sheet1!$B$6:$C$124,2,FALSE)</f>
        <v>0</v>
      </c>
      <c r="AH877" s="146">
        <f t="shared" si="396"/>
        <v>0</v>
      </c>
      <c r="AI877" s="143">
        <f t="shared" si="397"/>
        <v>0</v>
      </c>
      <c r="AJ877" s="133">
        <f t="shared" si="398"/>
        <v>1</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503</v>
      </c>
      <c r="P878" s="121"/>
      <c r="Q878" s="66"/>
      <c r="R878" s="121"/>
      <c r="S878" s="133">
        <f>M860</f>
        <v>1</v>
      </c>
      <c r="T878" s="120"/>
      <c r="U878" s="121" t="s">
        <v>293</v>
      </c>
      <c r="V878" s="133">
        <f t="shared" si="392"/>
        <v>1</v>
      </c>
      <c r="W878" s="133">
        <f>VLOOKUP(U878,Sheet1!$B$6:$C$45,2,FALSE)*V878</f>
        <v>0</v>
      </c>
      <c r="X878" s="141"/>
      <c r="Y878" s="121" t="s">
        <v>293</v>
      </c>
      <c r="Z878" s="146">
        <f>VLOOKUP(Takeoffs!Y878,Sheet1!$B$6:$C$124,2,FALSE)</f>
        <v>0</v>
      </c>
      <c r="AA878" s="146">
        <f t="shared" si="393"/>
        <v>0</v>
      </c>
      <c r="AB878" s="143">
        <f t="shared" si="394"/>
        <v>1</v>
      </c>
      <c r="AC878" s="133">
        <f t="shared" si="395"/>
        <v>1</v>
      </c>
      <c r="AD878" s="142">
        <v>1</v>
      </c>
      <c r="AE878" s="141"/>
      <c r="AF878" s="121" t="s">
        <v>293</v>
      </c>
      <c r="AG878" s="146">
        <f>VLOOKUP(Takeoffs!AF878,Sheet1!$B$6:$C$124,2,FALSE)</f>
        <v>0</v>
      </c>
      <c r="AH878" s="146">
        <f t="shared" si="396"/>
        <v>0</v>
      </c>
      <c r="AI878" s="143">
        <f t="shared" si="397"/>
        <v>0</v>
      </c>
      <c r="AJ878" s="133">
        <f t="shared" si="398"/>
        <v>1</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409</v>
      </c>
      <c r="P879" s="121"/>
      <c r="Q879" s="66"/>
      <c r="R879" s="121"/>
      <c r="S879" s="133">
        <f>M860</f>
        <v>1</v>
      </c>
      <c r="T879" s="120"/>
      <c r="U879" s="121" t="s">
        <v>293</v>
      </c>
      <c r="V879" s="133">
        <f t="shared" si="392"/>
        <v>1</v>
      </c>
      <c r="W879" s="133">
        <f>VLOOKUP(U879,Sheet1!$B$6:$C$45,2,FALSE)*V879</f>
        <v>0</v>
      </c>
      <c r="X879" s="141"/>
      <c r="Y879" s="121" t="s">
        <v>274</v>
      </c>
      <c r="Z879" s="146">
        <f>VLOOKUP(Takeoffs!Y879,Sheet1!$B$6:$C$124,2,FALSE)</f>
        <v>360</v>
      </c>
      <c r="AA879" s="146">
        <f t="shared" si="393"/>
        <v>360</v>
      </c>
      <c r="AB879" s="143">
        <f t="shared" si="394"/>
        <v>1</v>
      </c>
      <c r="AC879" s="133">
        <f t="shared" si="395"/>
        <v>1</v>
      </c>
      <c r="AD879" s="142">
        <v>1</v>
      </c>
      <c r="AE879" s="141"/>
      <c r="AF879" s="121" t="s">
        <v>293</v>
      </c>
      <c r="AG879" s="146">
        <f>VLOOKUP(Takeoffs!AF879,Sheet1!$B$6:$C$124,2,FALSE)</f>
        <v>0</v>
      </c>
      <c r="AH879" s="146">
        <f t="shared" si="396"/>
        <v>0</v>
      </c>
      <c r="AI879" s="143">
        <f t="shared" si="397"/>
        <v>0</v>
      </c>
      <c r="AJ879" s="133">
        <f t="shared" si="398"/>
        <v>1</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410</v>
      </c>
      <c r="P880" s="121"/>
      <c r="Q880" s="66"/>
      <c r="R880" s="121"/>
      <c r="S880" s="133">
        <f>M860</f>
        <v>1</v>
      </c>
      <c r="T880" s="120"/>
      <c r="U880" s="121" t="s">
        <v>364</v>
      </c>
      <c r="V880" s="133">
        <f t="shared" si="392"/>
        <v>1</v>
      </c>
      <c r="W880" s="133">
        <f>VLOOKUP(U880,Sheet1!$B$6:$C$45,2,FALSE)*V880</f>
        <v>1</v>
      </c>
      <c r="X880" s="141"/>
      <c r="Y880" s="121" t="s">
        <v>293</v>
      </c>
      <c r="Z880" s="146">
        <f>VLOOKUP(Takeoffs!Y880,Sheet1!$B$6:$C$124,2,FALSE)</f>
        <v>0</v>
      </c>
      <c r="AA880" s="146">
        <f t="shared" si="393"/>
        <v>0</v>
      </c>
      <c r="AB880" s="143">
        <f t="shared" si="394"/>
        <v>1</v>
      </c>
      <c r="AC880" s="133">
        <f t="shared" si="395"/>
        <v>1</v>
      </c>
      <c r="AD880" s="142">
        <v>1</v>
      </c>
      <c r="AE880" s="141"/>
      <c r="AF880" s="121" t="s">
        <v>293</v>
      </c>
      <c r="AG880" s="146">
        <f>VLOOKUP(Takeoffs!AF880,Sheet1!$B$6:$C$124,2,FALSE)</f>
        <v>0</v>
      </c>
      <c r="AH880" s="146">
        <f t="shared" si="396"/>
        <v>0</v>
      </c>
      <c r="AI880" s="143">
        <f t="shared" si="397"/>
        <v>0</v>
      </c>
      <c r="AJ880" s="133">
        <f t="shared" si="398"/>
        <v>1</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379</v>
      </c>
      <c r="L881" s="128" t="s">
        <v>380</v>
      </c>
      <c r="N881" s="129"/>
      <c r="O881" s="130" t="s">
        <v>359</v>
      </c>
      <c r="P881" s="131">
        <f>V881+AA881+AH881</f>
        <v>2211.9960000000001</v>
      </c>
      <c r="Q881" s="131"/>
      <c r="R881" s="131"/>
      <c r="S881" s="130"/>
      <c r="T881" s="127"/>
      <c r="U881" s="126" t="s">
        <v>353</v>
      </c>
      <c r="V881" s="127">
        <f>W881*80</f>
        <v>600</v>
      </c>
      <c r="W881" s="147">
        <f>SUM(W860:W880)</f>
        <v>7.5</v>
      </c>
      <c r="X881" s="148"/>
      <c r="Y881" s="127" t="s">
        <v>354</v>
      </c>
      <c r="Z881" s="116"/>
      <c r="AA881" s="116">
        <f>SUM(AA860:AA880)</f>
        <v>1539.0000000000002</v>
      </c>
      <c r="AB881" s="149"/>
      <c r="AC881" s="149"/>
      <c r="AD881" s="149"/>
      <c r="AE881" s="149"/>
      <c r="AF881" s="127" t="s">
        <v>358</v>
      </c>
      <c r="AG881" s="116"/>
      <c r="AH881" s="116">
        <f>SUM(AH860:AH880)</f>
        <v>72.995999999999995</v>
      </c>
      <c r="AI881" s="149"/>
      <c r="AJ881" s="149"/>
      <c r="AK881" s="149"/>
      <c r="AL881" s="149"/>
      <c r="AM881" s="150">
        <f>P881</f>
        <v>2211.9960000000001</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494</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v>1</v>
      </c>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one (1)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2211.9960000000001</v>
      </c>
      <c r="L882" s="234" t="str">
        <f>CONCATENATE(Q861,Q862,Q863,Q864,Q865,Q866,Q867,Q868,Q869,Q870,Q871,Q872,Q873,Q874,Q875,Q876,Q877,Q878,Q879,Q880,)</f>
        <v>fire cabling from FIP.</v>
      </c>
      <c r="M882" s="166" t="s">
        <v>369</v>
      </c>
      <c r="N882" s="160" t="str">
        <f>N860</f>
        <v>Medium sized VSD fan with fire shutdown - from MSSB power supply and BMS interface provisions</v>
      </c>
      <c r="O882" s="160" t="s">
        <v>367</v>
      </c>
      <c r="P882" s="183">
        <f>P881/M860</f>
        <v>2211.9960000000001</v>
      </c>
      <c r="Q882" s="191"/>
      <c r="R882" s="161"/>
      <c r="S882" s="160"/>
      <c r="T882" s="161"/>
      <c r="U882" s="327" t="s">
        <v>368</v>
      </c>
      <c r="V882" s="327"/>
      <c r="W882" s="162">
        <f>W881/M860</f>
        <v>7.5</v>
      </c>
      <c r="X882" s="163"/>
      <c r="Y882" s="325" t="s">
        <v>367</v>
      </c>
      <c r="Z882" s="325"/>
      <c r="AA882" s="164">
        <f>AA881/M860</f>
        <v>1539.0000000000002</v>
      </c>
      <c r="AB882" s="161"/>
      <c r="AC882" s="161"/>
      <c r="AD882" s="161"/>
      <c r="AE882" s="161"/>
      <c r="AF882" s="325" t="s">
        <v>367</v>
      </c>
      <c r="AG882" s="325"/>
      <c r="AH882" s="164">
        <f>AH881/M860</f>
        <v>72.995999999999995</v>
      </c>
      <c r="AI882" s="161"/>
      <c r="AJ882" s="161"/>
      <c r="AK882" s="161"/>
      <c r="AL882" s="247"/>
      <c r="AM882" s="257"/>
      <c r="AN882" s="236">
        <f>K882*$D$9</f>
        <v>552.99900000000002</v>
      </c>
      <c r="AO882" s="286"/>
      <c r="AP882" s="284">
        <f t="shared" si="387"/>
        <v>2211.9960000000001</v>
      </c>
      <c r="AQ882" s="281">
        <f t="shared" si="388"/>
        <v>600</v>
      </c>
      <c r="AR882" s="284">
        <f t="shared" si="389"/>
        <v>1539.0000000000002</v>
      </c>
      <c r="AS882" s="281">
        <f t="shared" si="390"/>
        <v>72.995999999999995</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454</v>
      </c>
      <c r="M883" s="116" t="s">
        <v>107</v>
      </c>
      <c r="N883" s="116" t="s">
        <v>108</v>
      </c>
      <c r="O883" s="170" t="s">
        <v>388</v>
      </c>
      <c r="P883" s="328" t="s">
        <v>377</v>
      </c>
      <c r="Q883" s="328"/>
      <c r="R883" s="101" t="s">
        <v>454</v>
      </c>
      <c r="S883" s="116" t="s">
        <v>0</v>
      </c>
      <c r="T883" s="118"/>
      <c r="U883" s="116" t="s">
        <v>288</v>
      </c>
      <c r="V883" s="116" t="s">
        <v>289</v>
      </c>
      <c r="W883" s="116" t="s">
        <v>292</v>
      </c>
      <c r="X883" s="140"/>
      <c r="Y883" s="116" t="s">
        <v>290</v>
      </c>
      <c r="Z883" s="116" t="s">
        <v>356</v>
      </c>
      <c r="AA883" s="116" t="s">
        <v>357</v>
      </c>
      <c r="AB883" s="116" t="s">
        <v>319</v>
      </c>
      <c r="AC883" s="116" t="s">
        <v>320</v>
      </c>
      <c r="AD883" s="116" t="s">
        <v>318</v>
      </c>
      <c r="AE883" s="140"/>
      <c r="AF883" s="116" t="s">
        <v>294</v>
      </c>
      <c r="AG883" s="116" t="s">
        <v>356</v>
      </c>
      <c r="AH883" s="116" t="s">
        <v>357</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one</v>
      </c>
      <c r="M884" s="121">
        <f>I906</f>
        <v>1</v>
      </c>
      <c r="N884" s="132" t="s">
        <v>575</v>
      </c>
      <c r="O884" s="121" t="s">
        <v>491</v>
      </c>
      <c r="P884" s="169" t="s">
        <v>381</v>
      </c>
      <c r="Q884" s="169" t="s">
        <v>377</v>
      </c>
      <c r="R884" s="169"/>
      <c r="S884" s="133">
        <f>M884</f>
        <v>1</v>
      </c>
      <c r="T884" s="119"/>
      <c r="U884" s="121" t="s">
        <v>293</v>
      </c>
      <c r="V884" s="133">
        <f>S884</f>
        <v>1</v>
      </c>
      <c r="W884" s="133">
        <f>VLOOKUP(U884,Sheet1!$B$6:$C$45,2,FALSE)*V884</f>
        <v>0</v>
      </c>
      <c r="X884" s="141"/>
      <c r="Y884" s="121" t="s">
        <v>293</v>
      </c>
      <c r="Z884" s="146">
        <f>VLOOKUP(Takeoffs!Y884,Sheet1!$B$6:$C$124,2,FALSE)</f>
        <v>0</v>
      </c>
      <c r="AA884" s="146">
        <f>Z884*AB884</f>
        <v>0</v>
      </c>
      <c r="AB884" s="143">
        <f>AD884*AC884</f>
        <v>1</v>
      </c>
      <c r="AC884" s="133">
        <f>S884</f>
        <v>1</v>
      </c>
      <c r="AD884" s="142">
        <v>1</v>
      </c>
      <c r="AE884" s="141"/>
      <c r="AF884" s="121" t="s">
        <v>293</v>
      </c>
      <c r="AG884" s="146">
        <f>VLOOKUP(Takeoffs!AF884,Sheet1!$B$6:$C$124,2,FALSE)</f>
        <v>0</v>
      </c>
      <c r="AH884" s="146">
        <f>AG884*AI884</f>
        <v>0</v>
      </c>
      <c r="AI884" s="143">
        <f>AK884*AJ884</f>
        <v>0</v>
      </c>
      <c r="AJ884" s="133">
        <f>S884</f>
        <v>1</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342</v>
      </c>
      <c r="P885" s="121"/>
      <c r="Q885" s="66"/>
      <c r="R885" s="121"/>
      <c r="S885" s="133">
        <f>M884</f>
        <v>1</v>
      </c>
      <c r="T885" s="120"/>
      <c r="U885" s="121" t="s">
        <v>293</v>
      </c>
      <c r="V885" s="133">
        <f t="shared" ref="V885:V904" si="401">S885</f>
        <v>1</v>
      </c>
      <c r="W885" s="133">
        <f>VLOOKUP(U885,Sheet1!$B$6:$C$45,2,FALSE)*V885</f>
        <v>0</v>
      </c>
      <c r="X885" s="141"/>
      <c r="Y885" s="121" t="s">
        <v>293</v>
      </c>
      <c r="Z885" s="146">
        <f>VLOOKUP(Takeoffs!Y885,Sheet1!$B$6:$C$124,2,FALSE)</f>
        <v>0</v>
      </c>
      <c r="AA885" s="146">
        <f t="shared" ref="AA885:AA904" si="402">Z885*AB885</f>
        <v>0</v>
      </c>
      <c r="AB885" s="143">
        <f t="shared" ref="AB885:AB904" si="403">AD885*AC885</f>
        <v>1</v>
      </c>
      <c r="AC885" s="133">
        <f t="shared" ref="AC885:AC904" si="404">S885</f>
        <v>1</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1</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1</v>
      </c>
      <c r="T886" s="120"/>
      <c r="U886" s="121" t="s">
        <v>293</v>
      </c>
      <c r="V886" s="133">
        <f t="shared" si="401"/>
        <v>1</v>
      </c>
      <c r="W886" s="133">
        <f>VLOOKUP(U886,Sheet1!$B$6:$C$45,2,FALSE)*V886</f>
        <v>0</v>
      </c>
      <c r="X886" s="141"/>
      <c r="Y886" s="122" t="s">
        <v>252</v>
      </c>
      <c r="Z886" s="146">
        <f>VLOOKUP(Takeoffs!Y886,Sheet1!$B$6:$C$124,2,FALSE)</f>
        <v>43.440000000000005</v>
      </c>
      <c r="AA886" s="146">
        <f t="shared" si="402"/>
        <v>43.440000000000005</v>
      </c>
      <c r="AB886" s="143">
        <f t="shared" si="403"/>
        <v>1</v>
      </c>
      <c r="AC886" s="133">
        <f t="shared" si="404"/>
        <v>1</v>
      </c>
      <c r="AD886" s="142">
        <v>1</v>
      </c>
      <c r="AE886" s="141"/>
      <c r="AF886" s="52" t="s">
        <v>267</v>
      </c>
      <c r="AG886" s="146">
        <f>VLOOKUP(Takeoffs!AF886,Sheet1!$B$6:$C$124,2,FALSE)</f>
        <v>3.48</v>
      </c>
      <c r="AH886" s="146">
        <f t="shared" si="405"/>
        <v>69.599999999999994</v>
      </c>
      <c r="AI886" s="143">
        <f t="shared" si="406"/>
        <v>20</v>
      </c>
      <c r="AJ886" s="133">
        <f t="shared" si="407"/>
        <v>1</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1</v>
      </c>
      <c r="T887" s="120"/>
      <c r="U887" s="117" t="s">
        <v>481</v>
      </c>
      <c r="V887" s="133">
        <f t="shared" si="401"/>
        <v>1</v>
      </c>
      <c r="W887" s="133">
        <f>VLOOKUP(U887,Sheet1!$B$6:$C$45,2,FALSE)*V887</f>
        <v>2</v>
      </c>
      <c r="X887" s="141"/>
      <c r="Y887" s="121" t="s">
        <v>293</v>
      </c>
      <c r="Z887" s="146">
        <f>VLOOKUP(Takeoffs!Y887,Sheet1!$B$6:$C$124,2,FALSE)</f>
        <v>0</v>
      </c>
      <c r="AA887" s="146">
        <f t="shared" si="402"/>
        <v>0</v>
      </c>
      <c r="AB887" s="143">
        <f t="shared" si="403"/>
        <v>1</v>
      </c>
      <c r="AC887" s="133">
        <f t="shared" si="404"/>
        <v>1</v>
      </c>
      <c r="AD887" s="142">
        <v>1</v>
      </c>
      <c r="AE887" s="141"/>
      <c r="AF887" s="121" t="s">
        <v>293</v>
      </c>
      <c r="AG887" s="146">
        <f>VLOOKUP(Takeoffs!AF887,Sheet1!$B$6:$C$124,2,FALSE)</f>
        <v>0</v>
      </c>
      <c r="AH887" s="146">
        <f t="shared" si="405"/>
        <v>0</v>
      </c>
      <c r="AI887" s="143">
        <f t="shared" si="406"/>
        <v>0</v>
      </c>
      <c r="AJ887" s="133">
        <f t="shared" si="407"/>
        <v>1</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325</v>
      </c>
      <c r="P888" s="121"/>
      <c r="Q888" s="66"/>
      <c r="R888" s="121"/>
      <c r="S888" s="133">
        <f>M884</f>
        <v>1</v>
      </c>
      <c r="T888" s="120"/>
      <c r="U888" s="121" t="s">
        <v>235</v>
      </c>
      <c r="V888" s="133">
        <f t="shared" si="401"/>
        <v>1</v>
      </c>
      <c r="W888" s="133">
        <f>VLOOKUP(U888,Sheet1!$B$6:$C$45,2,FALSE)*V888</f>
        <v>1.5</v>
      </c>
      <c r="X888" s="141"/>
      <c r="Y888" s="135" t="s">
        <v>493</v>
      </c>
      <c r="Z888" s="146">
        <f>VLOOKUP(Takeoffs!Y888,Sheet1!$B$6:$C$124,2,FALSE)</f>
        <v>1226.28</v>
      </c>
      <c r="AA888" s="146">
        <f t="shared" si="402"/>
        <v>1226.28</v>
      </c>
      <c r="AB888" s="143">
        <f t="shared" si="403"/>
        <v>1</v>
      </c>
      <c r="AC888" s="133">
        <f t="shared" si="404"/>
        <v>1</v>
      </c>
      <c r="AD888" s="142">
        <v>1</v>
      </c>
      <c r="AE888" s="141"/>
      <c r="AF888" s="121" t="s">
        <v>293</v>
      </c>
      <c r="AG888" s="146">
        <f>VLOOKUP(Takeoffs!AF888,Sheet1!$B$6:$C$124,2,FALSE)</f>
        <v>0</v>
      </c>
      <c r="AH888" s="146">
        <f t="shared" si="405"/>
        <v>0</v>
      </c>
      <c r="AI888" s="143">
        <f t="shared" si="406"/>
        <v>0</v>
      </c>
      <c r="AJ888" s="133">
        <f t="shared" si="407"/>
        <v>1</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392</v>
      </c>
      <c r="P889" s="121"/>
      <c r="Q889" s="66"/>
      <c r="R889" s="121"/>
      <c r="S889" s="133">
        <f>M884</f>
        <v>1</v>
      </c>
      <c r="T889" s="120"/>
      <c r="U889" s="121" t="s">
        <v>293</v>
      </c>
      <c r="V889" s="133">
        <f t="shared" si="401"/>
        <v>1</v>
      </c>
      <c r="W889" s="133">
        <f>VLOOKUP(U889,Sheet1!$B$6:$C$45,2,FALSE)*V889</f>
        <v>0</v>
      </c>
      <c r="X889" s="141"/>
      <c r="Y889" s="121" t="s">
        <v>293</v>
      </c>
      <c r="Z889" s="146">
        <f>VLOOKUP(Takeoffs!Y889,Sheet1!$B$6:$C$124,2,FALSE)</f>
        <v>0</v>
      </c>
      <c r="AA889" s="146">
        <f t="shared" si="402"/>
        <v>0</v>
      </c>
      <c r="AB889" s="143">
        <f t="shared" si="403"/>
        <v>1</v>
      </c>
      <c r="AC889" s="133">
        <f t="shared" si="404"/>
        <v>1</v>
      </c>
      <c r="AD889" s="142">
        <v>1</v>
      </c>
      <c r="AE889" s="141"/>
      <c r="AF889" s="122" t="s">
        <v>268</v>
      </c>
      <c r="AG889" s="146">
        <f>VLOOKUP(Takeoffs!AF889,Sheet1!$B$6:$C$124,2,FALSE)</f>
        <v>1.02</v>
      </c>
      <c r="AH889" s="146">
        <f t="shared" si="405"/>
        <v>3.06</v>
      </c>
      <c r="AI889" s="143">
        <f t="shared" si="406"/>
        <v>3</v>
      </c>
      <c r="AJ889" s="133">
        <f t="shared" si="407"/>
        <v>1</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1</v>
      </c>
      <c r="T890" s="120"/>
      <c r="U890" s="121" t="s">
        <v>293</v>
      </c>
      <c r="V890" s="133">
        <f t="shared" si="401"/>
        <v>1</v>
      </c>
      <c r="W890" s="133">
        <f>VLOOKUP(U890,Sheet1!$B$6:$C$45,2,FALSE)*V890</f>
        <v>0</v>
      </c>
      <c r="X890" s="141"/>
      <c r="Y890" s="121" t="s">
        <v>293</v>
      </c>
      <c r="Z890" s="146">
        <f>VLOOKUP(Takeoffs!Y890,Sheet1!$B$6:$C$124,2,FALSE)</f>
        <v>0</v>
      </c>
      <c r="AA890" s="146">
        <f t="shared" si="402"/>
        <v>0</v>
      </c>
      <c r="AB890" s="143">
        <f t="shared" si="403"/>
        <v>1</v>
      </c>
      <c r="AC890" s="133">
        <f t="shared" si="404"/>
        <v>1</v>
      </c>
      <c r="AD890" s="142">
        <v>1</v>
      </c>
      <c r="AE890" s="141"/>
      <c r="AF890" s="121" t="s">
        <v>293</v>
      </c>
      <c r="AG890" s="146">
        <f>VLOOKUP(Takeoffs!AF890,Sheet1!$B$6:$C$124,2,FALSE)</f>
        <v>0</v>
      </c>
      <c r="AH890" s="146">
        <f t="shared" si="405"/>
        <v>0</v>
      </c>
      <c r="AI890" s="143">
        <f t="shared" si="406"/>
        <v>0</v>
      </c>
      <c r="AJ890" s="133">
        <f t="shared" si="407"/>
        <v>1</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1</v>
      </c>
      <c r="T891" s="120"/>
      <c r="U891" s="121" t="s">
        <v>293</v>
      </c>
      <c r="V891" s="133">
        <f t="shared" si="401"/>
        <v>1</v>
      </c>
      <c r="W891" s="133">
        <f>VLOOKUP(U891,Sheet1!$B$6:$C$45,2,FALSE)*V891</f>
        <v>0</v>
      </c>
      <c r="X891" s="141"/>
      <c r="Y891" s="121" t="s">
        <v>293</v>
      </c>
      <c r="Z891" s="146">
        <f>VLOOKUP(Takeoffs!Y891,Sheet1!$B$6:$C$124,2,FALSE)</f>
        <v>0</v>
      </c>
      <c r="AA891" s="146">
        <f t="shared" si="402"/>
        <v>0</v>
      </c>
      <c r="AB891" s="143">
        <f t="shared" si="403"/>
        <v>1</v>
      </c>
      <c r="AC891" s="133">
        <f t="shared" si="404"/>
        <v>1</v>
      </c>
      <c r="AD891" s="142">
        <v>1</v>
      </c>
      <c r="AE891" s="141"/>
      <c r="AF891" s="121" t="s">
        <v>293</v>
      </c>
      <c r="AG891" s="146">
        <f>VLOOKUP(Takeoffs!AF891,Sheet1!$B$6:$C$124,2,FALSE)</f>
        <v>0</v>
      </c>
      <c r="AH891" s="146">
        <f t="shared" si="405"/>
        <v>0</v>
      </c>
      <c r="AI891" s="143">
        <f t="shared" si="406"/>
        <v>0</v>
      </c>
      <c r="AJ891" s="133">
        <f t="shared" si="407"/>
        <v>1</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330</v>
      </c>
      <c r="P892" s="121"/>
      <c r="Q892" s="66"/>
      <c r="R892" s="121"/>
      <c r="S892" s="133">
        <f>M884</f>
        <v>1</v>
      </c>
      <c r="T892" s="120"/>
      <c r="U892" s="121" t="s">
        <v>366</v>
      </c>
      <c r="V892" s="133">
        <f t="shared" si="401"/>
        <v>1</v>
      </c>
      <c r="W892" s="133">
        <f>VLOOKUP(U892,Sheet1!$B$6:$C$45,2,FALSE)*V892</f>
        <v>2</v>
      </c>
      <c r="X892" s="141"/>
      <c r="Y892" s="121" t="s">
        <v>293</v>
      </c>
      <c r="Z892" s="146">
        <f>VLOOKUP(Takeoffs!Y892,Sheet1!$B$6:$C$124,2,FALSE)</f>
        <v>0</v>
      </c>
      <c r="AA892" s="146">
        <f t="shared" si="402"/>
        <v>0</v>
      </c>
      <c r="AB892" s="143">
        <f t="shared" si="403"/>
        <v>1</v>
      </c>
      <c r="AC892" s="133">
        <f t="shared" si="404"/>
        <v>1</v>
      </c>
      <c r="AD892" s="142">
        <v>1</v>
      </c>
      <c r="AE892" s="141"/>
      <c r="AF892" s="121" t="s">
        <v>293</v>
      </c>
      <c r="AG892" s="146">
        <f>VLOOKUP(Takeoffs!AF892,Sheet1!$B$6:$C$124,2,FALSE)</f>
        <v>0</v>
      </c>
      <c r="AH892" s="146">
        <f t="shared" si="405"/>
        <v>0</v>
      </c>
      <c r="AI892" s="143">
        <f t="shared" si="406"/>
        <v>0</v>
      </c>
      <c r="AJ892" s="133">
        <f t="shared" si="407"/>
        <v>1</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1</v>
      </c>
      <c r="T893" s="120"/>
      <c r="U893" s="121" t="s">
        <v>293</v>
      </c>
      <c r="V893" s="133">
        <f t="shared" si="401"/>
        <v>1</v>
      </c>
      <c r="W893" s="133">
        <f>VLOOKUP(U893,Sheet1!$B$6:$C$45,2,FALSE)*V893</f>
        <v>0</v>
      </c>
      <c r="X893" s="141"/>
      <c r="Y893" s="121" t="s">
        <v>293</v>
      </c>
      <c r="Z893" s="146">
        <f>VLOOKUP(Takeoffs!Y893,Sheet1!$B$6:$C$124,2,FALSE)</f>
        <v>0</v>
      </c>
      <c r="AA893" s="146">
        <f t="shared" si="402"/>
        <v>0</v>
      </c>
      <c r="AB893" s="143">
        <f t="shared" si="403"/>
        <v>1</v>
      </c>
      <c r="AC893" s="133">
        <f t="shared" si="404"/>
        <v>1</v>
      </c>
      <c r="AD893" s="142">
        <v>1</v>
      </c>
      <c r="AE893" s="141"/>
      <c r="AF893" s="121" t="s">
        <v>293</v>
      </c>
      <c r="AG893" s="146">
        <f>VLOOKUP(Takeoffs!AF893,Sheet1!$B$6:$C$124,2,FALSE)</f>
        <v>0</v>
      </c>
      <c r="AH893" s="146">
        <f t="shared" si="405"/>
        <v>0</v>
      </c>
      <c r="AI893" s="143">
        <f t="shared" si="406"/>
        <v>0</v>
      </c>
      <c r="AJ893" s="133">
        <f t="shared" si="407"/>
        <v>1</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1</v>
      </c>
      <c r="T894" s="120"/>
      <c r="U894" s="121" t="s">
        <v>293</v>
      </c>
      <c r="V894" s="133">
        <f t="shared" si="401"/>
        <v>1</v>
      </c>
      <c r="W894" s="133">
        <f>VLOOKUP(U894,Sheet1!$B$6:$C$45,2,FALSE)*V894</f>
        <v>0</v>
      </c>
      <c r="X894" s="141"/>
      <c r="Y894" s="121" t="s">
        <v>293</v>
      </c>
      <c r="Z894" s="146">
        <f>VLOOKUP(Takeoffs!Y894,Sheet1!$B$6:$C$124,2,FALSE)</f>
        <v>0</v>
      </c>
      <c r="AA894" s="146">
        <f t="shared" si="402"/>
        <v>0</v>
      </c>
      <c r="AB894" s="143">
        <f t="shared" si="403"/>
        <v>1</v>
      </c>
      <c r="AC894" s="133">
        <f t="shared" si="404"/>
        <v>1</v>
      </c>
      <c r="AD894" s="142">
        <v>1</v>
      </c>
      <c r="AE894" s="141"/>
      <c r="AF894" s="121" t="s">
        <v>293</v>
      </c>
      <c r="AG894" s="146">
        <f>VLOOKUP(Takeoffs!AF894,Sheet1!$B$6:$C$124,2,FALSE)</f>
        <v>0</v>
      </c>
      <c r="AH894" s="146">
        <f t="shared" si="405"/>
        <v>0</v>
      </c>
      <c r="AI894" s="143">
        <f t="shared" si="406"/>
        <v>0</v>
      </c>
      <c r="AJ894" s="133">
        <f t="shared" si="407"/>
        <v>1</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1</v>
      </c>
      <c r="T895" s="120"/>
      <c r="U895" s="121" t="s">
        <v>293</v>
      </c>
      <c r="V895" s="133">
        <f t="shared" si="401"/>
        <v>1</v>
      </c>
      <c r="W895" s="133">
        <f>VLOOKUP(U895,Sheet1!$B$6:$C$45,2,FALSE)*V895</f>
        <v>0</v>
      </c>
      <c r="X895" s="141"/>
      <c r="Y895" s="121" t="s">
        <v>293</v>
      </c>
      <c r="Z895" s="146">
        <f>VLOOKUP(Takeoffs!Y895,Sheet1!$B$6:$C$124,2,FALSE)</f>
        <v>0</v>
      </c>
      <c r="AA895" s="146">
        <f t="shared" si="402"/>
        <v>0</v>
      </c>
      <c r="AB895" s="143">
        <f t="shared" si="403"/>
        <v>1</v>
      </c>
      <c r="AC895" s="133">
        <f t="shared" si="404"/>
        <v>1</v>
      </c>
      <c r="AD895" s="142">
        <v>1</v>
      </c>
      <c r="AE895" s="141"/>
      <c r="AF895" s="121" t="s">
        <v>293</v>
      </c>
      <c r="AG895" s="146">
        <f>VLOOKUP(Takeoffs!AF895,Sheet1!$B$6:$C$124,2,FALSE)</f>
        <v>0</v>
      </c>
      <c r="AH895" s="146">
        <f t="shared" si="405"/>
        <v>0</v>
      </c>
      <c r="AI895" s="143">
        <f t="shared" si="406"/>
        <v>0</v>
      </c>
      <c r="AJ895" s="133">
        <f t="shared" si="407"/>
        <v>1</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1</v>
      </c>
      <c r="T896" s="120"/>
      <c r="U896" s="121" t="s">
        <v>293</v>
      </c>
      <c r="V896" s="133">
        <f t="shared" si="401"/>
        <v>1</v>
      </c>
      <c r="W896" s="133">
        <f>VLOOKUP(U896,Sheet1!$B$6:$C$45,2,FALSE)*V896</f>
        <v>0</v>
      </c>
      <c r="X896" s="141"/>
      <c r="Y896" s="121" t="s">
        <v>293</v>
      </c>
      <c r="Z896" s="146">
        <f>VLOOKUP(Takeoffs!Y896,Sheet1!$B$6:$C$124,2,FALSE)</f>
        <v>0</v>
      </c>
      <c r="AA896" s="146">
        <f t="shared" si="402"/>
        <v>0</v>
      </c>
      <c r="AB896" s="143">
        <f t="shared" si="403"/>
        <v>1</v>
      </c>
      <c r="AC896" s="133">
        <f t="shared" si="404"/>
        <v>1</v>
      </c>
      <c r="AD896" s="142">
        <v>1</v>
      </c>
      <c r="AE896" s="141"/>
      <c r="AF896" s="152" t="s">
        <v>420</v>
      </c>
      <c r="AG896" s="146">
        <f>VLOOKUP(Takeoffs!AF896,Sheet1!$B$6:$C$124,2,FALSE)</f>
        <v>0.33600000000000002</v>
      </c>
      <c r="AH896" s="146">
        <f t="shared" si="405"/>
        <v>0.33600000000000002</v>
      </c>
      <c r="AI896" s="143">
        <f t="shared" si="406"/>
        <v>1</v>
      </c>
      <c r="AJ896" s="133">
        <f t="shared" si="407"/>
        <v>1</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1</v>
      </c>
      <c r="T897" s="120"/>
      <c r="U897" s="121" t="s">
        <v>232</v>
      </c>
      <c r="V897" s="133">
        <f t="shared" si="401"/>
        <v>1</v>
      </c>
      <c r="W897" s="133">
        <f>VLOOKUP(U897,Sheet1!$B$6:$C$45,2,FALSE)*V897</f>
        <v>1</v>
      </c>
      <c r="X897" s="141"/>
      <c r="Y897" s="122" t="s">
        <v>281</v>
      </c>
      <c r="Z897" s="146">
        <f>VLOOKUP(Takeoffs!Y897,Sheet1!$B$6:$C$124,2,FALSE)</f>
        <v>109.25999999999999</v>
      </c>
      <c r="AA897" s="146">
        <f t="shared" si="402"/>
        <v>109.25999999999999</v>
      </c>
      <c r="AB897" s="143">
        <f t="shared" si="403"/>
        <v>1</v>
      </c>
      <c r="AC897" s="133">
        <f t="shared" si="404"/>
        <v>1</v>
      </c>
      <c r="AD897" s="142">
        <v>1</v>
      </c>
      <c r="AE897" s="141"/>
      <c r="AF897" s="121" t="s">
        <v>293</v>
      </c>
      <c r="AG897" s="146">
        <f>VLOOKUP(Takeoffs!AF897,Sheet1!$B$6:$C$124,2,FALSE)</f>
        <v>0</v>
      </c>
      <c r="AH897" s="146">
        <f t="shared" si="405"/>
        <v>0</v>
      </c>
      <c r="AI897" s="143">
        <f t="shared" si="406"/>
        <v>0</v>
      </c>
      <c r="AJ897" s="133">
        <f t="shared" si="407"/>
        <v>1</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347</v>
      </c>
      <c r="P898" s="121" t="s">
        <v>382</v>
      </c>
      <c r="Q898" s="66" t="s">
        <v>386</v>
      </c>
      <c r="R898" s="121"/>
      <c r="S898" s="133">
        <f>M884</f>
        <v>1</v>
      </c>
      <c r="T898" s="120"/>
      <c r="U898" s="121" t="s">
        <v>293</v>
      </c>
      <c r="V898" s="133">
        <f t="shared" si="401"/>
        <v>1</v>
      </c>
      <c r="W898" s="133">
        <f>VLOOKUP(U898,Sheet1!$B$6:$C$45,2,FALSE)*V898</f>
        <v>0</v>
      </c>
      <c r="X898" s="141"/>
      <c r="Y898" s="122" t="s">
        <v>328</v>
      </c>
      <c r="Z898" s="146">
        <f>VLOOKUP(Takeoffs!Y898,Sheet1!$B$6:$C$124,2,FALSE)</f>
        <v>29.04</v>
      </c>
      <c r="AA898" s="146">
        <f t="shared" si="402"/>
        <v>29.04</v>
      </c>
      <c r="AB898" s="143">
        <f t="shared" si="403"/>
        <v>1</v>
      </c>
      <c r="AC898" s="133">
        <f t="shared" si="404"/>
        <v>1</v>
      </c>
      <c r="AD898" s="142">
        <v>1</v>
      </c>
      <c r="AE898" s="141"/>
      <c r="AF898" s="121" t="s">
        <v>293</v>
      </c>
      <c r="AG898" s="146">
        <f>VLOOKUP(Takeoffs!AF898,Sheet1!$B$6:$C$124,2,FALSE)</f>
        <v>0</v>
      </c>
      <c r="AH898" s="146">
        <f t="shared" si="405"/>
        <v>0</v>
      </c>
      <c r="AI898" s="143">
        <f t="shared" si="406"/>
        <v>0</v>
      </c>
      <c r="AJ898" s="133">
        <f t="shared" si="407"/>
        <v>1</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339</v>
      </c>
      <c r="P899" s="121"/>
      <c r="Q899" s="66"/>
      <c r="R899" s="121" t="s">
        <v>333</v>
      </c>
      <c r="S899" s="133">
        <f>M884</f>
        <v>1</v>
      </c>
      <c r="T899" s="120"/>
      <c r="U899" s="121" t="s">
        <v>293</v>
      </c>
      <c r="V899" s="133">
        <f t="shared" si="401"/>
        <v>1</v>
      </c>
      <c r="W899" s="133">
        <f>VLOOKUP(U899,Sheet1!$B$6:$C$45,2,FALSE)*V899</f>
        <v>0</v>
      </c>
      <c r="X899" s="141"/>
      <c r="Y899" s="122" t="s">
        <v>280</v>
      </c>
      <c r="Z899" s="146">
        <f>VLOOKUP(Takeoffs!Y899,Sheet1!$B$6:$C$124,2,FALSE)</f>
        <v>19.2</v>
      </c>
      <c r="AA899" s="146">
        <f t="shared" si="402"/>
        <v>38.4</v>
      </c>
      <c r="AB899" s="143">
        <f t="shared" si="403"/>
        <v>2</v>
      </c>
      <c r="AC899" s="133">
        <f t="shared" si="404"/>
        <v>1</v>
      </c>
      <c r="AD899" s="142">
        <v>2</v>
      </c>
      <c r="AE899" s="141"/>
      <c r="AF899" s="121" t="s">
        <v>293</v>
      </c>
      <c r="AG899" s="146">
        <f>VLOOKUP(Takeoffs!AF899,Sheet1!$B$6:$C$124,2,FALSE)</f>
        <v>0</v>
      </c>
      <c r="AH899" s="146">
        <f t="shared" si="405"/>
        <v>0</v>
      </c>
      <c r="AI899" s="143">
        <f t="shared" si="406"/>
        <v>0</v>
      </c>
      <c r="AJ899" s="133">
        <f t="shared" si="407"/>
        <v>1</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502</v>
      </c>
      <c r="P900" s="121"/>
      <c r="Q900" s="66"/>
      <c r="R900" s="121"/>
      <c r="S900" s="133">
        <f>M884</f>
        <v>1</v>
      </c>
      <c r="T900" s="120"/>
      <c r="U900" s="121" t="s">
        <v>293</v>
      </c>
      <c r="V900" s="133">
        <f t="shared" si="401"/>
        <v>1</v>
      </c>
      <c r="W900" s="133">
        <f>VLOOKUP(U900,Sheet1!$B$6:$C$45,2,FALSE)*V900</f>
        <v>0</v>
      </c>
      <c r="X900" s="141"/>
      <c r="Y900" s="135" t="s">
        <v>424</v>
      </c>
      <c r="Z900" s="146">
        <f>VLOOKUP(Takeoffs!Y900,Sheet1!$B$6:$C$124,2,FALSE)</f>
        <v>23.4</v>
      </c>
      <c r="AA900" s="146">
        <f t="shared" si="402"/>
        <v>23.4</v>
      </c>
      <c r="AB900" s="143">
        <f t="shared" si="403"/>
        <v>1</v>
      </c>
      <c r="AC900" s="133">
        <f t="shared" si="404"/>
        <v>1</v>
      </c>
      <c r="AD900" s="142">
        <v>1</v>
      </c>
      <c r="AE900" s="141"/>
      <c r="AF900" s="121" t="s">
        <v>293</v>
      </c>
      <c r="AG900" s="146">
        <f>VLOOKUP(Takeoffs!AF900,Sheet1!$B$6:$C$124,2,FALSE)</f>
        <v>0</v>
      </c>
      <c r="AH900" s="146">
        <f t="shared" si="405"/>
        <v>0</v>
      </c>
      <c r="AI900" s="143">
        <f t="shared" si="406"/>
        <v>0</v>
      </c>
      <c r="AJ900" s="133">
        <f t="shared" si="407"/>
        <v>1</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331</v>
      </c>
      <c r="P901" s="121"/>
      <c r="Q901" s="66"/>
      <c r="R901" s="121" t="s">
        <v>305</v>
      </c>
      <c r="S901" s="133">
        <f>M884</f>
        <v>1</v>
      </c>
      <c r="T901" s="120"/>
      <c r="U901" s="121" t="s">
        <v>293</v>
      </c>
      <c r="V901" s="133">
        <f t="shared" si="401"/>
        <v>1</v>
      </c>
      <c r="W901" s="133">
        <f>VLOOKUP(U901,Sheet1!$B$6:$C$45,2,FALSE)*V901</f>
        <v>0</v>
      </c>
      <c r="X901" s="141"/>
      <c r="Y901" s="122" t="s">
        <v>277</v>
      </c>
      <c r="Z901" s="146">
        <f>VLOOKUP(Takeoffs!Y901,Sheet1!$B$6:$C$124,2,FALSE)</f>
        <v>69.540000000000006</v>
      </c>
      <c r="AA901" s="146">
        <f t="shared" si="402"/>
        <v>69.540000000000006</v>
      </c>
      <c r="AB901" s="143">
        <f t="shared" si="403"/>
        <v>1</v>
      </c>
      <c r="AC901" s="133">
        <f t="shared" si="404"/>
        <v>1</v>
      </c>
      <c r="AD901" s="142">
        <v>1</v>
      </c>
      <c r="AE901" s="141"/>
      <c r="AF901" s="121" t="s">
        <v>293</v>
      </c>
      <c r="AG901" s="146">
        <f>VLOOKUP(Takeoffs!AF901,Sheet1!$B$6:$C$124,2,FALSE)</f>
        <v>0</v>
      </c>
      <c r="AH901" s="146">
        <f t="shared" si="405"/>
        <v>0</v>
      </c>
      <c r="AI901" s="143">
        <f t="shared" si="406"/>
        <v>0</v>
      </c>
      <c r="AJ901" s="133">
        <f t="shared" si="407"/>
        <v>1</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503</v>
      </c>
      <c r="P902" s="121"/>
      <c r="Q902" s="66"/>
      <c r="R902" s="121"/>
      <c r="S902" s="133">
        <f>M884</f>
        <v>1</v>
      </c>
      <c r="T902" s="120"/>
      <c r="U902" s="121" t="s">
        <v>293</v>
      </c>
      <c r="V902" s="133">
        <f t="shared" si="401"/>
        <v>1</v>
      </c>
      <c r="W902" s="133">
        <f>VLOOKUP(U902,Sheet1!$B$6:$C$45,2,FALSE)*V902</f>
        <v>0</v>
      </c>
      <c r="X902" s="141"/>
      <c r="Y902" s="121" t="s">
        <v>293</v>
      </c>
      <c r="Z902" s="146">
        <f>VLOOKUP(Takeoffs!Y902,Sheet1!$B$6:$C$124,2,FALSE)</f>
        <v>0</v>
      </c>
      <c r="AA902" s="146">
        <f t="shared" si="402"/>
        <v>0</v>
      </c>
      <c r="AB902" s="143">
        <f t="shared" si="403"/>
        <v>1</v>
      </c>
      <c r="AC902" s="133">
        <f t="shared" si="404"/>
        <v>1</v>
      </c>
      <c r="AD902" s="142">
        <v>1</v>
      </c>
      <c r="AE902" s="141"/>
      <c r="AF902" s="121" t="s">
        <v>293</v>
      </c>
      <c r="AG902" s="146">
        <f>VLOOKUP(Takeoffs!AF902,Sheet1!$B$6:$C$124,2,FALSE)</f>
        <v>0</v>
      </c>
      <c r="AH902" s="146">
        <f t="shared" si="405"/>
        <v>0</v>
      </c>
      <c r="AI902" s="143">
        <f t="shared" si="406"/>
        <v>0</v>
      </c>
      <c r="AJ902" s="133">
        <f t="shared" si="407"/>
        <v>1</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409</v>
      </c>
      <c r="P903" s="121"/>
      <c r="Q903" s="66"/>
      <c r="R903" s="121"/>
      <c r="S903" s="133">
        <f>M884</f>
        <v>1</v>
      </c>
      <c r="T903" s="120"/>
      <c r="U903" s="121" t="s">
        <v>293</v>
      </c>
      <c r="V903" s="133">
        <f t="shared" si="401"/>
        <v>1</v>
      </c>
      <c r="W903" s="133">
        <f>VLOOKUP(U903,Sheet1!$B$6:$C$45,2,FALSE)*V903</f>
        <v>0</v>
      </c>
      <c r="X903" s="141"/>
      <c r="Y903" s="121" t="s">
        <v>274</v>
      </c>
      <c r="Z903" s="146">
        <f>VLOOKUP(Takeoffs!Y903,Sheet1!$B$6:$C$124,2,FALSE)</f>
        <v>360</v>
      </c>
      <c r="AA903" s="146">
        <f t="shared" si="402"/>
        <v>360</v>
      </c>
      <c r="AB903" s="143">
        <f t="shared" si="403"/>
        <v>1</v>
      </c>
      <c r="AC903" s="133">
        <f t="shared" si="404"/>
        <v>1</v>
      </c>
      <c r="AD903" s="142">
        <v>1</v>
      </c>
      <c r="AE903" s="141"/>
      <c r="AF903" s="121" t="s">
        <v>293</v>
      </c>
      <c r="AG903" s="146">
        <f>VLOOKUP(Takeoffs!AF903,Sheet1!$B$6:$C$124,2,FALSE)</f>
        <v>0</v>
      </c>
      <c r="AH903" s="146">
        <f t="shared" si="405"/>
        <v>0</v>
      </c>
      <c r="AI903" s="143">
        <f t="shared" si="406"/>
        <v>0</v>
      </c>
      <c r="AJ903" s="133">
        <f t="shared" si="407"/>
        <v>1</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410</v>
      </c>
      <c r="P904" s="121"/>
      <c r="Q904" s="66"/>
      <c r="R904" s="121"/>
      <c r="S904" s="133">
        <f>M884</f>
        <v>1</v>
      </c>
      <c r="T904" s="120"/>
      <c r="U904" s="121" t="s">
        <v>364</v>
      </c>
      <c r="V904" s="133">
        <f t="shared" si="401"/>
        <v>1</v>
      </c>
      <c r="W904" s="133">
        <f>VLOOKUP(U904,Sheet1!$B$6:$C$45,2,FALSE)*V904</f>
        <v>1</v>
      </c>
      <c r="X904" s="141"/>
      <c r="Y904" s="121" t="s">
        <v>293</v>
      </c>
      <c r="Z904" s="146">
        <f>VLOOKUP(Takeoffs!Y904,Sheet1!$B$6:$C$124,2,FALSE)</f>
        <v>0</v>
      </c>
      <c r="AA904" s="146">
        <f t="shared" si="402"/>
        <v>0</v>
      </c>
      <c r="AB904" s="143">
        <f t="shared" si="403"/>
        <v>1</v>
      </c>
      <c r="AC904" s="133">
        <f t="shared" si="404"/>
        <v>1</v>
      </c>
      <c r="AD904" s="142">
        <v>1</v>
      </c>
      <c r="AE904" s="141"/>
      <c r="AF904" s="121" t="s">
        <v>293</v>
      </c>
      <c r="AG904" s="146">
        <f>VLOOKUP(Takeoffs!AF904,Sheet1!$B$6:$C$124,2,FALSE)</f>
        <v>0</v>
      </c>
      <c r="AH904" s="146">
        <f t="shared" si="405"/>
        <v>0</v>
      </c>
      <c r="AI904" s="143">
        <f t="shared" si="406"/>
        <v>0</v>
      </c>
      <c r="AJ904" s="133">
        <f t="shared" si="407"/>
        <v>1</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379</v>
      </c>
      <c r="L905" s="128" t="s">
        <v>380</v>
      </c>
      <c r="N905" s="129"/>
      <c r="O905" s="130" t="s">
        <v>359</v>
      </c>
      <c r="P905" s="131">
        <f>V905+AA905+AH905</f>
        <v>2572.3560000000002</v>
      </c>
      <c r="Q905" s="131"/>
      <c r="R905" s="131"/>
      <c r="S905" s="130"/>
      <c r="T905" s="127"/>
      <c r="U905" s="126" t="s">
        <v>353</v>
      </c>
      <c r="V905" s="127">
        <f>W905*80</f>
        <v>600</v>
      </c>
      <c r="W905" s="147">
        <f>SUM(W884:W904)</f>
        <v>7.5</v>
      </c>
      <c r="X905" s="148"/>
      <c r="Y905" s="127" t="s">
        <v>354</v>
      </c>
      <c r="Z905" s="116"/>
      <c r="AA905" s="116">
        <f>SUM(AA884:AA904)</f>
        <v>1899.3600000000001</v>
      </c>
      <c r="AB905" s="149"/>
      <c r="AC905" s="149"/>
      <c r="AD905" s="149"/>
      <c r="AE905" s="149"/>
      <c r="AF905" s="127" t="s">
        <v>358</v>
      </c>
      <c r="AG905" s="116"/>
      <c r="AH905" s="116">
        <f>SUM(AH884:AH904)</f>
        <v>72.995999999999995</v>
      </c>
      <c r="AI905" s="149"/>
      <c r="AJ905" s="149"/>
      <c r="AK905" s="149"/>
      <c r="AL905" s="149"/>
      <c r="AM905" s="150">
        <f>P905</f>
        <v>2572.3560000000002</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494</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v>1</v>
      </c>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one (1)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2572.3560000000002</v>
      </c>
      <c r="L906" s="234" t="str">
        <f>CONCATENATE(Q885,Q886,Q887,Q888,Q889,Q890,Q891,Q892,Q893,Q894,Q895,Q896,Q897,Q898,Q899,Q900,Q901,Q902,Q903,Q904,)</f>
        <v>fire cabling from FIP.</v>
      </c>
      <c r="M906" s="166" t="s">
        <v>369</v>
      </c>
      <c r="N906" s="160" t="str">
        <f>N884</f>
        <v>large sized VSD fan with fire shutdown - from MSSB power supply and BMS interface provisions</v>
      </c>
      <c r="O906" s="160" t="s">
        <v>367</v>
      </c>
      <c r="P906" s="183">
        <f>P905/M884</f>
        <v>2572.3560000000002</v>
      </c>
      <c r="Q906" s="191"/>
      <c r="R906" s="161"/>
      <c r="S906" s="160"/>
      <c r="T906" s="161"/>
      <c r="U906" s="327" t="s">
        <v>368</v>
      </c>
      <c r="V906" s="327"/>
      <c r="W906" s="162">
        <f>W905/M884</f>
        <v>7.5</v>
      </c>
      <c r="X906" s="163"/>
      <c r="Y906" s="325" t="s">
        <v>367</v>
      </c>
      <c r="Z906" s="325"/>
      <c r="AA906" s="164">
        <f>AA905/M884</f>
        <v>1899.3600000000001</v>
      </c>
      <c r="AB906" s="161"/>
      <c r="AC906" s="161"/>
      <c r="AD906" s="161"/>
      <c r="AE906" s="161"/>
      <c r="AF906" s="325" t="s">
        <v>367</v>
      </c>
      <c r="AG906" s="325"/>
      <c r="AH906" s="164">
        <f>AH905/M884</f>
        <v>72.995999999999995</v>
      </c>
      <c r="AI906" s="161"/>
      <c r="AJ906" s="161"/>
      <c r="AK906" s="161"/>
      <c r="AL906" s="247"/>
      <c r="AM906" s="257"/>
      <c r="AN906" s="236">
        <f>K906*$D$9</f>
        <v>643.08900000000006</v>
      </c>
      <c r="AO906" s="286"/>
      <c r="AP906" s="284">
        <f t="shared" si="387"/>
        <v>2572.3560000000002</v>
      </c>
      <c r="AQ906" s="281">
        <f t="shared" si="388"/>
        <v>600</v>
      </c>
      <c r="AR906" s="284">
        <f t="shared" si="389"/>
        <v>1899.3600000000001</v>
      </c>
      <c r="AS906" s="281">
        <f t="shared" si="390"/>
        <v>72.995999999999995</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454</v>
      </c>
      <c r="M907" s="116" t="s">
        <v>107</v>
      </c>
      <c r="N907" s="116" t="s">
        <v>108</v>
      </c>
      <c r="O907" s="170" t="s">
        <v>388</v>
      </c>
      <c r="P907" s="328" t="s">
        <v>377</v>
      </c>
      <c r="Q907" s="328"/>
      <c r="R907" s="101" t="s">
        <v>454</v>
      </c>
      <c r="S907" s="116" t="s">
        <v>0</v>
      </c>
      <c r="T907" s="118"/>
      <c r="U907" s="116" t="s">
        <v>288</v>
      </c>
      <c r="V907" s="116" t="s">
        <v>289</v>
      </c>
      <c r="W907" s="116" t="s">
        <v>292</v>
      </c>
      <c r="X907" s="140"/>
      <c r="Y907" s="116" t="s">
        <v>290</v>
      </c>
      <c r="Z907" s="116" t="s">
        <v>356</v>
      </c>
      <c r="AA907" s="116" t="s">
        <v>357</v>
      </c>
      <c r="AB907" s="116" t="s">
        <v>319</v>
      </c>
      <c r="AC907" s="116" t="s">
        <v>320</v>
      </c>
      <c r="AD907" s="116" t="s">
        <v>318</v>
      </c>
      <c r="AE907" s="140"/>
      <c r="AF907" s="116" t="s">
        <v>294</v>
      </c>
      <c r="AG907" s="116" t="s">
        <v>356</v>
      </c>
      <c r="AH907" s="116" t="s">
        <v>357</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one</v>
      </c>
      <c r="M908" s="121">
        <f>I930</f>
        <v>1</v>
      </c>
      <c r="N908" s="132" t="s">
        <v>574</v>
      </c>
      <c r="O908" s="121" t="s">
        <v>491</v>
      </c>
      <c r="P908" s="169" t="s">
        <v>381</v>
      </c>
      <c r="Q908" s="169" t="s">
        <v>377</v>
      </c>
      <c r="R908" s="169"/>
      <c r="S908" s="133">
        <f>M908</f>
        <v>1</v>
      </c>
      <c r="T908" s="119"/>
      <c r="U908" s="121" t="s">
        <v>293</v>
      </c>
      <c r="V908" s="133">
        <f>S908</f>
        <v>1</v>
      </c>
      <c r="W908" s="133">
        <f>VLOOKUP(U908,Sheet1!$B$6:$C$45,2,FALSE)*V908</f>
        <v>0</v>
      </c>
      <c r="X908" s="141"/>
      <c r="Y908" s="121" t="s">
        <v>293</v>
      </c>
      <c r="Z908" s="146">
        <f>VLOOKUP(Takeoffs!Y908,Sheet1!$B$6:$C$124,2,FALSE)</f>
        <v>0</v>
      </c>
      <c r="AA908" s="146">
        <f>Z908*AB908</f>
        <v>0</v>
      </c>
      <c r="AB908" s="143">
        <f>AD908*AC908</f>
        <v>1</v>
      </c>
      <c r="AC908" s="133">
        <f>S908</f>
        <v>1</v>
      </c>
      <c r="AD908" s="142">
        <v>1</v>
      </c>
      <c r="AE908" s="141"/>
      <c r="AF908" s="121" t="s">
        <v>293</v>
      </c>
      <c r="AG908" s="146">
        <f>VLOOKUP(Takeoffs!AF908,Sheet1!$B$6:$C$124,2,FALSE)</f>
        <v>0</v>
      </c>
      <c r="AH908" s="146">
        <f>AG908*AI908</f>
        <v>0</v>
      </c>
      <c r="AI908" s="143">
        <f>AK908*AJ908</f>
        <v>0</v>
      </c>
      <c r="AJ908" s="133">
        <f>S908</f>
        <v>1</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342</v>
      </c>
      <c r="P909" s="121"/>
      <c r="Q909" s="66"/>
      <c r="R909" s="121"/>
      <c r="S909" s="133">
        <f>M908</f>
        <v>1</v>
      </c>
      <c r="T909" s="120"/>
      <c r="U909" s="121" t="s">
        <v>293</v>
      </c>
      <c r="V909" s="133">
        <f t="shared" ref="V909:V928" si="410">S909</f>
        <v>1</v>
      </c>
      <c r="W909" s="133">
        <f>VLOOKUP(U909,Sheet1!$B$6:$C$45,2,FALSE)*V909</f>
        <v>0</v>
      </c>
      <c r="X909" s="141"/>
      <c r="Y909" s="121" t="s">
        <v>293</v>
      </c>
      <c r="Z909" s="146">
        <f>VLOOKUP(Takeoffs!Y909,Sheet1!$B$6:$C$124,2,FALSE)</f>
        <v>0</v>
      </c>
      <c r="AA909" s="146">
        <f t="shared" ref="AA909:AA928" si="411">Z909*AB909</f>
        <v>0</v>
      </c>
      <c r="AB909" s="143">
        <f t="shared" ref="AB909:AB928" si="412">AD909*AC909</f>
        <v>1</v>
      </c>
      <c r="AC909" s="133">
        <f t="shared" ref="AC909:AC928" si="413">S909</f>
        <v>1</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1</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1</v>
      </c>
      <c r="T910" s="120"/>
      <c r="U910" s="121" t="s">
        <v>293</v>
      </c>
      <c r="V910" s="133">
        <f t="shared" si="410"/>
        <v>1</v>
      </c>
      <c r="W910" s="133">
        <f>VLOOKUP(U910,Sheet1!$B$6:$C$45,2,FALSE)*V910</f>
        <v>0</v>
      </c>
      <c r="X910" s="141"/>
      <c r="Y910" s="122" t="s">
        <v>252</v>
      </c>
      <c r="Z910" s="146">
        <f>VLOOKUP(Takeoffs!Y910,Sheet1!$B$6:$C$124,2,FALSE)</f>
        <v>43.440000000000005</v>
      </c>
      <c r="AA910" s="146">
        <f t="shared" si="411"/>
        <v>43.440000000000005</v>
      </c>
      <c r="AB910" s="143">
        <f t="shared" si="412"/>
        <v>1</v>
      </c>
      <c r="AC910" s="133">
        <f t="shared" si="413"/>
        <v>1</v>
      </c>
      <c r="AD910" s="142">
        <v>1</v>
      </c>
      <c r="AE910" s="141"/>
      <c r="AF910" s="52" t="s">
        <v>267</v>
      </c>
      <c r="AG910" s="146">
        <f>VLOOKUP(Takeoffs!AF910,Sheet1!$B$6:$C$124,2,FALSE)</f>
        <v>3.48</v>
      </c>
      <c r="AH910" s="146">
        <f t="shared" si="414"/>
        <v>69.599999999999994</v>
      </c>
      <c r="AI910" s="143">
        <f t="shared" si="415"/>
        <v>20</v>
      </c>
      <c r="AJ910" s="133">
        <f t="shared" si="416"/>
        <v>1</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1</v>
      </c>
      <c r="T911" s="120"/>
      <c r="U911" s="117" t="s">
        <v>481</v>
      </c>
      <c r="V911" s="133">
        <f t="shared" si="410"/>
        <v>1</v>
      </c>
      <c r="W911" s="133">
        <f>VLOOKUP(U911,Sheet1!$B$6:$C$45,2,FALSE)*V911</f>
        <v>2</v>
      </c>
      <c r="X911" s="141"/>
      <c r="Y911" s="121" t="s">
        <v>293</v>
      </c>
      <c r="Z911" s="146">
        <f>VLOOKUP(Takeoffs!Y911,Sheet1!$B$6:$C$124,2,FALSE)</f>
        <v>0</v>
      </c>
      <c r="AA911" s="146">
        <f t="shared" si="411"/>
        <v>0</v>
      </c>
      <c r="AB911" s="143">
        <f t="shared" si="412"/>
        <v>1</v>
      </c>
      <c r="AC911" s="133">
        <f t="shared" si="413"/>
        <v>1</v>
      </c>
      <c r="AD911" s="142">
        <v>1</v>
      </c>
      <c r="AE911" s="141"/>
      <c r="AF911" s="121" t="s">
        <v>293</v>
      </c>
      <c r="AG911" s="146">
        <f>VLOOKUP(Takeoffs!AF911,Sheet1!$B$6:$C$124,2,FALSE)</f>
        <v>0</v>
      </c>
      <c r="AH911" s="146">
        <f t="shared" si="414"/>
        <v>0</v>
      </c>
      <c r="AI911" s="143">
        <f t="shared" si="415"/>
        <v>0</v>
      </c>
      <c r="AJ911" s="133">
        <f t="shared" si="416"/>
        <v>1</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325</v>
      </c>
      <c r="P912" s="121"/>
      <c r="Q912" s="66"/>
      <c r="R912" s="121"/>
      <c r="S912" s="133">
        <f>M908</f>
        <v>1</v>
      </c>
      <c r="T912" s="120"/>
      <c r="U912" s="121" t="s">
        <v>235</v>
      </c>
      <c r="V912" s="133">
        <f t="shared" si="410"/>
        <v>1</v>
      </c>
      <c r="W912" s="133">
        <f>VLOOKUP(U912,Sheet1!$B$6:$C$45,2,FALSE)*V912</f>
        <v>1.5</v>
      </c>
      <c r="X912" s="141"/>
      <c r="Y912" s="135" t="s">
        <v>493</v>
      </c>
      <c r="Z912" s="146">
        <f>VLOOKUP(Takeoffs!Y912,Sheet1!$B$6:$C$124,2,FALSE)</f>
        <v>1226.28</v>
      </c>
      <c r="AA912" s="146">
        <f t="shared" si="411"/>
        <v>1226.28</v>
      </c>
      <c r="AB912" s="143">
        <f t="shared" si="412"/>
        <v>1</v>
      </c>
      <c r="AC912" s="133">
        <f t="shared" si="413"/>
        <v>1</v>
      </c>
      <c r="AD912" s="142">
        <v>1</v>
      </c>
      <c r="AE912" s="141"/>
      <c r="AF912" s="121" t="s">
        <v>293</v>
      </c>
      <c r="AG912" s="146">
        <f>VLOOKUP(Takeoffs!AF912,Sheet1!$B$6:$C$124,2,FALSE)</f>
        <v>0</v>
      </c>
      <c r="AH912" s="146">
        <f t="shared" si="414"/>
        <v>0</v>
      </c>
      <c r="AI912" s="143">
        <f t="shared" si="415"/>
        <v>0</v>
      </c>
      <c r="AJ912" s="133">
        <f t="shared" si="416"/>
        <v>1</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392</v>
      </c>
      <c r="P913" s="121"/>
      <c r="Q913" s="66"/>
      <c r="R913" s="121"/>
      <c r="S913" s="133">
        <f>M908</f>
        <v>1</v>
      </c>
      <c r="T913" s="120"/>
      <c r="U913" s="121" t="s">
        <v>293</v>
      </c>
      <c r="V913" s="133">
        <f t="shared" si="410"/>
        <v>1</v>
      </c>
      <c r="W913" s="133">
        <f>VLOOKUP(U913,Sheet1!$B$6:$C$45,2,FALSE)*V913</f>
        <v>0</v>
      </c>
      <c r="X913" s="141"/>
      <c r="Y913" s="121" t="s">
        <v>293</v>
      </c>
      <c r="Z913" s="146">
        <f>VLOOKUP(Takeoffs!Y913,Sheet1!$B$6:$C$124,2,FALSE)</f>
        <v>0</v>
      </c>
      <c r="AA913" s="146">
        <f t="shared" si="411"/>
        <v>0</v>
      </c>
      <c r="AB913" s="143">
        <f t="shared" si="412"/>
        <v>1</v>
      </c>
      <c r="AC913" s="133">
        <f t="shared" si="413"/>
        <v>1</v>
      </c>
      <c r="AD913" s="142">
        <v>1</v>
      </c>
      <c r="AE913" s="141"/>
      <c r="AF913" s="122" t="s">
        <v>268</v>
      </c>
      <c r="AG913" s="146">
        <f>VLOOKUP(Takeoffs!AF913,Sheet1!$B$6:$C$124,2,FALSE)</f>
        <v>1.02</v>
      </c>
      <c r="AH913" s="146">
        <f t="shared" si="414"/>
        <v>3.06</v>
      </c>
      <c r="AI913" s="143">
        <f t="shared" si="415"/>
        <v>3</v>
      </c>
      <c r="AJ913" s="133">
        <f t="shared" si="416"/>
        <v>1</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1</v>
      </c>
      <c r="T914" s="120"/>
      <c r="U914" s="121" t="s">
        <v>293</v>
      </c>
      <c r="V914" s="133">
        <f t="shared" si="410"/>
        <v>1</v>
      </c>
      <c r="W914" s="133">
        <f>VLOOKUP(U914,Sheet1!$B$6:$C$45,2,FALSE)*V914</f>
        <v>0</v>
      </c>
      <c r="X914" s="141"/>
      <c r="Y914" s="121" t="s">
        <v>293</v>
      </c>
      <c r="Z914" s="146">
        <f>VLOOKUP(Takeoffs!Y914,Sheet1!$B$6:$C$124,2,FALSE)</f>
        <v>0</v>
      </c>
      <c r="AA914" s="146">
        <f t="shared" si="411"/>
        <v>0</v>
      </c>
      <c r="AB914" s="143">
        <f t="shared" si="412"/>
        <v>1</v>
      </c>
      <c r="AC914" s="133">
        <f t="shared" si="413"/>
        <v>1</v>
      </c>
      <c r="AD914" s="142">
        <v>1</v>
      </c>
      <c r="AE914" s="141"/>
      <c r="AF914" s="121" t="s">
        <v>293</v>
      </c>
      <c r="AG914" s="146">
        <f>VLOOKUP(Takeoffs!AF914,Sheet1!$B$6:$C$124,2,FALSE)</f>
        <v>0</v>
      </c>
      <c r="AH914" s="146">
        <f t="shared" si="414"/>
        <v>0</v>
      </c>
      <c r="AI914" s="143">
        <f t="shared" si="415"/>
        <v>0</v>
      </c>
      <c r="AJ914" s="133">
        <f t="shared" si="416"/>
        <v>1</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1</v>
      </c>
      <c r="T915" s="120"/>
      <c r="U915" s="121" t="s">
        <v>293</v>
      </c>
      <c r="V915" s="133">
        <f t="shared" si="410"/>
        <v>1</v>
      </c>
      <c r="W915" s="133">
        <f>VLOOKUP(U915,Sheet1!$B$6:$C$45,2,FALSE)*V915</f>
        <v>0</v>
      </c>
      <c r="X915" s="141"/>
      <c r="Y915" s="121" t="s">
        <v>293</v>
      </c>
      <c r="Z915" s="146">
        <f>VLOOKUP(Takeoffs!Y915,Sheet1!$B$6:$C$124,2,FALSE)</f>
        <v>0</v>
      </c>
      <c r="AA915" s="146">
        <f t="shared" si="411"/>
        <v>0</v>
      </c>
      <c r="AB915" s="143">
        <f t="shared" si="412"/>
        <v>1</v>
      </c>
      <c r="AC915" s="133">
        <f t="shared" si="413"/>
        <v>1</v>
      </c>
      <c r="AD915" s="142">
        <v>1</v>
      </c>
      <c r="AE915" s="141"/>
      <c r="AF915" s="121" t="s">
        <v>293</v>
      </c>
      <c r="AG915" s="146">
        <f>VLOOKUP(Takeoffs!AF915,Sheet1!$B$6:$C$124,2,FALSE)</f>
        <v>0</v>
      </c>
      <c r="AH915" s="146">
        <f t="shared" si="414"/>
        <v>0</v>
      </c>
      <c r="AI915" s="143">
        <f t="shared" si="415"/>
        <v>0</v>
      </c>
      <c r="AJ915" s="133">
        <f t="shared" si="416"/>
        <v>1</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330</v>
      </c>
      <c r="P916" s="121"/>
      <c r="Q916" s="66"/>
      <c r="R916" s="121"/>
      <c r="S916" s="133">
        <f>M908</f>
        <v>1</v>
      </c>
      <c r="T916" s="120"/>
      <c r="U916" s="121" t="s">
        <v>366</v>
      </c>
      <c r="V916" s="133">
        <f t="shared" si="410"/>
        <v>1</v>
      </c>
      <c r="W916" s="133">
        <f>VLOOKUP(U916,Sheet1!$B$6:$C$45,2,FALSE)*V916</f>
        <v>2</v>
      </c>
      <c r="X916" s="141"/>
      <c r="Y916" s="121" t="s">
        <v>293</v>
      </c>
      <c r="Z916" s="146">
        <f>VLOOKUP(Takeoffs!Y916,Sheet1!$B$6:$C$124,2,FALSE)</f>
        <v>0</v>
      </c>
      <c r="AA916" s="146">
        <f t="shared" si="411"/>
        <v>0</v>
      </c>
      <c r="AB916" s="143">
        <f t="shared" si="412"/>
        <v>1</v>
      </c>
      <c r="AC916" s="133">
        <f t="shared" si="413"/>
        <v>1</v>
      </c>
      <c r="AD916" s="142">
        <v>1</v>
      </c>
      <c r="AE916" s="141"/>
      <c r="AF916" s="121" t="s">
        <v>293</v>
      </c>
      <c r="AG916" s="146">
        <f>VLOOKUP(Takeoffs!AF916,Sheet1!$B$6:$C$124,2,FALSE)</f>
        <v>0</v>
      </c>
      <c r="AH916" s="146">
        <f t="shared" si="414"/>
        <v>0</v>
      </c>
      <c r="AI916" s="143">
        <f t="shared" si="415"/>
        <v>0</v>
      </c>
      <c r="AJ916" s="133">
        <f t="shared" si="416"/>
        <v>1</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1</v>
      </c>
      <c r="T917" s="120"/>
      <c r="U917" s="121" t="s">
        <v>293</v>
      </c>
      <c r="V917" s="133">
        <f t="shared" si="410"/>
        <v>1</v>
      </c>
      <c r="W917" s="133">
        <f>VLOOKUP(U917,Sheet1!$B$6:$C$45,2,FALSE)*V917</f>
        <v>0</v>
      </c>
      <c r="X917" s="141"/>
      <c r="Y917" s="121" t="s">
        <v>293</v>
      </c>
      <c r="Z917" s="146">
        <f>VLOOKUP(Takeoffs!Y917,Sheet1!$B$6:$C$124,2,FALSE)</f>
        <v>0</v>
      </c>
      <c r="AA917" s="146">
        <f t="shared" si="411"/>
        <v>0</v>
      </c>
      <c r="AB917" s="143">
        <f t="shared" si="412"/>
        <v>1</v>
      </c>
      <c r="AC917" s="133">
        <f t="shared" si="413"/>
        <v>1</v>
      </c>
      <c r="AD917" s="142">
        <v>1</v>
      </c>
      <c r="AE917" s="141"/>
      <c r="AF917" s="121" t="s">
        <v>293</v>
      </c>
      <c r="AG917" s="146">
        <f>VLOOKUP(Takeoffs!AF917,Sheet1!$B$6:$C$124,2,FALSE)</f>
        <v>0</v>
      </c>
      <c r="AH917" s="146">
        <f t="shared" si="414"/>
        <v>0</v>
      </c>
      <c r="AI917" s="143">
        <f t="shared" si="415"/>
        <v>0</v>
      </c>
      <c r="AJ917" s="133">
        <f t="shared" si="416"/>
        <v>1</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1</v>
      </c>
      <c r="T918" s="120"/>
      <c r="U918" s="121" t="s">
        <v>293</v>
      </c>
      <c r="V918" s="133">
        <f t="shared" si="410"/>
        <v>1</v>
      </c>
      <c r="W918" s="133">
        <f>VLOOKUP(U918,Sheet1!$B$6:$C$45,2,FALSE)*V918</f>
        <v>0</v>
      </c>
      <c r="X918" s="141"/>
      <c r="Y918" s="121" t="s">
        <v>293</v>
      </c>
      <c r="Z918" s="146">
        <f>VLOOKUP(Takeoffs!Y918,Sheet1!$B$6:$C$124,2,FALSE)</f>
        <v>0</v>
      </c>
      <c r="AA918" s="146">
        <f t="shared" si="411"/>
        <v>0</v>
      </c>
      <c r="AB918" s="143">
        <f t="shared" si="412"/>
        <v>1</v>
      </c>
      <c r="AC918" s="133">
        <f t="shared" si="413"/>
        <v>1</v>
      </c>
      <c r="AD918" s="142">
        <v>1</v>
      </c>
      <c r="AE918" s="141"/>
      <c r="AF918" s="121" t="s">
        <v>293</v>
      </c>
      <c r="AG918" s="146">
        <f>VLOOKUP(Takeoffs!AF918,Sheet1!$B$6:$C$124,2,FALSE)</f>
        <v>0</v>
      </c>
      <c r="AH918" s="146">
        <f t="shared" si="414"/>
        <v>0</v>
      </c>
      <c r="AI918" s="143">
        <f t="shared" si="415"/>
        <v>0</v>
      </c>
      <c r="AJ918" s="133">
        <f t="shared" si="416"/>
        <v>1</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1</v>
      </c>
      <c r="T919" s="120"/>
      <c r="U919" s="121" t="s">
        <v>293</v>
      </c>
      <c r="V919" s="133">
        <f t="shared" si="410"/>
        <v>1</v>
      </c>
      <c r="W919" s="133">
        <f>VLOOKUP(U919,Sheet1!$B$6:$C$45,2,FALSE)*V919</f>
        <v>0</v>
      </c>
      <c r="X919" s="141"/>
      <c r="Y919" s="121" t="s">
        <v>293</v>
      </c>
      <c r="Z919" s="146">
        <f>VLOOKUP(Takeoffs!Y919,Sheet1!$B$6:$C$124,2,FALSE)</f>
        <v>0</v>
      </c>
      <c r="AA919" s="146">
        <f t="shared" si="411"/>
        <v>0</v>
      </c>
      <c r="AB919" s="143">
        <f t="shared" si="412"/>
        <v>1</v>
      </c>
      <c r="AC919" s="133">
        <f t="shared" si="413"/>
        <v>1</v>
      </c>
      <c r="AD919" s="142">
        <v>1</v>
      </c>
      <c r="AE919" s="141"/>
      <c r="AF919" s="121" t="s">
        <v>293</v>
      </c>
      <c r="AG919" s="146">
        <f>VLOOKUP(Takeoffs!AF919,Sheet1!$B$6:$C$124,2,FALSE)</f>
        <v>0</v>
      </c>
      <c r="AH919" s="146">
        <f t="shared" si="414"/>
        <v>0</v>
      </c>
      <c r="AI919" s="143">
        <f t="shared" si="415"/>
        <v>0</v>
      </c>
      <c r="AJ919" s="133">
        <f t="shared" si="416"/>
        <v>1</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1</v>
      </c>
      <c r="T920" s="120"/>
      <c r="U920" s="121" t="s">
        <v>293</v>
      </c>
      <c r="V920" s="133">
        <f t="shared" si="410"/>
        <v>1</v>
      </c>
      <c r="W920" s="133">
        <f>VLOOKUP(U920,Sheet1!$B$6:$C$45,2,FALSE)*V920</f>
        <v>0</v>
      </c>
      <c r="X920" s="141"/>
      <c r="Y920" s="121" t="s">
        <v>293</v>
      </c>
      <c r="Z920" s="146">
        <f>VLOOKUP(Takeoffs!Y920,Sheet1!$B$6:$C$124,2,FALSE)</f>
        <v>0</v>
      </c>
      <c r="AA920" s="146">
        <f t="shared" si="411"/>
        <v>0</v>
      </c>
      <c r="AB920" s="143">
        <f t="shared" si="412"/>
        <v>1</v>
      </c>
      <c r="AC920" s="133">
        <f t="shared" si="413"/>
        <v>1</v>
      </c>
      <c r="AD920" s="142">
        <v>1</v>
      </c>
      <c r="AE920" s="141"/>
      <c r="AF920" s="152" t="s">
        <v>420</v>
      </c>
      <c r="AG920" s="146">
        <f>VLOOKUP(Takeoffs!AF920,Sheet1!$B$6:$C$124,2,FALSE)</f>
        <v>0.33600000000000002</v>
      </c>
      <c r="AH920" s="146">
        <f t="shared" si="414"/>
        <v>0.33600000000000002</v>
      </c>
      <c r="AI920" s="143">
        <f t="shared" si="415"/>
        <v>1</v>
      </c>
      <c r="AJ920" s="133">
        <f t="shared" si="416"/>
        <v>1</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1</v>
      </c>
      <c r="T921" s="120"/>
      <c r="U921" s="121" t="s">
        <v>232</v>
      </c>
      <c r="V921" s="133">
        <f t="shared" si="410"/>
        <v>1</v>
      </c>
      <c r="W921" s="133">
        <f>VLOOKUP(U921,Sheet1!$B$6:$C$45,2,FALSE)*V921</f>
        <v>1</v>
      </c>
      <c r="X921" s="141"/>
      <c r="Y921" s="122" t="s">
        <v>281</v>
      </c>
      <c r="Z921" s="146">
        <f>VLOOKUP(Takeoffs!Y921,Sheet1!$B$6:$C$124,2,FALSE)</f>
        <v>109.25999999999999</v>
      </c>
      <c r="AA921" s="146">
        <f t="shared" si="411"/>
        <v>109.25999999999999</v>
      </c>
      <c r="AB921" s="143">
        <f t="shared" si="412"/>
        <v>1</v>
      </c>
      <c r="AC921" s="133">
        <f t="shared" si="413"/>
        <v>1</v>
      </c>
      <c r="AD921" s="142">
        <v>1</v>
      </c>
      <c r="AE921" s="141"/>
      <c r="AF921" s="121" t="s">
        <v>293</v>
      </c>
      <c r="AG921" s="146">
        <f>VLOOKUP(Takeoffs!AF921,Sheet1!$B$6:$C$124,2,FALSE)</f>
        <v>0</v>
      </c>
      <c r="AH921" s="146">
        <f t="shared" si="414"/>
        <v>0</v>
      </c>
      <c r="AI921" s="143">
        <f t="shared" si="415"/>
        <v>0</v>
      </c>
      <c r="AJ921" s="133">
        <f t="shared" si="416"/>
        <v>1</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1</v>
      </c>
      <c r="T922" s="120"/>
      <c r="U922" s="121" t="s">
        <v>293</v>
      </c>
      <c r="V922" s="133">
        <f t="shared" si="410"/>
        <v>1</v>
      </c>
      <c r="W922" s="133">
        <f>VLOOKUP(U922,Sheet1!$B$6:$C$45,2,FALSE)*V922</f>
        <v>0</v>
      </c>
      <c r="X922" s="141"/>
      <c r="Y922" s="121" t="s">
        <v>293</v>
      </c>
      <c r="Z922" s="146">
        <f>VLOOKUP(Takeoffs!Y922,Sheet1!$B$6:$C$124,2,FALSE)</f>
        <v>0</v>
      </c>
      <c r="AA922" s="146">
        <f t="shared" si="411"/>
        <v>0</v>
      </c>
      <c r="AB922" s="143">
        <f t="shared" si="412"/>
        <v>1</v>
      </c>
      <c r="AC922" s="133">
        <f t="shared" si="413"/>
        <v>1</v>
      </c>
      <c r="AD922" s="142">
        <v>1</v>
      </c>
      <c r="AE922" s="141"/>
      <c r="AF922" s="121" t="s">
        <v>293</v>
      </c>
      <c r="AG922" s="146">
        <f>VLOOKUP(Takeoffs!AF922,Sheet1!$B$6:$C$124,2,FALSE)</f>
        <v>0</v>
      </c>
      <c r="AH922" s="146">
        <f t="shared" si="414"/>
        <v>0</v>
      </c>
      <c r="AI922" s="143">
        <f t="shared" si="415"/>
        <v>0</v>
      </c>
      <c r="AJ922" s="133">
        <f t="shared" si="416"/>
        <v>1</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339</v>
      </c>
      <c r="P923" s="121"/>
      <c r="Q923" s="66"/>
      <c r="R923" s="121" t="s">
        <v>333</v>
      </c>
      <c r="S923" s="133">
        <f>M908</f>
        <v>1</v>
      </c>
      <c r="T923" s="120"/>
      <c r="U923" s="121" t="s">
        <v>293</v>
      </c>
      <c r="V923" s="133">
        <f t="shared" si="410"/>
        <v>1</v>
      </c>
      <c r="W923" s="133">
        <f>VLOOKUP(U923,Sheet1!$B$6:$C$45,2,FALSE)*V923</f>
        <v>0</v>
      </c>
      <c r="X923" s="141"/>
      <c r="Y923" s="122" t="s">
        <v>280</v>
      </c>
      <c r="Z923" s="146">
        <f>VLOOKUP(Takeoffs!Y923,Sheet1!$B$6:$C$124,2,FALSE)</f>
        <v>19.2</v>
      </c>
      <c r="AA923" s="146">
        <f t="shared" si="411"/>
        <v>38.4</v>
      </c>
      <c r="AB923" s="143">
        <f t="shared" si="412"/>
        <v>2</v>
      </c>
      <c r="AC923" s="133">
        <f t="shared" si="413"/>
        <v>1</v>
      </c>
      <c r="AD923" s="142">
        <v>2</v>
      </c>
      <c r="AE923" s="141"/>
      <c r="AF923" s="121" t="s">
        <v>293</v>
      </c>
      <c r="AG923" s="146">
        <f>VLOOKUP(Takeoffs!AF923,Sheet1!$B$6:$C$124,2,FALSE)</f>
        <v>0</v>
      </c>
      <c r="AH923" s="146">
        <f t="shared" si="414"/>
        <v>0</v>
      </c>
      <c r="AI923" s="143">
        <f t="shared" si="415"/>
        <v>0</v>
      </c>
      <c r="AJ923" s="133">
        <f t="shared" si="416"/>
        <v>1</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502</v>
      </c>
      <c r="P924" s="121"/>
      <c r="Q924" s="66"/>
      <c r="R924" s="121"/>
      <c r="S924" s="133">
        <f>M908</f>
        <v>1</v>
      </c>
      <c r="T924" s="120"/>
      <c r="U924" s="121" t="s">
        <v>293</v>
      </c>
      <c r="V924" s="133">
        <f t="shared" si="410"/>
        <v>1</v>
      </c>
      <c r="W924" s="133">
        <f>VLOOKUP(U924,Sheet1!$B$6:$C$45,2,FALSE)*V924</f>
        <v>0</v>
      </c>
      <c r="X924" s="141"/>
      <c r="Y924" s="135" t="s">
        <v>424</v>
      </c>
      <c r="Z924" s="146">
        <f>VLOOKUP(Takeoffs!Y924,Sheet1!$B$6:$C$124,2,FALSE)</f>
        <v>23.4</v>
      </c>
      <c r="AA924" s="146">
        <f t="shared" si="411"/>
        <v>23.4</v>
      </c>
      <c r="AB924" s="143">
        <f t="shared" si="412"/>
        <v>1</v>
      </c>
      <c r="AC924" s="133">
        <f t="shared" si="413"/>
        <v>1</v>
      </c>
      <c r="AD924" s="142">
        <v>1</v>
      </c>
      <c r="AE924" s="141"/>
      <c r="AF924" s="121" t="s">
        <v>293</v>
      </c>
      <c r="AG924" s="146">
        <f>VLOOKUP(Takeoffs!AF924,Sheet1!$B$6:$C$124,2,FALSE)</f>
        <v>0</v>
      </c>
      <c r="AH924" s="146">
        <f t="shared" si="414"/>
        <v>0</v>
      </c>
      <c r="AI924" s="143">
        <f t="shared" si="415"/>
        <v>0</v>
      </c>
      <c r="AJ924" s="133">
        <f t="shared" si="416"/>
        <v>1</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331</v>
      </c>
      <c r="P925" s="121"/>
      <c r="Q925" s="66"/>
      <c r="R925" s="121" t="s">
        <v>305</v>
      </c>
      <c r="S925" s="133">
        <f>M908</f>
        <v>1</v>
      </c>
      <c r="T925" s="120"/>
      <c r="U925" s="121" t="s">
        <v>293</v>
      </c>
      <c r="V925" s="133">
        <f t="shared" si="410"/>
        <v>1</v>
      </c>
      <c r="W925" s="133">
        <f>VLOOKUP(U925,Sheet1!$B$6:$C$45,2,FALSE)*V925</f>
        <v>0</v>
      </c>
      <c r="X925" s="141"/>
      <c r="Y925" s="122" t="s">
        <v>277</v>
      </c>
      <c r="Z925" s="146">
        <f>VLOOKUP(Takeoffs!Y925,Sheet1!$B$6:$C$124,2,FALSE)</f>
        <v>69.540000000000006</v>
      </c>
      <c r="AA925" s="146">
        <f t="shared" si="411"/>
        <v>69.540000000000006</v>
      </c>
      <c r="AB925" s="143">
        <f t="shared" si="412"/>
        <v>1</v>
      </c>
      <c r="AC925" s="133">
        <f t="shared" si="413"/>
        <v>1</v>
      </c>
      <c r="AD925" s="142">
        <v>1</v>
      </c>
      <c r="AE925" s="141"/>
      <c r="AF925" s="121" t="s">
        <v>293</v>
      </c>
      <c r="AG925" s="146">
        <f>VLOOKUP(Takeoffs!AF925,Sheet1!$B$6:$C$124,2,FALSE)</f>
        <v>0</v>
      </c>
      <c r="AH925" s="146">
        <f t="shared" si="414"/>
        <v>0</v>
      </c>
      <c r="AI925" s="143">
        <f t="shared" si="415"/>
        <v>0</v>
      </c>
      <c r="AJ925" s="133">
        <f t="shared" si="416"/>
        <v>1</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503</v>
      </c>
      <c r="P926" s="121"/>
      <c r="Q926" s="66"/>
      <c r="R926" s="121"/>
      <c r="S926" s="133">
        <f>M908</f>
        <v>1</v>
      </c>
      <c r="T926" s="120"/>
      <c r="U926" s="121" t="s">
        <v>293</v>
      </c>
      <c r="V926" s="133">
        <f t="shared" si="410"/>
        <v>1</v>
      </c>
      <c r="W926" s="133">
        <f>VLOOKUP(U926,Sheet1!$B$6:$C$45,2,FALSE)*V926</f>
        <v>0</v>
      </c>
      <c r="X926" s="141"/>
      <c r="Y926" s="121" t="s">
        <v>293</v>
      </c>
      <c r="Z926" s="146">
        <f>VLOOKUP(Takeoffs!Y926,Sheet1!$B$6:$C$124,2,FALSE)</f>
        <v>0</v>
      </c>
      <c r="AA926" s="146">
        <f t="shared" si="411"/>
        <v>0</v>
      </c>
      <c r="AB926" s="143">
        <f t="shared" si="412"/>
        <v>1</v>
      </c>
      <c r="AC926" s="133">
        <f t="shared" si="413"/>
        <v>1</v>
      </c>
      <c r="AD926" s="142">
        <v>1</v>
      </c>
      <c r="AE926" s="141"/>
      <c r="AF926" s="121" t="s">
        <v>293</v>
      </c>
      <c r="AG926" s="146">
        <f>VLOOKUP(Takeoffs!AF926,Sheet1!$B$6:$C$124,2,FALSE)</f>
        <v>0</v>
      </c>
      <c r="AH926" s="146">
        <f t="shared" si="414"/>
        <v>0</v>
      </c>
      <c r="AI926" s="143">
        <f t="shared" si="415"/>
        <v>0</v>
      </c>
      <c r="AJ926" s="133">
        <f t="shared" si="416"/>
        <v>1</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409</v>
      </c>
      <c r="P927" s="121"/>
      <c r="Q927" s="66"/>
      <c r="R927" s="121"/>
      <c r="S927" s="133">
        <f>M908</f>
        <v>1</v>
      </c>
      <c r="T927" s="120"/>
      <c r="U927" s="121" t="s">
        <v>293</v>
      </c>
      <c r="V927" s="133">
        <f t="shared" si="410"/>
        <v>1</v>
      </c>
      <c r="W927" s="133">
        <f>VLOOKUP(U927,Sheet1!$B$6:$C$45,2,FALSE)*V927</f>
        <v>0</v>
      </c>
      <c r="X927" s="141"/>
      <c r="Y927" s="121" t="s">
        <v>274</v>
      </c>
      <c r="Z927" s="146">
        <f>VLOOKUP(Takeoffs!Y927,Sheet1!$B$6:$C$124,2,FALSE)</f>
        <v>360</v>
      </c>
      <c r="AA927" s="146">
        <f t="shared" si="411"/>
        <v>360</v>
      </c>
      <c r="AB927" s="143">
        <f t="shared" si="412"/>
        <v>1</v>
      </c>
      <c r="AC927" s="133">
        <f t="shared" si="413"/>
        <v>1</v>
      </c>
      <c r="AD927" s="142">
        <v>1</v>
      </c>
      <c r="AE927" s="141"/>
      <c r="AF927" s="121" t="s">
        <v>293</v>
      </c>
      <c r="AG927" s="146">
        <f>VLOOKUP(Takeoffs!AF927,Sheet1!$B$6:$C$124,2,FALSE)</f>
        <v>0</v>
      </c>
      <c r="AH927" s="146">
        <f t="shared" si="414"/>
        <v>0</v>
      </c>
      <c r="AI927" s="143">
        <f t="shared" si="415"/>
        <v>0</v>
      </c>
      <c r="AJ927" s="133">
        <f t="shared" si="416"/>
        <v>1</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410</v>
      </c>
      <c r="P928" s="121"/>
      <c r="Q928" s="66"/>
      <c r="R928" s="121"/>
      <c r="S928" s="133">
        <f>M908</f>
        <v>1</v>
      </c>
      <c r="T928" s="120"/>
      <c r="U928" s="121" t="s">
        <v>364</v>
      </c>
      <c r="V928" s="133">
        <f t="shared" si="410"/>
        <v>1</v>
      </c>
      <c r="W928" s="133">
        <f>VLOOKUP(U928,Sheet1!$B$6:$C$45,2,FALSE)*V928</f>
        <v>1</v>
      </c>
      <c r="X928" s="141"/>
      <c r="Y928" s="121" t="s">
        <v>293</v>
      </c>
      <c r="Z928" s="146">
        <f>VLOOKUP(Takeoffs!Y928,Sheet1!$B$6:$C$124,2,FALSE)</f>
        <v>0</v>
      </c>
      <c r="AA928" s="146">
        <f t="shared" si="411"/>
        <v>0</v>
      </c>
      <c r="AB928" s="143">
        <f t="shared" si="412"/>
        <v>1</v>
      </c>
      <c r="AC928" s="133">
        <f t="shared" si="413"/>
        <v>1</v>
      </c>
      <c r="AD928" s="142">
        <v>1</v>
      </c>
      <c r="AE928" s="141"/>
      <c r="AF928" s="121" t="s">
        <v>293</v>
      </c>
      <c r="AG928" s="146">
        <f>VLOOKUP(Takeoffs!AF928,Sheet1!$B$6:$C$124,2,FALSE)</f>
        <v>0</v>
      </c>
      <c r="AH928" s="146">
        <f t="shared" si="414"/>
        <v>0</v>
      </c>
      <c r="AI928" s="143">
        <f t="shared" si="415"/>
        <v>0</v>
      </c>
      <c r="AJ928" s="133">
        <f t="shared" si="416"/>
        <v>1</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379</v>
      </c>
      <c r="L929" s="128" t="s">
        <v>380</v>
      </c>
      <c r="N929" s="129"/>
      <c r="O929" s="130" t="s">
        <v>359</v>
      </c>
      <c r="P929" s="131">
        <f>V929+AA929+AH929</f>
        <v>2543.3160000000003</v>
      </c>
      <c r="Q929" s="131"/>
      <c r="R929" s="131"/>
      <c r="S929" s="130"/>
      <c r="T929" s="127"/>
      <c r="U929" s="126" t="s">
        <v>353</v>
      </c>
      <c r="V929" s="127">
        <f>W929*80</f>
        <v>600</v>
      </c>
      <c r="W929" s="147">
        <f>SUM(W908:W928)</f>
        <v>7.5</v>
      </c>
      <c r="X929" s="148"/>
      <c r="Y929" s="127" t="s">
        <v>354</v>
      </c>
      <c r="Z929" s="116"/>
      <c r="AA929" s="116">
        <f>SUM(AA908:AA928)</f>
        <v>1870.3200000000002</v>
      </c>
      <c r="AB929" s="149"/>
      <c r="AC929" s="149"/>
      <c r="AD929" s="149"/>
      <c r="AE929" s="149"/>
      <c r="AF929" s="127" t="s">
        <v>358</v>
      </c>
      <c r="AG929" s="116"/>
      <c r="AH929" s="116">
        <f>SUM(AH908:AH928)</f>
        <v>72.995999999999995</v>
      </c>
      <c r="AI929" s="149"/>
      <c r="AJ929" s="149"/>
      <c r="AK929" s="149"/>
      <c r="AL929" s="149"/>
      <c r="AM929" s="150">
        <f>P929</f>
        <v>2543.3160000000003</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494</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v>1</v>
      </c>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one (1)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2543.3160000000003</v>
      </c>
      <c r="L930" s="234" t="str">
        <f>CONCATENATE(Q909,Q910,Q911,Q912,Q913,Q914,Q915,Q916,Q917,Q918,Q919,Q920,Q921,Q922,Q923,Q924,Q925,Q926,Q927,Q928,)</f>
        <v/>
      </c>
      <c r="M930" s="166" t="s">
        <v>369</v>
      </c>
      <c r="N930" s="160" t="str">
        <f>N908</f>
        <v>Cooling tower fan wirh VSD - from MSSB power supply and BMS interface provisions</v>
      </c>
      <c r="O930" s="160" t="s">
        <v>367</v>
      </c>
      <c r="P930" s="183">
        <f>P929/M908</f>
        <v>2543.3160000000003</v>
      </c>
      <c r="Q930" s="191"/>
      <c r="R930" s="161"/>
      <c r="S930" s="160"/>
      <c r="T930" s="161"/>
      <c r="U930" s="327" t="s">
        <v>368</v>
      </c>
      <c r="V930" s="327"/>
      <c r="W930" s="162">
        <f>W929/M908</f>
        <v>7.5</v>
      </c>
      <c r="X930" s="163"/>
      <c r="Y930" s="325" t="s">
        <v>367</v>
      </c>
      <c r="Z930" s="325"/>
      <c r="AA930" s="164">
        <f>AA929/M908</f>
        <v>1870.3200000000002</v>
      </c>
      <c r="AB930" s="161"/>
      <c r="AC930" s="161"/>
      <c r="AD930" s="161"/>
      <c r="AE930" s="161"/>
      <c r="AF930" s="325" t="s">
        <v>367</v>
      </c>
      <c r="AG930" s="325"/>
      <c r="AH930" s="164">
        <f>AH929/M908</f>
        <v>72.995999999999995</v>
      </c>
      <c r="AI930" s="161"/>
      <c r="AJ930" s="161"/>
      <c r="AK930" s="161"/>
      <c r="AL930" s="247"/>
      <c r="AM930" s="257"/>
      <c r="AN930" s="236">
        <f>K930*$D$9</f>
        <v>635.82900000000006</v>
      </c>
      <c r="AO930" s="286"/>
      <c r="AP930" s="284">
        <f t="shared" si="418"/>
        <v>2543.3160000000003</v>
      </c>
      <c r="AQ930" s="281">
        <f t="shared" si="419"/>
        <v>600</v>
      </c>
      <c r="AR930" s="284">
        <f t="shared" si="420"/>
        <v>1870.3200000000002</v>
      </c>
      <c r="AS930" s="281">
        <f t="shared" si="421"/>
        <v>72.995999999999995</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454</v>
      </c>
      <c r="M931" s="116" t="s">
        <v>107</v>
      </c>
      <c r="N931" s="116" t="s">
        <v>108</v>
      </c>
      <c r="O931" s="170" t="s">
        <v>388</v>
      </c>
      <c r="P931" s="328" t="s">
        <v>377</v>
      </c>
      <c r="Q931" s="328"/>
      <c r="R931" s="101" t="s">
        <v>454</v>
      </c>
      <c r="S931" s="116" t="s">
        <v>0</v>
      </c>
      <c r="T931" s="118"/>
      <c r="U931" s="116" t="s">
        <v>288</v>
      </c>
      <c r="V931" s="116" t="s">
        <v>289</v>
      </c>
      <c r="W931" s="116" t="s">
        <v>292</v>
      </c>
      <c r="X931" s="140"/>
      <c r="Y931" s="116" t="s">
        <v>290</v>
      </c>
      <c r="Z931" s="116" t="s">
        <v>356</v>
      </c>
      <c r="AA931" s="116" t="s">
        <v>357</v>
      </c>
      <c r="AB931" s="116" t="s">
        <v>319</v>
      </c>
      <c r="AC931" s="116" t="s">
        <v>320</v>
      </c>
      <c r="AD931" s="116" t="s">
        <v>318</v>
      </c>
      <c r="AE931" s="140"/>
      <c r="AF931" s="116" t="s">
        <v>294</v>
      </c>
      <c r="AG931" s="116" t="s">
        <v>356</v>
      </c>
      <c r="AH931" s="116" t="s">
        <v>357</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one</v>
      </c>
      <c r="M932" s="121">
        <f>I954</f>
        <v>1</v>
      </c>
      <c r="N932" s="132" t="s">
        <v>572</v>
      </c>
      <c r="O932" s="121" t="s">
        <v>491</v>
      </c>
      <c r="P932" s="169" t="s">
        <v>381</v>
      </c>
      <c r="Q932" s="169" t="s">
        <v>377</v>
      </c>
      <c r="R932" s="169"/>
      <c r="S932" s="133">
        <f>M932</f>
        <v>1</v>
      </c>
      <c r="T932" s="119"/>
      <c r="U932" s="121" t="s">
        <v>293</v>
      </c>
      <c r="V932" s="133">
        <f>S932</f>
        <v>1</v>
      </c>
      <c r="W932" s="133">
        <f>VLOOKUP(U932,Sheet1!$B$6:$C$45,2,FALSE)*V932</f>
        <v>0</v>
      </c>
      <c r="X932" s="141"/>
      <c r="Y932" s="121" t="s">
        <v>293</v>
      </c>
      <c r="Z932" s="146">
        <f>VLOOKUP(Takeoffs!Y932,Sheet1!$B$6:$C$124,2,FALSE)</f>
        <v>0</v>
      </c>
      <c r="AA932" s="146">
        <f>Z932*AB932</f>
        <v>0</v>
      </c>
      <c r="AB932" s="143">
        <f>AD932*AC932</f>
        <v>1</v>
      </c>
      <c r="AC932" s="133">
        <f>S932</f>
        <v>1</v>
      </c>
      <c r="AD932" s="142">
        <v>1</v>
      </c>
      <c r="AE932" s="141"/>
      <c r="AF932" s="121" t="s">
        <v>293</v>
      </c>
      <c r="AG932" s="146">
        <f>VLOOKUP(Takeoffs!AF932,Sheet1!$B$6:$C$124,2,FALSE)</f>
        <v>0</v>
      </c>
      <c r="AH932" s="146">
        <f>AG932*AI932</f>
        <v>0</v>
      </c>
      <c r="AI932" s="143">
        <f>AK932*AJ932</f>
        <v>0</v>
      </c>
      <c r="AJ932" s="133">
        <f>S932</f>
        <v>1</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342</v>
      </c>
      <c r="P933" s="121"/>
      <c r="Q933" s="66"/>
      <c r="R933" s="121"/>
      <c r="S933" s="133">
        <f>M932</f>
        <v>1</v>
      </c>
      <c r="T933" s="120"/>
      <c r="U933" s="121" t="s">
        <v>293</v>
      </c>
      <c r="V933" s="133">
        <f t="shared" ref="V933:V952" si="424">S933</f>
        <v>1</v>
      </c>
      <c r="W933" s="133">
        <f>VLOOKUP(U933,Sheet1!$B$6:$C$45,2,FALSE)*V933</f>
        <v>0</v>
      </c>
      <c r="X933" s="141"/>
      <c r="Y933" s="121" t="s">
        <v>293</v>
      </c>
      <c r="Z933" s="146">
        <f>VLOOKUP(Takeoffs!Y933,Sheet1!$B$6:$C$124,2,FALSE)</f>
        <v>0</v>
      </c>
      <c r="AA933" s="146">
        <f t="shared" ref="AA933:AA952" si="425">Z933*AB933</f>
        <v>0</v>
      </c>
      <c r="AB933" s="143">
        <f t="shared" ref="AB933:AB952" si="426">AD933*AC933</f>
        <v>1</v>
      </c>
      <c r="AC933" s="133">
        <f>S933</f>
        <v>1</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1</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1</v>
      </c>
      <c r="T934" s="120"/>
      <c r="U934" s="121" t="s">
        <v>293</v>
      </c>
      <c r="V934" s="133">
        <f t="shared" si="424"/>
        <v>1</v>
      </c>
      <c r="W934" s="133">
        <f>VLOOKUP(U934,Sheet1!$B$6:$C$45,2,FALSE)*V934</f>
        <v>0</v>
      </c>
      <c r="X934" s="141"/>
      <c r="Y934" s="122" t="s">
        <v>252</v>
      </c>
      <c r="Z934" s="146">
        <f>VLOOKUP(Takeoffs!Y934,Sheet1!$B$6:$C$124,2,FALSE)</f>
        <v>43.440000000000005</v>
      </c>
      <c r="AA934" s="146">
        <f t="shared" si="425"/>
        <v>43.440000000000005</v>
      </c>
      <c r="AB934" s="143">
        <f t="shared" si="426"/>
        <v>1</v>
      </c>
      <c r="AC934" s="133">
        <f>S934</f>
        <v>1</v>
      </c>
      <c r="AD934" s="142">
        <v>1</v>
      </c>
      <c r="AE934" s="141"/>
      <c r="AF934" s="52" t="s">
        <v>267</v>
      </c>
      <c r="AG934" s="146">
        <f>VLOOKUP(Takeoffs!AF934,Sheet1!$B$6:$C$124,2,FALSE)</f>
        <v>3.48</v>
      </c>
      <c r="AH934" s="146">
        <f t="shared" si="427"/>
        <v>69.599999999999994</v>
      </c>
      <c r="AI934" s="143">
        <f t="shared" si="428"/>
        <v>20</v>
      </c>
      <c r="AJ934" s="133">
        <f t="shared" si="429"/>
        <v>1</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1</v>
      </c>
      <c r="T935" s="120"/>
      <c r="U935" s="117" t="s">
        <v>481</v>
      </c>
      <c r="V935" s="133">
        <f t="shared" si="424"/>
        <v>1</v>
      </c>
      <c r="W935" s="133">
        <f>VLOOKUP(U935,Sheet1!$B$6:$C$45,2,FALSE)*V935</f>
        <v>2</v>
      </c>
      <c r="X935" s="141"/>
      <c r="Y935" s="121" t="s">
        <v>293</v>
      </c>
      <c r="Z935" s="146">
        <f>VLOOKUP(Takeoffs!Y935,Sheet1!$B$6:$C$124,2,FALSE)</f>
        <v>0</v>
      </c>
      <c r="AA935" s="146">
        <f t="shared" si="425"/>
        <v>0</v>
      </c>
      <c r="AB935" s="143">
        <f t="shared" si="426"/>
        <v>1</v>
      </c>
      <c r="AC935" s="133">
        <f t="shared" ref="AC935:AC952" si="431">S935</f>
        <v>1</v>
      </c>
      <c r="AD935" s="142">
        <v>1</v>
      </c>
      <c r="AE935" s="141"/>
      <c r="AF935" s="121" t="s">
        <v>293</v>
      </c>
      <c r="AG935" s="146">
        <f>VLOOKUP(Takeoffs!AF935,Sheet1!$B$6:$C$124,2,FALSE)</f>
        <v>0</v>
      </c>
      <c r="AH935" s="146">
        <f t="shared" si="427"/>
        <v>0</v>
      </c>
      <c r="AI935" s="143">
        <f t="shared" si="428"/>
        <v>0</v>
      </c>
      <c r="AJ935" s="133">
        <f t="shared" si="429"/>
        <v>1</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325</v>
      </c>
      <c r="P936" s="121"/>
      <c r="Q936" s="66"/>
      <c r="R936" s="121"/>
      <c r="S936" s="133">
        <f>M932</f>
        <v>1</v>
      </c>
      <c r="T936" s="120"/>
      <c r="U936" s="121" t="s">
        <v>235</v>
      </c>
      <c r="V936" s="133">
        <f t="shared" si="424"/>
        <v>1</v>
      </c>
      <c r="W936" s="133">
        <f>VLOOKUP(U936,Sheet1!$B$6:$C$45,2,FALSE)*V936</f>
        <v>1.5</v>
      </c>
      <c r="X936" s="141"/>
      <c r="Y936" s="135" t="s">
        <v>493</v>
      </c>
      <c r="Z936" s="146">
        <f>VLOOKUP(Takeoffs!Y936,Sheet1!$B$6:$C$124,2,FALSE)</f>
        <v>1226.28</v>
      </c>
      <c r="AA936" s="146">
        <f t="shared" si="425"/>
        <v>1226.28</v>
      </c>
      <c r="AB936" s="143">
        <f t="shared" si="426"/>
        <v>1</v>
      </c>
      <c r="AC936" s="133">
        <f t="shared" si="431"/>
        <v>1</v>
      </c>
      <c r="AD936" s="142">
        <v>1</v>
      </c>
      <c r="AE936" s="141"/>
      <c r="AF936" s="121" t="s">
        <v>293</v>
      </c>
      <c r="AG936" s="146">
        <f>VLOOKUP(Takeoffs!AF936,Sheet1!$B$6:$C$124,2,FALSE)</f>
        <v>0</v>
      </c>
      <c r="AH936" s="146">
        <f t="shared" si="427"/>
        <v>0</v>
      </c>
      <c r="AI936" s="143">
        <f t="shared" si="428"/>
        <v>0</v>
      </c>
      <c r="AJ936" s="133">
        <f t="shared" si="429"/>
        <v>1</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392</v>
      </c>
      <c r="P937" s="121"/>
      <c r="Q937" s="66"/>
      <c r="R937" s="121"/>
      <c r="S937" s="133">
        <f>M932</f>
        <v>1</v>
      </c>
      <c r="T937" s="120"/>
      <c r="U937" s="121" t="s">
        <v>293</v>
      </c>
      <c r="V937" s="133">
        <f t="shared" si="424"/>
        <v>1</v>
      </c>
      <c r="W937" s="133">
        <f>VLOOKUP(U937,Sheet1!$B$6:$C$45,2,FALSE)*V937</f>
        <v>0</v>
      </c>
      <c r="X937" s="141"/>
      <c r="Y937" s="121" t="s">
        <v>293</v>
      </c>
      <c r="Z937" s="146">
        <f>VLOOKUP(Takeoffs!Y937,Sheet1!$B$6:$C$124,2,FALSE)</f>
        <v>0</v>
      </c>
      <c r="AA937" s="146">
        <f t="shared" si="425"/>
        <v>0</v>
      </c>
      <c r="AB937" s="143">
        <f t="shared" si="426"/>
        <v>1</v>
      </c>
      <c r="AC937" s="133">
        <f t="shared" si="431"/>
        <v>1</v>
      </c>
      <c r="AD937" s="142">
        <v>1</v>
      </c>
      <c r="AE937" s="141"/>
      <c r="AF937" s="122" t="s">
        <v>268</v>
      </c>
      <c r="AG937" s="146">
        <f>VLOOKUP(Takeoffs!AF937,Sheet1!$B$6:$C$124,2,FALSE)</f>
        <v>1.02</v>
      </c>
      <c r="AH937" s="146">
        <f t="shared" si="427"/>
        <v>3.06</v>
      </c>
      <c r="AI937" s="143">
        <f t="shared" si="428"/>
        <v>3</v>
      </c>
      <c r="AJ937" s="133">
        <f t="shared" si="429"/>
        <v>1</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1</v>
      </c>
      <c r="T938" s="120"/>
      <c r="U938" s="121" t="s">
        <v>293</v>
      </c>
      <c r="V938" s="133">
        <f t="shared" si="424"/>
        <v>1</v>
      </c>
      <c r="W938" s="133">
        <f>VLOOKUP(U938,Sheet1!$B$6:$C$45,2,FALSE)*V938</f>
        <v>0</v>
      </c>
      <c r="X938" s="141"/>
      <c r="Y938" s="121" t="s">
        <v>293</v>
      </c>
      <c r="Z938" s="146">
        <f>VLOOKUP(Takeoffs!Y938,Sheet1!$B$6:$C$124,2,FALSE)</f>
        <v>0</v>
      </c>
      <c r="AA938" s="146">
        <f t="shared" si="425"/>
        <v>0</v>
      </c>
      <c r="AB938" s="143">
        <f t="shared" si="426"/>
        <v>1</v>
      </c>
      <c r="AC938" s="133">
        <f t="shared" si="431"/>
        <v>1</v>
      </c>
      <c r="AD938" s="142">
        <v>1</v>
      </c>
      <c r="AE938" s="141"/>
      <c r="AF938" s="121" t="s">
        <v>293</v>
      </c>
      <c r="AG938" s="146">
        <f>VLOOKUP(Takeoffs!AF938,Sheet1!$B$6:$C$124,2,FALSE)</f>
        <v>0</v>
      </c>
      <c r="AH938" s="146">
        <f t="shared" si="427"/>
        <v>0</v>
      </c>
      <c r="AI938" s="143">
        <f t="shared" si="428"/>
        <v>0</v>
      </c>
      <c r="AJ938" s="133">
        <f t="shared" si="429"/>
        <v>1</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1</v>
      </c>
      <c r="T939" s="120"/>
      <c r="U939" s="121" t="s">
        <v>293</v>
      </c>
      <c r="V939" s="133">
        <f t="shared" si="424"/>
        <v>1</v>
      </c>
      <c r="W939" s="133">
        <f>VLOOKUP(U939,Sheet1!$B$6:$C$45,2,FALSE)*V939</f>
        <v>0</v>
      </c>
      <c r="X939" s="141"/>
      <c r="Y939" s="121" t="s">
        <v>293</v>
      </c>
      <c r="Z939" s="146">
        <f>VLOOKUP(Takeoffs!Y939,Sheet1!$B$6:$C$124,2,FALSE)</f>
        <v>0</v>
      </c>
      <c r="AA939" s="146">
        <f t="shared" si="425"/>
        <v>0</v>
      </c>
      <c r="AB939" s="143">
        <f t="shared" si="426"/>
        <v>1</v>
      </c>
      <c r="AC939" s="133">
        <f t="shared" si="431"/>
        <v>1</v>
      </c>
      <c r="AD939" s="142">
        <v>1</v>
      </c>
      <c r="AE939" s="141"/>
      <c r="AF939" s="121" t="s">
        <v>293</v>
      </c>
      <c r="AG939" s="146">
        <f>VLOOKUP(Takeoffs!AF939,Sheet1!$B$6:$C$124,2,FALSE)</f>
        <v>0</v>
      </c>
      <c r="AH939" s="146">
        <f t="shared" si="427"/>
        <v>0</v>
      </c>
      <c r="AI939" s="143">
        <f t="shared" si="428"/>
        <v>0</v>
      </c>
      <c r="AJ939" s="133">
        <f t="shared" si="429"/>
        <v>1</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330</v>
      </c>
      <c r="P940" s="121"/>
      <c r="Q940" s="66"/>
      <c r="R940" s="121"/>
      <c r="S940" s="133">
        <f>M932</f>
        <v>1</v>
      </c>
      <c r="T940" s="120"/>
      <c r="U940" s="121" t="s">
        <v>366</v>
      </c>
      <c r="V940" s="133">
        <f t="shared" si="424"/>
        <v>1</v>
      </c>
      <c r="W940" s="133">
        <f>VLOOKUP(U940,Sheet1!$B$6:$C$45,2,FALSE)*V940</f>
        <v>2</v>
      </c>
      <c r="X940" s="141"/>
      <c r="Y940" s="121" t="s">
        <v>293</v>
      </c>
      <c r="Z940" s="146">
        <f>VLOOKUP(Takeoffs!Y940,Sheet1!$B$6:$C$124,2,FALSE)</f>
        <v>0</v>
      </c>
      <c r="AA940" s="146">
        <f t="shared" si="425"/>
        <v>0</v>
      </c>
      <c r="AB940" s="143">
        <f t="shared" si="426"/>
        <v>1</v>
      </c>
      <c r="AC940" s="133">
        <f t="shared" si="431"/>
        <v>1</v>
      </c>
      <c r="AD940" s="142">
        <v>1</v>
      </c>
      <c r="AE940" s="141"/>
      <c r="AF940" s="121" t="s">
        <v>293</v>
      </c>
      <c r="AG940" s="146">
        <f>VLOOKUP(Takeoffs!AF940,Sheet1!$B$6:$C$124,2,FALSE)</f>
        <v>0</v>
      </c>
      <c r="AH940" s="146">
        <f t="shared" si="427"/>
        <v>0</v>
      </c>
      <c r="AI940" s="143">
        <f t="shared" si="428"/>
        <v>0</v>
      </c>
      <c r="AJ940" s="133">
        <f t="shared" si="429"/>
        <v>1</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1</v>
      </c>
      <c r="T941" s="120"/>
      <c r="U941" s="121" t="s">
        <v>293</v>
      </c>
      <c r="V941" s="133">
        <f t="shared" si="424"/>
        <v>1</v>
      </c>
      <c r="W941" s="133">
        <f>VLOOKUP(U941,Sheet1!$B$6:$C$45,2,FALSE)*V941</f>
        <v>0</v>
      </c>
      <c r="X941" s="141"/>
      <c r="Y941" s="121" t="s">
        <v>293</v>
      </c>
      <c r="Z941" s="146">
        <f>VLOOKUP(Takeoffs!Y941,Sheet1!$B$6:$C$124,2,FALSE)</f>
        <v>0</v>
      </c>
      <c r="AA941" s="146">
        <f t="shared" si="425"/>
        <v>0</v>
      </c>
      <c r="AB941" s="143">
        <f t="shared" si="426"/>
        <v>1</v>
      </c>
      <c r="AC941" s="133">
        <f t="shared" si="431"/>
        <v>1</v>
      </c>
      <c r="AD941" s="142">
        <v>1</v>
      </c>
      <c r="AE941" s="141"/>
      <c r="AF941" s="121" t="s">
        <v>293</v>
      </c>
      <c r="AG941" s="146">
        <f>VLOOKUP(Takeoffs!AF941,Sheet1!$B$6:$C$124,2,FALSE)</f>
        <v>0</v>
      </c>
      <c r="AH941" s="146">
        <f t="shared" si="427"/>
        <v>0</v>
      </c>
      <c r="AI941" s="143">
        <f t="shared" si="428"/>
        <v>0</v>
      </c>
      <c r="AJ941" s="133">
        <f t="shared" si="429"/>
        <v>1</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1</v>
      </c>
      <c r="T942" s="120"/>
      <c r="U942" s="121" t="s">
        <v>293</v>
      </c>
      <c r="V942" s="133">
        <f t="shared" si="424"/>
        <v>1</v>
      </c>
      <c r="W942" s="133">
        <f>VLOOKUP(U942,Sheet1!$B$6:$C$45,2,FALSE)*V942</f>
        <v>0</v>
      </c>
      <c r="X942" s="141"/>
      <c r="Y942" s="121" t="s">
        <v>293</v>
      </c>
      <c r="Z942" s="146">
        <f>VLOOKUP(Takeoffs!Y942,Sheet1!$B$6:$C$124,2,FALSE)</f>
        <v>0</v>
      </c>
      <c r="AA942" s="146">
        <f t="shared" si="425"/>
        <v>0</v>
      </c>
      <c r="AB942" s="143">
        <f t="shared" si="426"/>
        <v>1</v>
      </c>
      <c r="AC942" s="133">
        <f t="shared" si="431"/>
        <v>1</v>
      </c>
      <c r="AD942" s="142">
        <v>1</v>
      </c>
      <c r="AE942" s="141"/>
      <c r="AF942" s="121" t="s">
        <v>293</v>
      </c>
      <c r="AG942" s="146">
        <f>VLOOKUP(Takeoffs!AF942,Sheet1!$B$6:$C$124,2,FALSE)</f>
        <v>0</v>
      </c>
      <c r="AH942" s="146">
        <f t="shared" si="427"/>
        <v>0</v>
      </c>
      <c r="AI942" s="143">
        <f t="shared" si="428"/>
        <v>0</v>
      </c>
      <c r="AJ942" s="133">
        <f t="shared" si="429"/>
        <v>1</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1</v>
      </c>
      <c r="T943" s="120"/>
      <c r="U943" s="121" t="s">
        <v>293</v>
      </c>
      <c r="V943" s="133">
        <f t="shared" si="424"/>
        <v>1</v>
      </c>
      <c r="W943" s="133">
        <f>VLOOKUP(U943,Sheet1!$B$6:$C$45,2,FALSE)*V943</f>
        <v>0</v>
      </c>
      <c r="X943" s="141"/>
      <c r="Y943" s="121" t="s">
        <v>293</v>
      </c>
      <c r="Z943" s="146">
        <f>VLOOKUP(Takeoffs!Y943,Sheet1!$B$6:$C$124,2,FALSE)</f>
        <v>0</v>
      </c>
      <c r="AA943" s="146">
        <f t="shared" si="425"/>
        <v>0</v>
      </c>
      <c r="AB943" s="143">
        <f t="shared" si="426"/>
        <v>1</v>
      </c>
      <c r="AC943" s="133">
        <f t="shared" si="431"/>
        <v>1</v>
      </c>
      <c r="AD943" s="142">
        <v>1</v>
      </c>
      <c r="AE943" s="141"/>
      <c r="AF943" s="121" t="s">
        <v>293</v>
      </c>
      <c r="AG943" s="146">
        <f>VLOOKUP(Takeoffs!AF943,Sheet1!$B$6:$C$124,2,FALSE)</f>
        <v>0</v>
      </c>
      <c r="AH943" s="146">
        <f t="shared" si="427"/>
        <v>0</v>
      </c>
      <c r="AI943" s="143">
        <f t="shared" si="428"/>
        <v>0</v>
      </c>
      <c r="AJ943" s="133">
        <f t="shared" si="429"/>
        <v>1</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1</v>
      </c>
      <c r="T944" s="120"/>
      <c r="U944" s="121" t="s">
        <v>293</v>
      </c>
      <c r="V944" s="133">
        <f t="shared" si="424"/>
        <v>1</v>
      </c>
      <c r="W944" s="133">
        <f>VLOOKUP(U944,Sheet1!$B$6:$C$45,2,FALSE)*V944</f>
        <v>0</v>
      </c>
      <c r="X944" s="141"/>
      <c r="Y944" s="121" t="s">
        <v>293</v>
      </c>
      <c r="Z944" s="146">
        <f>VLOOKUP(Takeoffs!Y944,Sheet1!$B$6:$C$124,2,FALSE)</f>
        <v>0</v>
      </c>
      <c r="AA944" s="146">
        <f t="shared" si="425"/>
        <v>0</v>
      </c>
      <c r="AB944" s="143">
        <f t="shared" si="426"/>
        <v>1</v>
      </c>
      <c r="AC944" s="133">
        <f t="shared" si="431"/>
        <v>1</v>
      </c>
      <c r="AD944" s="142">
        <v>1</v>
      </c>
      <c r="AE944" s="141"/>
      <c r="AF944" s="152" t="s">
        <v>420</v>
      </c>
      <c r="AG944" s="146">
        <f>VLOOKUP(Takeoffs!AF944,Sheet1!$B$6:$C$124,2,FALSE)</f>
        <v>0.33600000000000002</v>
      </c>
      <c r="AH944" s="146">
        <f t="shared" si="427"/>
        <v>0.33600000000000002</v>
      </c>
      <c r="AI944" s="143">
        <f t="shared" si="428"/>
        <v>1</v>
      </c>
      <c r="AJ944" s="133">
        <f t="shared" si="429"/>
        <v>1</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1</v>
      </c>
      <c r="T945" s="120"/>
      <c r="U945" s="121" t="s">
        <v>232</v>
      </c>
      <c r="V945" s="133">
        <f t="shared" si="424"/>
        <v>1</v>
      </c>
      <c r="W945" s="133">
        <f>VLOOKUP(U945,Sheet1!$B$6:$C$45,2,FALSE)*V945</f>
        <v>1</v>
      </c>
      <c r="X945" s="141"/>
      <c r="Y945" s="122" t="s">
        <v>281</v>
      </c>
      <c r="Z945" s="146">
        <f>VLOOKUP(Takeoffs!Y945,Sheet1!$B$6:$C$124,2,FALSE)</f>
        <v>109.25999999999999</v>
      </c>
      <c r="AA945" s="146">
        <f t="shared" si="425"/>
        <v>109.25999999999999</v>
      </c>
      <c r="AB945" s="143">
        <f t="shared" si="426"/>
        <v>1</v>
      </c>
      <c r="AC945" s="133">
        <f t="shared" si="431"/>
        <v>1</v>
      </c>
      <c r="AD945" s="142">
        <v>1</v>
      </c>
      <c r="AE945" s="141"/>
      <c r="AF945" s="121" t="s">
        <v>293</v>
      </c>
      <c r="AG945" s="146">
        <f>VLOOKUP(Takeoffs!AF945,Sheet1!$B$6:$C$124,2,FALSE)</f>
        <v>0</v>
      </c>
      <c r="AH945" s="146">
        <f t="shared" si="427"/>
        <v>0</v>
      </c>
      <c r="AI945" s="143">
        <f t="shared" si="428"/>
        <v>0</v>
      </c>
      <c r="AJ945" s="133">
        <f t="shared" si="429"/>
        <v>1</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347</v>
      </c>
      <c r="P946" s="121" t="s">
        <v>382</v>
      </c>
      <c r="Q946" s="66" t="s">
        <v>386</v>
      </c>
      <c r="R946" s="121"/>
      <c r="S946" s="133">
        <f>M932</f>
        <v>1</v>
      </c>
      <c r="T946" s="120"/>
      <c r="U946" s="121" t="s">
        <v>293</v>
      </c>
      <c r="V946" s="133">
        <f t="shared" si="424"/>
        <v>1</v>
      </c>
      <c r="W946" s="133">
        <f>VLOOKUP(U946,Sheet1!$B$6:$C$45,2,FALSE)*V946</f>
        <v>0</v>
      </c>
      <c r="X946" s="141"/>
      <c r="Y946" s="122" t="s">
        <v>328</v>
      </c>
      <c r="Z946" s="146">
        <f>VLOOKUP(Takeoffs!Y946,Sheet1!$B$6:$C$124,2,FALSE)</f>
        <v>29.04</v>
      </c>
      <c r="AA946" s="146">
        <f t="shared" si="425"/>
        <v>29.04</v>
      </c>
      <c r="AB946" s="143">
        <f t="shared" si="426"/>
        <v>1</v>
      </c>
      <c r="AC946" s="133">
        <f t="shared" si="431"/>
        <v>1</v>
      </c>
      <c r="AD946" s="142">
        <v>1</v>
      </c>
      <c r="AE946" s="141"/>
      <c r="AF946" s="121" t="s">
        <v>293</v>
      </c>
      <c r="AG946" s="146">
        <f>VLOOKUP(Takeoffs!AF946,Sheet1!$B$6:$C$124,2,FALSE)</f>
        <v>0</v>
      </c>
      <c r="AH946" s="146">
        <f t="shared" si="427"/>
        <v>0</v>
      </c>
      <c r="AI946" s="143">
        <f t="shared" si="428"/>
        <v>0</v>
      </c>
      <c r="AJ946" s="133">
        <f t="shared" si="429"/>
        <v>1</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339</v>
      </c>
      <c r="P947" s="121"/>
      <c r="Q947" s="66"/>
      <c r="R947" s="121" t="s">
        <v>333</v>
      </c>
      <c r="S947" s="133">
        <f>M932</f>
        <v>1</v>
      </c>
      <c r="T947" s="120"/>
      <c r="U947" s="121" t="s">
        <v>293</v>
      </c>
      <c r="V947" s="133">
        <f t="shared" si="424"/>
        <v>1</v>
      </c>
      <c r="W947" s="133">
        <f>VLOOKUP(U947,Sheet1!$B$6:$C$45,2,FALSE)*V947</f>
        <v>0</v>
      </c>
      <c r="X947" s="141"/>
      <c r="Y947" s="122" t="s">
        <v>280</v>
      </c>
      <c r="Z947" s="146">
        <f>VLOOKUP(Takeoffs!Y947,Sheet1!$B$6:$C$124,2,FALSE)</f>
        <v>19.2</v>
      </c>
      <c r="AA947" s="146">
        <f t="shared" si="425"/>
        <v>38.4</v>
      </c>
      <c r="AB947" s="143">
        <f t="shared" si="426"/>
        <v>2</v>
      </c>
      <c r="AC947" s="133">
        <f t="shared" si="431"/>
        <v>1</v>
      </c>
      <c r="AD947" s="142">
        <v>2</v>
      </c>
      <c r="AE947" s="141"/>
      <c r="AF947" s="121" t="s">
        <v>293</v>
      </c>
      <c r="AG947" s="146">
        <f>VLOOKUP(Takeoffs!AF947,Sheet1!$B$6:$C$124,2,FALSE)</f>
        <v>0</v>
      </c>
      <c r="AH947" s="146">
        <f t="shared" si="427"/>
        <v>0</v>
      </c>
      <c r="AI947" s="143">
        <f t="shared" si="428"/>
        <v>0</v>
      </c>
      <c r="AJ947" s="133">
        <f t="shared" si="429"/>
        <v>1</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502</v>
      </c>
      <c r="P948" s="121"/>
      <c r="Q948" s="66"/>
      <c r="R948" s="121"/>
      <c r="S948" s="133">
        <f>M932</f>
        <v>1</v>
      </c>
      <c r="T948" s="120"/>
      <c r="U948" s="121" t="s">
        <v>293</v>
      </c>
      <c r="V948" s="133">
        <f t="shared" si="424"/>
        <v>1</v>
      </c>
      <c r="W948" s="133">
        <f>VLOOKUP(U948,Sheet1!$B$6:$C$45,2,FALSE)*V948</f>
        <v>0</v>
      </c>
      <c r="X948" s="141"/>
      <c r="Y948" s="135" t="s">
        <v>424</v>
      </c>
      <c r="Z948" s="146">
        <f>VLOOKUP(Takeoffs!Y948,Sheet1!$B$6:$C$124,2,FALSE)</f>
        <v>23.4</v>
      </c>
      <c r="AA948" s="146">
        <f t="shared" si="425"/>
        <v>23.4</v>
      </c>
      <c r="AB948" s="143">
        <f t="shared" si="426"/>
        <v>1</v>
      </c>
      <c r="AC948" s="133">
        <f t="shared" si="431"/>
        <v>1</v>
      </c>
      <c r="AD948" s="142">
        <v>1</v>
      </c>
      <c r="AE948" s="141"/>
      <c r="AF948" s="121" t="s">
        <v>293</v>
      </c>
      <c r="AG948" s="146">
        <f>VLOOKUP(Takeoffs!AF948,Sheet1!$B$6:$C$124,2,FALSE)</f>
        <v>0</v>
      </c>
      <c r="AH948" s="146">
        <f t="shared" si="427"/>
        <v>0</v>
      </c>
      <c r="AI948" s="143">
        <f t="shared" si="428"/>
        <v>0</v>
      </c>
      <c r="AJ948" s="133">
        <f t="shared" si="429"/>
        <v>1</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331</v>
      </c>
      <c r="P949" s="121"/>
      <c r="Q949" s="66"/>
      <c r="R949" s="121" t="s">
        <v>305</v>
      </c>
      <c r="S949" s="133">
        <f>M932</f>
        <v>1</v>
      </c>
      <c r="T949" s="120"/>
      <c r="U949" s="121" t="s">
        <v>293</v>
      </c>
      <c r="V949" s="133">
        <f t="shared" si="424"/>
        <v>1</v>
      </c>
      <c r="W949" s="133">
        <f>VLOOKUP(U949,Sheet1!$B$6:$C$45,2,FALSE)*V949</f>
        <v>0</v>
      </c>
      <c r="X949" s="141"/>
      <c r="Y949" s="122" t="s">
        <v>277</v>
      </c>
      <c r="Z949" s="146">
        <f>VLOOKUP(Takeoffs!Y949,Sheet1!$B$6:$C$124,2,FALSE)</f>
        <v>69.540000000000006</v>
      </c>
      <c r="AA949" s="146">
        <f t="shared" si="425"/>
        <v>69.540000000000006</v>
      </c>
      <c r="AB949" s="143">
        <f t="shared" si="426"/>
        <v>1</v>
      </c>
      <c r="AC949" s="133">
        <f t="shared" si="431"/>
        <v>1</v>
      </c>
      <c r="AD949" s="142">
        <v>1</v>
      </c>
      <c r="AE949" s="141"/>
      <c r="AF949" s="121" t="s">
        <v>293</v>
      </c>
      <c r="AG949" s="146">
        <f>VLOOKUP(Takeoffs!AF949,Sheet1!$B$6:$C$124,2,FALSE)</f>
        <v>0</v>
      </c>
      <c r="AH949" s="146">
        <f t="shared" si="427"/>
        <v>0</v>
      </c>
      <c r="AI949" s="143">
        <f t="shared" si="428"/>
        <v>0</v>
      </c>
      <c r="AJ949" s="133">
        <f t="shared" si="429"/>
        <v>1</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503</v>
      </c>
      <c r="P950" s="121"/>
      <c r="Q950" s="66"/>
      <c r="R950" s="121"/>
      <c r="S950" s="133">
        <f>M932</f>
        <v>1</v>
      </c>
      <c r="T950" s="120"/>
      <c r="U950" s="121" t="s">
        <v>293</v>
      </c>
      <c r="V950" s="133">
        <f t="shared" si="424"/>
        <v>1</v>
      </c>
      <c r="W950" s="133">
        <f>VLOOKUP(U950,Sheet1!$B$6:$C$45,2,FALSE)*V950</f>
        <v>0</v>
      </c>
      <c r="X950" s="141"/>
      <c r="Y950" s="121" t="s">
        <v>293</v>
      </c>
      <c r="Z950" s="146">
        <f>VLOOKUP(Takeoffs!Y950,Sheet1!$B$6:$C$124,2,FALSE)</f>
        <v>0</v>
      </c>
      <c r="AA950" s="146">
        <f t="shared" si="425"/>
        <v>0</v>
      </c>
      <c r="AB950" s="143">
        <f t="shared" si="426"/>
        <v>1</v>
      </c>
      <c r="AC950" s="133">
        <f t="shared" si="431"/>
        <v>1</v>
      </c>
      <c r="AD950" s="142">
        <v>1</v>
      </c>
      <c r="AE950" s="141"/>
      <c r="AF950" s="121" t="s">
        <v>293</v>
      </c>
      <c r="AG950" s="146">
        <f>VLOOKUP(Takeoffs!AF950,Sheet1!$B$6:$C$124,2,FALSE)</f>
        <v>0</v>
      </c>
      <c r="AH950" s="146">
        <f t="shared" si="427"/>
        <v>0</v>
      </c>
      <c r="AI950" s="143">
        <f t="shared" si="428"/>
        <v>0</v>
      </c>
      <c r="AJ950" s="133">
        <f t="shared" si="429"/>
        <v>1</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409</v>
      </c>
      <c r="P951" s="121"/>
      <c r="Q951" s="66"/>
      <c r="R951" s="121"/>
      <c r="S951" s="133">
        <f>M932</f>
        <v>1</v>
      </c>
      <c r="T951" s="120"/>
      <c r="U951" s="121" t="s">
        <v>293</v>
      </c>
      <c r="V951" s="133">
        <f t="shared" si="424"/>
        <v>1</v>
      </c>
      <c r="W951" s="133">
        <f>VLOOKUP(U951,Sheet1!$B$6:$C$45,2,FALSE)*V951</f>
        <v>0</v>
      </c>
      <c r="X951" s="141"/>
      <c r="Y951" s="121" t="s">
        <v>274</v>
      </c>
      <c r="Z951" s="146">
        <f>VLOOKUP(Takeoffs!Y951,Sheet1!$B$6:$C$124,2,FALSE)</f>
        <v>360</v>
      </c>
      <c r="AA951" s="146">
        <f t="shared" si="425"/>
        <v>360</v>
      </c>
      <c r="AB951" s="143">
        <f t="shared" si="426"/>
        <v>1</v>
      </c>
      <c r="AC951" s="133">
        <f t="shared" si="431"/>
        <v>1</v>
      </c>
      <c r="AD951" s="142">
        <v>1</v>
      </c>
      <c r="AE951" s="141"/>
      <c r="AF951" s="121" t="s">
        <v>293</v>
      </c>
      <c r="AG951" s="146">
        <f>VLOOKUP(Takeoffs!AF951,Sheet1!$B$6:$C$124,2,FALSE)</f>
        <v>0</v>
      </c>
      <c r="AH951" s="146">
        <f t="shared" si="427"/>
        <v>0</v>
      </c>
      <c r="AI951" s="143">
        <f t="shared" si="428"/>
        <v>0</v>
      </c>
      <c r="AJ951" s="133">
        <f t="shared" si="429"/>
        <v>1</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410</v>
      </c>
      <c r="P952" s="121"/>
      <c r="Q952" s="66"/>
      <c r="R952" s="121"/>
      <c r="S952" s="133">
        <f>M932</f>
        <v>1</v>
      </c>
      <c r="T952" s="120"/>
      <c r="U952" s="121" t="s">
        <v>364</v>
      </c>
      <c r="V952" s="133">
        <f t="shared" si="424"/>
        <v>1</v>
      </c>
      <c r="W952" s="133">
        <f>VLOOKUP(U952,Sheet1!$B$6:$C$45,2,FALSE)*V952</f>
        <v>1</v>
      </c>
      <c r="X952" s="141"/>
      <c r="Y952" s="121" t="s">
        <v>293</v>
      </c>
      <c r="Z952" s="146">
        <f>VLOOKUP(Takeoffs!Y952,Sheet1!$B$6:$C$124,2,FALSE)</f>
        <v>0</v>
      </c>
      <c r="AA952" s="146">
        <f t="shared" si="425"/>
        <v>0</v>
      </c>
      <c r="AB952" s="143">
        <f t="shared" si="426"/>
        <v>1</v>
      </c>
      <c r="AC952" s="133">
        <f t="shared" si="431"/>
        <v>1</v>
      </c>
      <c r="AD952" s="142">
        <v>1</v>
      </c>
      <c r="AE952" s="141"/>
      <c r="AF952" s="121" t="s">
        <v>293</v>
      </c>
      <c r="AG952" s="146">
        <f>VLOOKUP(Takeoffs!AF952,Sheet1!$B$6:$C$124,2,FALSE)</f>
        <v>0</v>
      </c>
      <c r="AH952" s="146">
        <f t="shared" si="427"/>
        <v>0</v>
      </c>
      <c r="AI952" s="143">
        <f t="shared" si="428"/>
        <v>0</v>
      </c>
      <c r="AJ952" s="133">
        <f t="shared" si="429"/>
        <v>1</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379</v>
      </c>
      <c r="L953" s="128" t="s">
        <v>380</v>
      </c>
      <c r="N953" s="129"/>
      <c r="O953" s="130" t="s">
        <v>359</v>
      </c>
      <c r="P953" s="131">
        <f>V953+AA953+AH953</f>
        <v>2572.3560000000002</v>
      </c>
      <c r="Q953" s="131"/>
      <c r="R953" s="131"/>
      <c r="S953" s="130"/>
      <c r="T953" s="127"/>
      <c r="U953" s="126" t="s">
        <v>353</v>
      </c>
      <c r="V953" s="127">
        <f>W953*80</f>
        <v>600</v>
      </c>
      <c r="W953" s="147">
        <f>SUM(W932:W952)</f>
        <v>7.5</v>
      </c>
      <c r="X953" s="148"/>
      <c r="Y953" s="127" t="s">
        <v>354</v>
      </c>
      <c r="Z953" s="116"/>
      <c r="AA953" s="116">
        <f>SUM(AA932:AA952)</f>
        <v>1899.3600000000001</v>
      </c>
      <c r="AB953" s="149"/>
      <c r="AC953" s="149"/>
      <c r="AD953" s="149"/>
      <c r="AE953" s="149"/>
      <c r="AF953" s="127" t="s">
        <v>358</v>
      </c>
      <c r="AG953" s="116"/>
      <c r="AH953" s="116">
        <f>SUM(AH932:AH952)</f>
        <v>72.995999999999995</v>
      </c>
      <c r="AI953" s="149"/>
      <c r="AJ953" s="149"/>
      <c r="AK953" s="149"/>
      <c r="AL953" s="149"/>
      <c r="AM953" s="150">
        <f>P953</f>
        <v>2572.3560000000002</v>
      </c>
      <c r="AO953" s="286"/>
      <c r="AP953" s="284">
        <f t="shared" si="418"/>
        <v>0</v>
      </c>
      <c r="AQ953" s="281">
        <f t="shared" si="419"/>
        <v>0</v>
      </c>
      <c r="AR953" s="284">
        <f t="shared" si="420"/>
        <v>0</v>
      </c>
      <c r="AS953" s="281">
        <f t="shared" si="421"/>
        <v>0</v>
      </c>
      <c r="AT953" s="284">
        <f t="shared" si="422"/>
        <v>0</v>
      </c>
    </row>
    <row r="954" spans="1:97" s="234" customFormat="1" ht="216" x14ac:dyDescent="0.8">
      <c r="A954" s="262">
        <f>ROW()</f>
        <v>954</v>
      </c>
      <c r="B954" s="234" t="s">
        <v>494</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v>1</v>
      </c>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one (1)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2572.3560000000002</v>
      </c>
      <c r="L954" s="234" t="str">
        <f>CONCATENATE(Q933,Q934,Q935,Q936,Q937,Q938,Q939,Q940,Q941,Q942,Q943,Q944,Q945,Q946,Q947,Q948,Q949,Q950,Q951,Q952,)</f>
        <v>fire cabling from FIP.</v>
      </c>
      <c r="M954" s="166" t="s">
        <v>369</v>
      </c>
      <c r="N954" s="160" t="str">
        <f>N932</f>
        <v>Large sized VSD fan with fire shutdown - from MSSB power supply and BMS interface provisions</v>
      </c>
      <c r="O954" s="160" t="s">
        <v>367</v>
      </c>
      <c r="P954" s="183">
        <f>P953/M932</f>
        <v>2572.3560000000002</v>
      </c>
      <c r="Q954" s="191"/>
      <c r="R954" s="161"/>
      <c r="S954" s="160"/>
      <c r="T954" s="161"/>
      <c r="U954" s="327" t="s">
        <v>368</v>
      </c>
      <c r="V954" s="327"/>
      <c r="W954" s="162">
        <f>W953/M932</f>
        <v>7.5</v>
      </c>
      <c r="X954" s="163"/>
      <c r="Y954" s="325" t="s">
        <v>367</v>
      </c>
      <c r="Z954" s="325"/>
      <c r="AA954" s="164">
        <f>AA953/M932</f>
        <v>1899.3600000000001</v>
      </c>
      <c r="AB954" s="161"/>
      <c r="AC954" s="161"/>
      <c r="AD954" s="161"/>
      <c r="AE954" s="161"/>
      <c r="AF954" s="325" t="s">
        <v>367</v>
      </c>
      <c r="AG954" s="325"/>
      <c r="AH954" s="164">
        <f>AH953/M932</f>
        <v>72.995999999999995</v>
      </c>
      <c r="AI954" s="161"/>
      <c r="AJ954" s="161"/>
      <c r="AK954" s="161"/>
      <c r="AL954" s="247"/>
      <c r="AM954" s="257"/>
      <c r="AN954" s="236">
        <f>K954*$D$9</f>
        <v>643.08900000000006</v>
      </c>
      <c r="AO954" s="286"/>
      <c r="AP954" s="284">
        <f t="shared" si="418"/>
        <v>2572.3560000000002</v>
      </c>
      <c r="AQ954" s="281">
        <f t="shared" si="419"/>
        <v>600</v>
      </c>
      <c r="AR954" s="284">
        <f t="shared" si="420"/>
        <v>1899.3600000000001</v>
      </c>
      <c r="AS954" s="281">
        <f t="shared" si="421"/>
        <v>72.995999999999995</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494</v>
      </c>
      <c r="D955" s="261" t="str">
        <f>IF(B955="Shopping List",IF(ISNUMBER(SEARCH("MSSB",C955)),"MSSB",IF(ISNUMBER(SEARCH("local",C955)),"LOCAL","")))</f>
        <v/>
      </c>
      <c r="I955" s="269">
        <v>1</v>
      </c>
      <c r="J955" s="261" t="s">
        <v>594</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5">
      <c r="A956" s="262">
        <f>ROW()</f>
        <v>956</v>
      </c>
      <c r="C956" s="211"/>
      <c r="D956" s="211"/>
      <c r="E956" s="211"/>
      <c r="F956" s="211"/>
      <c r="G956" s="211"/>
      <c r="H956" s="211"/>
      <c r="K956" s="116" t="s">
        <v>454</v>
      </c>
      <c r="M956" s="116" t="s">
        <v>107</v>
      </c>
      <c r="N956" s="116" t="s">
        <v>108</v>
      </c>
      <c r="O956" s="170" t="s">
        <v>388</v>
      </c>
      <c r="P956" s="328" t="s">
        <v>377</v>
      </c>
      <c r="Q956" s="328"/>
      <c r="R956" s="101" t="s">
        <v>454</v>
      </c>
      <c r="S956" s="116" t="s">
        <v>0</v>
      </c>
      <c r="T956" s="118"/>
      <c r="U956" s="116" t="s">
        <v>288</v>
      </c>
      <c r="V956" s="116" t="s">
        <v>289</v>
      </c>
      <c r="W956" s="116" t="s">
        <v>292</v>
      </c>
      <c r="X956" s="140"/>
      <c r="Y956" s="116" t="s">
        <v>290</v>
      </c>
      <c r="Z956" s="116" t="s">
        <v>356</v>
      </c>
      <c r="AA956" s="116" t="s">
        <v>357</v>
      </c>
      <c r="AB956" s="116" t="s">
        <v>319</v>
      </c>
      <c r="AC956" s="116" t="s">
        <v>320</v>
      </c>
      <c r="AD956" s="116" t="s">
        <v>318</v>
      </c>
      <c r="AE956" s="140"/>
      <c r="AF956" s="116" t="s">
        <v>294</v>
      </c>
      <c r="AG956" s="116" t="s">
        <v>356</v>
      </c>
      <c r="AH956" s="116" t="s">
        <v>357</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5">
      <c r="A957" s="262">
        <f>ROW()</f>
        <v>957</v>
      </c>
      <c r="C957" s="208"/>
      <c r="D957" s="208"/>
      <c r="E957" s="208"/>
      <c r="F957" s="208"/>
      <c r="G957" s="208"/>
      <c r="H957" s="208"/>
      <c r="L957" s="124" t="str">
        <f>VLOOKUP(M957,Sheet2!$D$2:$E$1024,2,FALSE)</f>
        <v>one</v>
      </c>
      <c r="M957" s="121">
        <f>I979</f>
        <v>1</v>
      </c>
      <c r="N957" s="132" t="s">
        <v>483</v>
      </c>
      <c r="O957" s="121" t="s">
        <v>349</v>
      </c>
      <c r="P957" s="169" t="s">
        <v>381</v>
      </c>
      <c r="Q957" s="169" t="s">
        <v>377</v>
      </c>
      <c r="R957" s="169"/>
      <c r="S957" s="133">
        <f>M957</f>
        <v>1</v>
      </c>
      <c r="T957" s="119"/>
      <c r="U957" s="153" t="s">
        <v>293</v>
      </c>
      <c r="V957" s="133">
        <f>S957</f>
        <v>1</v>
      </c>
      <c r="W957" s="133">
        <f>VLOOKUP(U957,Sheet1!$B$6:$C$45,2,FALSE)*V957</f>
        <v>0</v>
      </c>
      <c r="X957" s="141"/>
      <c r="Y957" s="121" t="s">
        <v>293</v>
      </c>
      <c r="Z957" s="146">
        <f>VLOOKUP(Takeoffs!Y957,Sheet1!$B$6:$C$124,2,FALSE)</f>
        <v>0</v>
      </c>
      <c r="AA957" s="146">
        <f>Z957*AB957</f>
        <v>0</v>
      </c>
      <c r="AB957" s="143">
        <f>AD957*AC957</f>
        <v>1</v>
      </c>
      <c r="AC957" s="133">
        <f>S957</f>
        <v>1</v>
      </c>
      <c r="AD957" s="142">
        <v>1</v>
      </c>
      <c r="AE957" s="141"/>
      <c r="AF957" s="121" t="s">
        <v>293</v>
      </c>
      <c r="AG957" s="146">
        <f>VLOOKUP(Takeoffs!AF957,Sheet1!$B$6:$C$124,2,FALSE)</f>
        <v>0</v>
      </c>
      <c r="AH957" s="146">
        <f>AG957*AI957</f>
        <v>0</v>
      </c>
      <c r="AI957" s="143">
        <f>AK957*AJ957</f>
        <v>0</v>
      </c>
      <c r="AJ957" s="133">
        <f>S957</f>
        <v>1</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1</v>
      </c>
      <c r="T958" s="120"/>
      <c r="U958" s="153" t="s">
        <v>293</v>
      </c>
      <c r="V958" s="133">
        <f t="shared" ref="V958:V977" si="434">S958</f>
        <v>1</v>
      </c>
      <c r="W958" s="133">
        <f>VLOOKUP(U958,Sheet1!$B$6:$C$45,2,FALSE)*V958</f>
        <v>0</v>
      </c>
      <c r="X958" s="141"/>
      <c r="Y958" s="121" t="s">
        <v>293</v>
      </c>
      <c r="Z958" s="146">
        <f>VLOOKUP(Takeoffs!Y958,Sheet1!$B$6:$C$124,2,FALSE)</f>
        <v>0</v>
      </c>
      <c r="AA958" s="146">
        <f t="shared" ref="AA958:AA977" si="435">Z958*AB958</f>
        <v>0</v>
      </c>
      <c r="AB958" s="143">
        <f t="shared" ref="AB958:AB977" si="436">AD958*AC958</f>
        <v>1</v>
      </c>
      <c r="AC958" s="133">
        <f>S958</f>
        <v>1</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1</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1</v>
      </c>
      <c r="T959" s="120"/>
      <c r="U959" s="121" t="s">
        <v>293</v>
      </c>
      <c r="V959" s="133">
        <f t="shared" si="434"/>
        <v>1</v>
      </c>
      <c r="W959" s="133">
        <f>VLOOKUP(U959,Sheet1!$B$6:$C$45,2,FALSE)*V959</f>
        <v>0</v>
      </c>
      <c r="X959" s="141"/>
      <c r="Y959" s="135" t="s">
        <v>250</v>
      </c>
      <c r="Z959" s="146">
        <f>VLOOKUP(Takeoffs!Y959,Sheet1!$B$6:$C$124,2,FALSE)</f>
        <v>43.440000000000005</v>
      </c>
      <c r="AA959" s="146">
        <f t="shared" si="435"/>
        <v>43.440000000000005</v>
      </c>
      <c r="AB959" s="143">
        <f t="shared" si="436"/>
        <v>1</v>
      </c>
      <c r="AC959" s="133">
        <f>S959</f>
        <v>1</v>
      </c>
      <c r="AD959" s="142">
        <v>1</v>
      </c>
      <c r="AE959" s="141"/>
      <c r="AF959" s="121" t="s">
        <v>293</v>
      </c>
      <c r="AG959" s="146">
        <f>VLOOKUP(Takeoffs!AF959,Sheet1!$B$6:$C$124,2,FALSE)</f>
        <v>0</v>
      </c>
      <c r="AH959" s="146">
        <f t="shared" si="437"/>
        <v>0</v>
      </c>
      <c r="AI959" s="143">
        <f t="shared" si="438"/>
        <v>0</v>
      </c>
      <c r="AJ959" s="133">
        <f t="shared" si="439"/>
        <v>1</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471</v>
      </c>
      <c r="P960" s="121"/>
      <c r="Q960" s="66"/>
      <c r="R960" s="121"/>
      <c r="S960" s="133">
        <f>M957</f>
        <v>1</v>
      </c>
      <c r="T960" s="120"/>
      <c r="U960" s="117" t="s">
        <v>481</v>
      </c>
      <c r="V960" s="133">
        <f t="shared" si="434"/>
        <v>1</v>
      </c>
      <c r="W960" s="133">
        <f>VLOOKUP(U960,Sheet1!$B$6:$C$45,2,FALSE)*V960</f>
        <v>2</v>
      </c>
      <c r="X960" s="141"/>
      <c r="Y960" s="121" t="s">
        <v>293</v>
      </c>
      <c r="Z960" s="146">
        <f>VLOOKUP(Takeoffs!Y960,Sheet1!$B$6:$C$124,2,FALSE)</f>
        <v>0</v>
      </c>
      <c r="AA960" s="146">
        <f t="shared" si="435"/>
        <v>0</v>
      </c>
      <c r="AB960" s="143">
        <f t="shared" si="436"/>
        <v>1</v>
      </c>
      <c r="AC960" s="133">
        <f t="shared" ref="AC960:AC977" si="441">S960</f>
        <v>1</v>
      </c>
      <c r="AD960" s="142">
        <v>1</v>
      </c>
      <c r="AE960" s="141"/>
      <c r="AF960" s="122" t="s">
        <v>267</v>
      </c>
      <c r="AG960" s="146">
        <f>VLOOKUP(Takeoffs!AF960,Sheet1!$B$6:$C$124,2,FALSE)</f>
        <v>3.48</v>
      </c>
      <c r="AH960" s="146">
        <f t="shared" si="437"/>
        <v>69.599999999999994</v>
      </c>
      <c r="AI960" s="143">
        <f t="shared" si="438"/>
        <v>20</v>
      </c>
      <c r="AJ960" s="133">
        <f t="shared" si="439"/>
        <v>1</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1</v>
      </c>
      <c r="T961" s="120"/>
      <c r="U961" s="121" t="s">
        <v>293</v>
      </c>
      <c r="V961" s="133">
        <f t="shared" si="434"/>
        <v>1</v>
      </c>
      <c r="W961" s="133">
        <f>VLOOKUP(U961,Sheet1!$B$6:$C$45,2,FALSE)*V961</f>
        <v>0</v>
      </c>
      <c r="X961" s="141"/>
      <c r="Y961" s="121" t="s">
        <v>293</v>
      </c>
      <c r="Z961" s="146">
        <f>VLOOKUP(Takeoffs!Y961,Sheet1!$B$6:$C$124,2,FALSE)</f>
        <v>0</v>
      </c>
      <c r="AA961" s="146">
        <f t="shared" si="435"/>
        <v>0</v>
      </c>
      <c r="AB961" s="143">
        <f t="shared" si="436"/>
        <v>1</v>
      </c>
      <c r="AC961" s="133">
        <f t="shared" si="441"/>
        <v>1</v>
      </c>
      <c r="AD961" s="142">
        <v>1</v>
      </c>
      <c r="AE961" s="141"/>
      <c r="AF961" s="121" t="s">
        <v>293</v>
      </c>
      <c r="AG961" s="146">
        <f>VLOOKUP(Takeoffs!AF961,Sheet1!$B$6:$C$124,2,FALSE)</f>
        <v>0</v>
      </c>
      <c r="AH961" s="146">
        <f t="shared" si="437"/>
        <v>0</v>
      </c>
      <c r="AI961" s="143">
        <f t="shared" si="438"/>
        <v>0</v>
      </c>
      <c r="AJ961" s="133">
        <f t="shared" si="439"/>
        <v>1</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1</v>
      </c>
      <c r="T962" s="120"/>
      <c r="U962" s="121" t="s">
        <v>293</v>
      </c>
      <c r="V962" s="133">
        <f t="shared" si="434"/>
        <v>1</v>
      </c>
      <c r="W962" s="133">
        <f>VLOOKUP(U962,Sheet1!$B$6:$C$45,2,FALSE)*V962</f>
        <v>0</v>
      </c>
      <c r="X962" s="141"/>
      <c r="Y962" s="121" t="s">
        <v>293</v>
      </c>
      <c r="Z962" s="146">
        <f>VLOOKUP(Takeoffs!Y962,Sheet1!$B$6:$C$124,2,FALSE)</f>
        <v>0</v>
      </c>
      <c r="AA962" s="146">
        <f t="shared" si="435"/>
        <v>0</v>
      </c>
      <c r="AB962" s="143">
        <f t="shared" si="436"/>
        <v>1</v>
      </c>
      <c r="AC962" s="133">
        <f t="shared" si="441"/>
        <v>1</v>
      </c>
      <c r="AD962" s="142">
        <v>1</v>
      </c>
      <c r="AE962" s="141"/>
      <c r="AF962" s="121" t="s">
        <v>293</v>
      </c>
      <c r="AG962" s="146">
        <f>VLOOKUP(Takeoffs!AF962,Sheet1!$B$6:$C$124,2,FALSE)</f>
        <v>0</v>
      </c>
      <c r="AH962" s="146">
        <f t="shared" si="437"/>
        <v>0</v>
      </c>
      <c r="AI962" s="143">
        <f t="shared" si="438"/>
        <v>0</v>
      </c>
      <c r="AJ962" s="133">
        <f t="shared" si="439"/>
        <v>1</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1</v>
      </c>
      <c r="T963" s="120"/>
      <c r="U963" s="121" t="s">
        <v>293</v>
      </c>
      <c r="V963" s="133">
        <f t="shared" si="434"/>
        <v>1</v>
      </c>
      <c r="W963" s="133">
        <f>VLOOKUP(U963,Sheet1!$B$6:$C$45,2,FALSE)*V963</f>
        <v>0</v>
      </c>
      <c r="X963" s="141"/>
      <c r="Y963" s="135" t="s">
        <v>245</v>
      </c>
      <c r="Z963" s="146">
        <f>VLOOKUP(Takeoffs!Y963,Sheet1!$B$6:$C$124,2,FALSE)</f>
        <v>46.463999999999999</v>
      </c>
      <c r="AA963" s="146">
        <f t="shared" si="435"/>
        <v>46.463999999999999</v>
      </c>
      <c r="AB963" s="143">
        <f t="shared" si="436"/>
        <v>1</v>
      </c>
      <c r="AC963" s="133">
        <f t="shared" si="441"/>
        <v>1</v>
      </c>
      <c r="AD963" s="142">
        <v>1</v>
      </c>
      <c r="AE963" s="141"/>
      <c r="AF963" s="121" t="s">
        <v>293</v>
      </c>
      <c r="AG963" s="146">
        <f>VLOOKUP(Takeoffs!AF963,Sheet1!$B$6:$C$124,2,FALSE)</f>
        <v>0</v>
      </c>
      <c r="AH963" s="146">
        <f t="shared" si="437"/>
        <v>0</v>
      </c>
      <c r="AI963" s="143">
        <f t="shared" si="438"/>
        <v>0</v>
      </c>
      <c r="AJ963" s="133">
        <f t="shared" si="439"/>
        <v>1</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1</v>
      </c>
      <c r="T964" s="120"/>
      <c r="U964" s="121" t="s">
        <v>293</v>
      </c>
      <c r="V964" s="133">
        <f t="shared" si="434"/>
        <v>1</v>
      </c>
      <c r="W964" s="133">
        <f>VLOOKUP(U964,Sheet1!$B$6:$C$45,2,FALSE)*V964</f>
        <v>0</v>
      </c>
      <c r="X964" s="141"/>
      <c r="Y964" s="121" t="s">
        <v>293</v>
      </c>
      <c r="Z964" s="146">
        <f>VLOOKUP(Takeoffs!Y964,Sheet1!$B$6:$C$124,2,FALSE)</f>
        <v>0</v>
      </c>
      <c r="AA964" s="146">
        <f t="shared" si="435"/>
        <v>0</v>
      </c>
      <c r="AB964" s="143">
        <f t="shared" si="436"/>
        <v>1</v>
      </c>
      <c r="AC964" s="133">
        <f t="shared" si="441"/>
        <v>1</v>
      </c>
      <c r="AD964" s="142">
        <v>1</v>
      </c>
      <c r="AE964" s="141"/>
      <c r="AF964" s="121" t="s">
        <v>293</v>
      </c>
      <c r="AG964" s="146">
        <f>VLOOKUP(Takeoffs!AF964,Sheet1!$B$6:$C$124,2,FALSE)</f>
        <v>0</v>
      </c>
      <c r="AH964" s="146">
        <f t="shared" si="437"/>
        <v>0</v>
      </c>
      <c r="AI964" s="143">
        <f t="shared" si="438"/>
        <v>0</v>
      </c>
      <c r="AJ964" s="133">
        <f t="shared" si="439"/>
        <v>1</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472</v>
      </c>
      <c r="P965" s="121"/>
      <c r="Q965" s="66"/>
      <c r="R965" s="121"/>
      <c r="S965" s="133">
        <f>M957</f>
        <v>1</v>
      </c>
      <c r="T965" s="120"/>
      <c r="U965" s="121" t="s">
        <v>293</v>
      </c>
      <c r="V965" s="133">
        <f t="shared" si="434"/>
        <v>1</v>
      </c>
      <c r="W965" s="133">
        <f>VLOOKUP(U965,Sheet1!$B$6:$C$45,2,FALSE)*V965</f>
        <v>0</v>
      </c>
      <c r="X965" s="141"/>
      <c r="Y965" s="121" t="s">
        <v>274</v>
      </c>
      <c r="Z965" s="146">
        <f>VLOOKUP(Takeoffs!Y965,Sheet1!$B$6:$C$124,2,FALSE)</f>
        <v>360</v>
      </c>
      <c r="AA965" s="146">
        <f t="shared" si="435"/>
        <v>360</v>
      </c>
      <c r="AB965" s="143">
        <f t="shared" si="436"/>
        <v>1</v>
      </c>
      <c r="AC965" s="133">
        <f t="shared" si="441"/>
        <v>1</v>
      </c>
      <c r="AD965" s="142">
        <v>1</v>
      </c>
      <c r="AE965" s="141"/>
      <c r="AF965" s="121" t="s">
        <v>293</v>
      </c>
      <c r="AG965" s="146">
        <f>VLOOKUP(Takeoffs!AF965,Sheet1!$B$6:$C$124,2,FALSE)</f>
        <v>0</v>
      </c>
      <c r="AH965" s="146">
        <f t="shared" si="437"/>
        <v>0</v>
      </c>
      <c r="AI965" s="143">
        <f t="shared" si="438"/>
        <v>0</v>
      </c>
      <c r="AJ965" s="133">
        <f t="shared" si="439"/>
        <v>1</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1</v>
      </c>
      <c r="T966" s="120"/>
      <c r="U966" s="117" t="s">
        <v>366</v>
      </c>
      <c r="V966" s="133">
        <f t="shared" si="434"/>
        <v>1</v>
      </c>
      <c r="W966" s="133">
        <f>VLOOKUP(U966,Sheet1!$B$6:$C$45,2,FALSE)*V966</f>
        <v>2</v>
      </c>
      <c r="X966" s="141"/>
      <c r="Y966" s="121" t="s">
        <v>293</v>
      </c>
      <c r="Z966" s="146">
        <f>VLOOKUP(Takeoffs!Y966,Sheet1!$B$6:$C$124,2,FALSE)</f>
        <v>0</v>
      </c>
      <c r="AA966" s="146">
        <f t="shared" si="435"/>
        <v>0</v>
      </c>
      <c r="AB966" s="143">
        <f t="shared" si="436"/>
        <v>1</v>
      </c>
      <c r="AC966" s="133">
        <f t="shared" si="441"/>
        <v>1</v>
      </c>
      <c r="AD966" s="142">
        <v>1</v>
      </c>
      <c r="AE966" s="141"/>
      <c r="AF966" s="121" t="s">
        <v>293</v>
      </c>
      <c r="AG966" s="146">
        <f>VLOOKUP(Takeoffs!AF966,Sheet1!$B$6:$C$124,2,FALSE)</f>
        <v>0</v>
      </c>
      <c r="AH966" s="146">
        <f t="shared" si="437"/>
        <v>0</v>
      </c>
      <c r="AI966" s="143">
        <f t="shared" si="438"/>
        <v>0</v>
      </c>
      <c r="AJ966" s="133">
        <f t="shared" si="439"/>
        <v>1</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504</v>
      </c>
      <c r="P967" s="121" t="s">
        <v>474</v>
      </c>
      <c r="Q967" s="66" t="s">
        <v>475</v>
      </c>
      <c r="R967" s="121"/>
      <c r="S967" s="133">
        <f>M957</f>
        <v>1</v>
      </c>
      <c r="T967" s="120"/>
      <c r="U967" s="121" t="s">
        <v>293</v>
      </c>
      <c r="V967" s="133">
        <f t="shared" si="434"/>
        <v>1</v>
      </c>
      <c r="W967" s="133">
        <f>VLOOKUP(U967,Sheet1!$B$6:$C$45,2,FALSE)*V967</f>
        <v>0</v>
      </c>
      <c r="X967" s="141"/>
      <c r="Y967" s="135" t="s">
        <v>478</v>
      </c>
      <c r="Z967" s="146">
        <f>VLOOKUP(Takeoffs!Y967,Sheet1!$B$6:$C$124,2,FALSE)</f>
        <v>60</v>
      </c>
      <c r="AA967" s="146">
        <f t="shared" si="435"/>
        <v>180</v>
      </c>
      <c r="AB967" s="143">
        <f t="shared" si="436"/>
        <v>3</v>
      </c>
      <c r="AC967" s="133">
        <f t="shared" si="441"/>
        <v>1</v>
      </c>
      <c r="AD967" s="142">
        <v>3</v>
      </c>
      <c r="AE967" s="141"/>
      <c r="AF967" s="121" t="s">
        <v>293</v>
      </c>
      <c r="AG967" s="146">
        <f>VLOOKUP(Takeoffs!AF967,Sheet1!$B$6:$C$124,2,FALSE)</f>
        <v>0</v>
      </c>
      <c r="AH967" s="146">
        <f t="shared" si="437"/>
        <v>0</v>
      </c>
      <c r="AI967" s="143">
        <f t="shared" si="438"/>
        <v>0</v>
      </c>
      <c r="AJ967" s="133">
        <f t="shared" si="439"/>
        <v>1</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505</v>
      </c>
      <c r="P968" s="121"/>
      <c r="Q968" s="66"/>
      <c r="R968" s="121"/>
      <c r="S968" s="133">
        <f>M957</f>
        <v>1</v>
      </c>
      <c r="T968" s="120"/>
      <c r="U968" s="117" t="s">
        <v>365</v>
      </c>
      <c r="V968" s="133">
        <f t="shared" si="434"/>
        <v>1</v>
      </c>
      <c r="W968" s="133">
        <f>VLOOKUP(U968,Sheet1!$B$6:$C$45,2,FALSE)*V968</f>
        <v>1</v>
      </c>
      <c r="X968" s="141"/>
      <c r="Y968" s="135" t="s">
        <v>480</v>
      </c>
      <c r="Z968" s="146">
        <f>VLOOKUP(Takeoffs!Y968,Sheet1!$B$6:$C$124,2,FALSE)</f>
        <v>180</v>
      </c>
      <c r="AA968" s="146">
        <f t="shared" si="435"/>
        <v>180</v>
      </c>
      <c r="AB968" s="143">
        <f t="shared" si="436"/>
        <v>1</v>
      </c>
      <c r="AC968" s="133">
        <f t="shared" si="441"/>
        <v>1</v>
      </c>
      <c r="AD968" s="142">
        <v>1</v>
      </c>
      <c r="AE968" s="141"/>
      <c r="AF968" s="121" t="s">
        <v>293</v>
      </c>
      <c r="AG968" s="146">
        <f>VLOOKUP(Takeoffs!AF968,Sheet1!$B$6:$C$124,2,FALSE)</f>
        <v>0</v>
      </c>
      <c r="AH968" s="146">
        <f t="shared" si="437"/>
        <v>0</v>
      </c>
      <c r="AI968" s="143">
        <f t="shared" si="438"/>
        <v>0</v>
      </c>
      <c r="AJ968" s="133">
        <f t="shared" si="439"/>
        <v>1</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1</v>
      </c>
      <c r="T969" s="120"/>
      <c r="U969" s="121" t="s">
        <v>293</v>
      </c>
      <c r="V969" s="133">
        <f t="shared" si="434"/>
        <v>1</v>
      </c>
      <c r="W969" s="133">
        <f>VLOOKUP(U969,Sheet1!$B$6:$C$45,2,FALSE)*V969</f>
        <v>0</v>
      </c>
      <c r="X969" s="141"/>
      <c r="Y969" s="121" t="s">
        <v>293</v>
      </c>
      <c r="Z969" s="146">
        <f>VLOOKUP(Takeoffs!Y969,Sheet1!$B$6:$C$124,2,FALSE)</f>
        <v>0</v>
      </c>
      <c r="AA969" s="146">
        <f t="shared" si="435"/>
        <v>0</v>
      </c>
      <c r="AB969" s="143">
        <f t="shared" si="436"/>
        <v>1</v>
      </c>
      <c r="AC969" s="133">
        <f t="shared" si="441"/>
        <v>1</v>
      </c>
      <c r="AD969" s="142">
        <v>1</v>
      </c>
      <c r="AE969" s="141"/>
      <c r="AF969" s="144" t="s">
        <v>269</v>
      </c>
      <c r="AG969" s="146">
        <f>VLOOKUP(Takeoffs!AF969,Sheet1!$B$6:$C$124,2,FALSE)</f>
        <v>1.056</v>
      </c>
      <c r="AH969" s="146">
        <f t="shared" si="437"/>
        <v>21.12</v>
      </c>
      <c r="AI969" s="143">
        <f t="shared" si="438"/>
        <v>20</v>
      </c>
      <c r="AJ969" s="133">
        <f t="shared" si="439"/>
        <v>1</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476</v>
      </c>
      <c r="P970" s="121"/>
      <c r="Q970" s="66"/>
      <c r="R970" s="121"/>
      <c r="S970" s="133">
        <f>M957</f>
        <v>1</v>
      </c>
      <c r="T970" s="120"/>
      <c r="U970" s="135" t="s">
        <v>232</v>
      </c>
      <c r="V970" s="133">
        <f t="shared" si="434"/>
        <v>1</v>
      </c>
      <c r="W970" s="133">
        <f>VLOOKUP(U970,Sheet1!$B$6:$C$45,2,FALSE)*V970</f>
        <v>1</v>
      </c>
      <c r="X970" s="141"/>
      <c r="Y970" s="122" t="s">
        <v>281</v>
      </c>
      <c r="Z970" s="146">
        <f>VLOOKUP(Takeoffs!Y970,Sheet1!$B$6:$C$124,2,FALSE)</f>
        <v>109.25999999999999</v>
      </c>
      <c r="AA970" s="146">
        <f t="shared" si="435"/>
        <v>109.25999999999999</v>
      </c>
      <c r="AB970" s="143">
        <f t="shared" si="436"/>
        <v>1</v>
      </c>
      <c r="AC970" s="133">
        <f t="shared" si="441"/>
        <v>1</v>
      </c>
      <c r="AD970" s="142">
        <v>1</v>
      </c>
      <c r="AE970" s="141"/>
      <c r="AF970" s="121" t="s">
        <v>293</v>
      </c>
      <c r="AG970" s="146">
        <f>VLOOKUP(Takeoffs!AF970,Sheet1!$B$6:$C$124,2,FALSE)</f>
        <v>0</v>
      </c>
      <c r="AH970" s="146">
        <f t="shared" si="437"/>
        <v>0</v>
      </c>
      <c r="AI970" s="143">
        <f t="shared" si="438"/>
        <v>0</v>
      </c>
      <c r="AJ970" s="133">
        <f t="shared" si="439"/>
        <v>1</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473</v>
      </c>
      <c r="P971" s="121"/>
      <c r="Q971" s="66"/>
      <c r="R971" s="121"/>
      <c r="S971" s="133">
        <f>M957</f>
        <v>1</v>
      </c>
      <c r="T971" s="120"/>
      <c r="U971" s="121" t="s">
        <v>293</v>
      </c>
      <c r="V971" s="133">
        <f t="shared" si="434"/>
        <v>1</v>
      </c>
      <c r="W971" s="133">
        <f>VLOOKUP(U971,Sheet1!$B$6:$C$45,2,FALSE)*V971</f>
        <v>0</v>
      </c>
      <c r="X971" s="141"/>
      <c r="Y971" s="121" t="s">
        <v>293</v>
      </c>
      <c r="Z971" s="146">
        <f>VLOOKUP(Takeoffs!Y971,Sheet1!$B$6:$C$124,2,FALSE)</f>
        <v>0</v>
      </c>
      <c r="AA971" s="146">
        <f t="shared" si="435"/>
        <v>0</v>
      </c>
      <c r="AB971" s="143">
        <f t="shared" si="436"/>
        <v>1</v>
      </c>
      <c r="AC971" s="133">
        <f t="shared" si="441"/>
        <v>1</v>
      </c>
      <c r="AD971" s="142">
        <v>1</v>
      </c>
      <c r="AE971" s="141"/>
      <c r="AF971" s="121" t="s">
        <v>293</v>
      </c>
      <c r="AG971" s="146">
        <f>VLOOKUP(Takeoffs!AF971,Sheet1!$B$6:$C$124,2,FALSE)</f>
        <v>0</v>
      </c>
      <c r="AH971" s="146">
        <f t="shared" si="437"/>
        <v>0</v>
      </c>
      <c r="AI971" s="143">
        <f t="shared" si="438"/>
        <v>0</v>
      </c>
      <c r="AJ971" s="133">
        <f t="shared" si="439"/>
        <v>1</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1</v>
      </c>
      <c r="T972" s="120"/>
      <c r="U972" s="121" t="s">
        <v>293</v>
      </c>
      <c r="V972" s="133">
        <f t="shared" si="434"/>
        <v>1</v>
      </c>
      <c r="W972" s="133">
        <f>VLOOKUP(U972,Sheet1!$B$6:$C$45,2,FALSE)*V972</f>
        <v>0</v>
      </c>
      <c r="X972" s="141"/>
      <c r="Y972" s="121" t="s">
        <v>293</v>
      </c>
      <c r="Z972" s="146">
        <f>VLOOKUP(Takeoffs!Y972,Sheet1!$B$6:$C$124,2,FALSE)</f>
        <v>0</v>
      </c>
      <c r="AA972" s="146">
        <f t="shared" si="435"/>
        <v>0</v>
      </c>
      <c r="AB972" s="143">
        <f t="shared" si="436"/>
        <v>1</v>
      </c>
      <c r="AC972" s="133">
        <f t="shared" si="441"/>
        <v>1</v>
      </c>
      <c r="AD972" s="142">
        <v>1</v>
      </c>
      <c r="AE972" s="141"/>
      <c r="AF972" s="121" t="s">
        <v>293</v>
      </c>
      <c r="AG972" s="146">
        <f>VLOOKUP(Takeoffs!AF972,Sheet1!$B$6:$C$124,2,FALSE)</f>
        <v>0</v>
      </c>
      <c r="AH972" s="146">
        <f t="shared" si="437"/>
        <v>0</v>
      </c>
      <c r="AI972" s="143">
        <f t="shared" si="438"/>
        <v>0</v>
      </c>
      <c r="AJ972" s="133">
        <f t="shared" si="439"/>
        <v>1</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477</v>
      </c>
      <c r="P973" s="121"/>
      <c r="Q973" s="66"/>
      <c r="R973" s="121"/>
      <c r="S973" s="133">
        <f>M957</f>
        <v>1</v>
      </c>
      <c r="T973" s="120"/>
      <c r="U973" s="121" t="s">
        <v>293</v>
      </c>
      <c r="V973" s="133">
        <f t="shared" si="434"/>
        <v>1</v>
      </c>
      <c r="W973" s="133">
        <f>VLOOKUP(U973,Sheet1!$B$6:$C$45,2,FALSE)*V973</f>
        <v>0</v>
      </c>
      <c r="X973" s="141"/>
      <c r="Y973" s="122" t="s">
        <v>280</v>
      </c>
      <c r="Z973" s="146">
        <f>VLOOKUP(Takeoffs!Y973,Sheet1!$B$6:$C$124,2,FALSE)</f>
        <v>19.2</v>
      </c>
      <c r="AA973" s="146">
        <f t="shared" si="435"/>
        <v>19.2</v>
      </c>
      <c r="AB973" s="143">
        <f t="shared" si="436"/>
        <v>1</v>
      </c>
      <c r="AC973" s="133">
        <f t="shared" si="441"/>
        <v>1</v>
      </c>
      <c r="AD973" s="142">
        <v>1</v>
      </c>
      <c r="AE973" s="141"/>
      <c r="AF973" s="121" t="s">
        <v>293</v>
      </c>
      <c r="AG973" s="146">
        <f>VLOOKUP(Takeoffs!AF973,Sheet1!$B$6:$C$124,2,FALSE)</f>
        <v>0</v>
      </c>
      <c r="AH973" s="146">
        <f t="shared" si="437"/>
        <v>0</v>
      </c>
      <c r="AI973" s="143">
        <f t="shared" si="438"/>
        <v>0</v>
      </c>
      <c r="AJ973" s="133">
        <f t="shared" si="439"/>
        <v>1</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506</v>
      </c>
      <c r="P974" s="121" t="s">
        <v>474</v>
      </c>
      <c r="Q974" s="66" t="s">
        <v>475</v>
      </c>
      <c r="R974" s="121"/>
      <c r="S974" s="133">
        <f>M957</f>
        <v>1</v>
      </c>
      <c r="T974" s="120"/>
      <c r="U974" s="121" t="s">
        <v>293</v>
      </c>
      <c r="V974" s="133">
        <f t="shared" si="434"/>
        <v>1</v>
      </c>
      <c r="W974" s="133">
        <f>VLOOKUP(U974,Sheet1!$B$6:$C$45,2,FALSE)*V974</f>
        <v>0</v>
      </c>
      <c r="X974" s="141"/>
      <c r="Y974" s="121" t="s">
        <v>293</v>
      </c>
      <c r="Z974" s="146">
        <f>VLOOKUP(Takeoffs!Y974,Sheet1!$B$6:$C$124,2,FALSE)</f>
        <v>0</v>
      </c>
      <c r="AA974" s="146">
        <f t="shared" si="435"/>
        <v>0</v>
      </c>
      <c r="AB974" s="143">
        <f t="shared" si="436"/>
        <v>1</v>
      </c>
      <c r="AC974" s="133">
        <f t="shared" si="441"/>
        <v>1</v>
      </c>
      <c r="AD974" s="142">
        <v>1</v>
      </c>
      <c r="AE974" s="141"/>
      <c r="AF974" s="121" t="s">
        <v>293</v>
      </c>
      <c r="AG974" s="146">
        <f>VLOOKUP(Takeoffs!AF974,Sheet1!$B$6:$C$124,2,FALSE)</f>
        <v>0</v>
      </c>
      <c r="AH974" s="146">
        <f t="shared" si="437"/>
        <v>0</v>
      </c>
      <c r="AI974" s="143">
        <f t="shared" si="438"/>
        <v>0</v>
      </c>
      <c r="AJ974" s="133">
        <f t="shared" si="439"/>
        <v>1</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1</v>
      </c>
      <c r="T975" s="120"/>
      <c r="U975" s="121" t="s">
        <v>293</v>
      </c>
      <c r="V975" s="133">
        <f t="shared" si="434"/>
        <v>1</v>
      </c>
      <c r="W975" s="133">
        <f>VLOOKUP(U975,Sheet1!$B$6:$C$45,2,FALSE)*V975</f>
        <v>0</v>
      </c>
      <c r="X975" s="141"/>
      <c r="Y975" s="121" t="s">
        <v>293</v>
      </c>
      <c r="Z975" s="146">
        <f>VLOOKUP(Takeoffs!Y975,Sheet1!$B$6:$C$124,2,FALSE)</f>
        <v>0</v>
      </c>
      <c r="AA975" s="146">
        <f t="shared" si="435"/>
        <v>0</v>
      </c>
      <c r="AB975" s="143">
        <f t="shared" si="436"/>
        <v>1</v>
      </c>
      <c r="AC975" s="133">
        <f t="shared" si="441"/>
        <v>1</v>
      </c>
      <c r="AD975" s="142">
        <v>1</v>
      </c>
      <c r="AE975" s="141"/>
      <c r="AF975" s="121" t="s">
        <v>293</v>
      </c>
      <c r="AG975" s="146">
        <f>VLOOKUP(Takeoffs!AF975,Sheet1!$B$6:$C$124,2,FALSE)</f>
        <v>0</v>
      </c>
      <c r="AH975" s="146">
        <f t="shared" si="437"/>
        <v>0</v>
      </c>
      <c r="AI975" s="143">
        <f t="shared" si="438"/>
        <v>0</v>
      </c>
      <c r="AJ975" s="133">
        <f t="shared" si="439"/>
        <v>1</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414</v>
      </c>
      <c r="P976" s="121" t="s">
        <v>382</v>
      </c>
      <c r="Q976" s="66" t="s">
        <v>386</v>
      </c>
      <c r="R976" s="121"/>
      <c r="S976" s="133">
        <f>M957</f>
        <v>1</v>
      </c>
      <c r="T976" s="120"/>
      <c r="U976" s="121" t="s">
        <v>293</v>
      </c>
      <c r="V976" s="133">
        <f t="shared" si="434"/>
        <v>1</v>
      </c>
      <c r="W976" s="133">
        <f>VLOOKUP(U976,Sheet1!$B$6:$C$45,2,FALSE)*V976</f>
        <v>0</v>
      </c>
      <c r="X976" s="141"/>
      <c r="Y976" s="122" t="s">
        <v>324</v>
      </c>
      <c r="Z976" s="146">
        <f>VLOOKUP(Takeoffs!Y976,Sheet1!$B$6:$C$124,2,FALSE)</f>
        <v>48</v>
      </c>
      <c r="AA976" s="146">
        <f t="shared" si="435"/>
        <v>48</v>
      </c>
      <c r="AB976" s="143">
        <f t="shared" si="436"/>
        <v>1</v>
      </c>
      <c r="AC976" s="133">
        <f t="shared" si="441"/>
        <v>1</v>
      </c>
      <c r="AD976" s="142">
        <v>1</v>
      </c>
      <c r="AE976" s="141"/>
      <c r="AF976" s="121" t="s">
        <v>293</v>
      </c>
      <c r="AG976" s="146">
        <f>VLOOKUP(Takeoffs!AF976,Sheet1!$B$6:$C$124,2,FALSE)</f>
        <v>0</v>
      </c>
      <c r="AH976" s="146">
        <f t="shared" si="437"/>
        <v>0</v>
      </c>
      <c r="AI976" s="143">
        <f t="shared" si="438"/>
        <v>0</v>
      </c>
      <c r="AJ976" s="133">
        <f t="shared" si="439"/>
        <v>1</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410</v>
      </c>
      <c r="P977" s="121"/>
      <c r="Q977" s="66"/>
      <c r="R977" s="121"/>
      <c r="S977" s="133">
        <f>M957</f>
        <v>1</v>
      </c>
      <c r="T977" s="120"/>
      <c r="U977" s="121" t="s">
        <v>293</v>
      </c>
      <c r="V977" s="133">
        <f t="shared" si="434"/>
        <v>1</v>
      </c>
      <c r="W977" s="133">
        <f>VLOOKUP(U977,Sheet1!$B$6:$C$45,2,FALSE)*V977</f>
        <v>0</v>
      </c>
      <c r="X977" s="141"/>
      <c r="Y977" s="121" t="s">
        <v>293</v>
      </c>
      <c r="Z977" s="146">
        <f>VLOOKUP(Takeoffs!Y977,Sheet1!$B$6:$C$124,2,FALSE)</f>
        <v>0</v>
      </c>
      <c r="AA977" s="146">
        <f t="shared" si="435"/>
        <v>0</v>
      </c>
      <c r="AB977" s="143">
        <f t="shared" si="436"/>
        <v>1</v>
      </c>
      <c r="AC977" s="133">
        <f t="shared" si="441"/>
        <v>1</v>
      </c>
      <c r="AD977" s="142">
        <v>1</v>
      </c>
      <c r="AE977" s="141"/>
      <c r="AF977" s="121" t="s">
        <v>293</v>
      </c>
      <c r="AG977" s="146">
        <f>VLOOKUP(Takeoffs!AF977,Sheet1!$B$6:$C$124,2,FALSE)</f>
        <v>0</v>
      </c>
      <c r="AH977" s="146">
        <f t="shared" si="437"/>
        <v>0</v>
      </c>
      <c r="AI977" s="143">
        <f t="shared" si="438"/>
        <v>0</v>
      </c>
      <c r="AJ977" s="133">
        <f t="shared" si="439"/>
        <v>1</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379</v>
      </c>
      <c r="L978" s="128" t="s">
        <v>380</v>
      </c>
      <c r="N978" s="129"/>
      <c r="O978" s="130" t="s">
        <v>359</v>
      </c>
      <c r="P978" s="155">
        <f>V978+AA978+AH978</f>
        <v>1557.0840000000001</v>
      </c>
      <c r="Q978" s="155"/>
      <c r="R978" s="131"/>
      <c r="S978" s="130"/>
      <c r="T978" s="127"/>
      <c r="U978" s="126" t="s">
        <v>353</v>
      </c>
      <c r="V978" s="127">
        <f>W978*80</f>
        <v>480</v>
      </c>
      <c r="W978" s="147">
        <f>SUM(W957:W977)</f>
        <v>6</v>
      </c>
      <c r="X978" s="148"/>
      <c r="Y978" s="127" t="s">
        <v>354</v>
      </c>
      <c r="Z978" s="116"/>
      <c r="AA978" s="116">
        <f>SUM(AA957:AA977)</f>
        <v>986.36400000000003</v>
      </c>
      <c r="AB978" s="149"/>
      <c r="AC978" s="149"/>
      <c r="AD978" s="149"/>
      <c r="AE978" s="149"/>
      <c r="AF978" s="127" t="s">
        <v>358</v>
      </c>
      <c r="AG978" s="116"/>
      <c r="AH978" s="116">
        <f>SUM(AH957:AH977)</f>
        <v>90.72</v>
      </c>
      <c r="AI978" s="149"/>
      <c r="AJ978" s="149"/>
      <c r="AK978" s="149"/>
      <c r="AL978" s="149"/>
      <c r="AM978" s="150">
        <f>P978</f>
        <v>1557.0840000000001</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494</v>
      </c>
      <c r="C979" s="217" t="str">
        <f>N957</f>
        <v>Electric Duct Heater ( 3 phase with SSR's)</v>
      </c>
      <c r="D979" s="260" t="s">
        <v>681</v>
      </c>
      <c r="E979" s="238"/>
      <c r="F979" s="217"/>
      <c r="G979" s="217"/>
      <c r="H979" s="245">
        <v>28</v>
      </c>
      <c r="I979" s="270">
        <v>1</v>
      </c>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one (1)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1557.0840000000001</v>
      </c>
      <c r="L979" s="235" t="str">
        <f>CONCATENATE(Q958,Q959,Q960,Q961,Q962,Q963,Q964,Q965,Q966,Q967,Q968,Q969,Q970,Q971,Q972,Q973,Q974,Q975,Q976,Q977,)</f>
        <v>cabling from MSSB's to BMS systemcabling from MSSB's to BMS systemfire cabling from FIP.</v>
      </c>
      <c r="M979" s="166" t="s">
        <v>369</v>
      </c>
      <c r="N979" s="160" t="str">
        <f>N957</f>
        <v>Electric Duct Heater ( 3 phase with SSR's)</v>
      </c>
      <c r="O979" s="185" t="s">
        <v>367</v>
      </c>
      <c r="P979" s="203">
        <f>P978/M957</f>
        <v>1557.0840000000001</v>
      </c>
      <c r="Q979" s="195"/>
      <c r="R979" s="188"/>
      <c r="S979" s="160"/>
      <c r="T979" s="161"/>
      <c r="U979" s="327" t="s">
        <v>368</v>
      </c>
      <c r="V979" s="327"/>
      <c r="W979" s="162">
        <f>W978/M957</f>
        <v>6</v>
      </c>
      <c r="X979" s="163"/>
      <c r="Y979" s="325" t="s">
        <v>367</v>
      </c>
      <c r="Z979" s="325"/>
      <c r="AA979" s="164">
        <f>AA978/M957</f>
        <v>986.36400000000003</v>
      </c>
      <c r="AB979" s="161"/>
      <c r="AC979" s="161"/>
      <c r="AD979" s="161"/>
      <c r="AE979" s="161"/>
      <c r="AF979" s="325" t="s">
        <v>367</v>
      </c>
      <c r="AG979" s="325"/>
      <c r="AH979" s="164">
        <f>AH978/M957</f>
        <v>90.72</v>
      </c>
      <c r="AI979" s="161"/>
      <c r="AJ979" s="161"/>
      <c r="AK979" s="161"/>
      <c r="AL979" s="247"/>
      <c r="AM979" s="257"/>
      <c r="AN979" s="230">
        <f>K979*1.25</f>
        <v>1946.355</v>
      </c>
      <c r="AO979" s="286"/>
      <c r="AP979" s="284">
        <f t="shared" si="418"/>
        <v>1557.0840000000001</v>
      </c>
      <c r="AQ979" s="281">
        <f t="shared" si="419"/>
        <v>480</v>
      </c>
      <c r="AR979" s="284">
        <f t="shared" si="420"/>
        <v>986.36400000000003</v>
      </c>
      <c r="AS979" s="281">
        <f t="shared" si="421"/>
        <v>90.72</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454</v>
      </c>
      <c r="M980" s="116" t="s">
        <v>107</v>
      </c>
      <c r="N980" s="116" t="s">
        <v>108</v>
      </c>
      <c r="O980" s="170" t="s">
        <v>388</v>
      </c>
      <c r="P980" s="328" t="s">
        <v>377</v>
      </c>
      <c r="Q980" s="328"/>
      <c r="R980" s="101" t="s">
        <v>454</v>
      </c>
      <c r="S980" s="116" t="s">
        <v>0</v>
      </c>
      <c r="T980" s="118"/>
      <c r="U980" s="116" t="s">
        <v>288</v>
      </c>
      <c r="V980" s="116" t="s">
        <v>289</v>
      </c>
      <c r="W980" s="116" t="s">
        <v>292</v>
      </c>
      <c r="X980" s="140"/>
      <c r="Y980" s="116" t="s">
        <v>290</v>
      </c>
      <c r="Z980" s="116" t="s">
        <v>356</v>
      </c>
      <c r="AA980" s="116" t="s">
        <v>357</v>
      </c>
      <c r="AB980" s="116" t="s">
        <v>319</v>
      </c>
      <c r="AC980" s="116" t="s">
        <v>320</v>
      </c>
      <c r="AD980" s="116" t="s">
        <v>318</v>
      </c>
      <c r="AE980" s="140"/>
      <c r="AF980" s="116" t="s">
        <v>294</v>
      </c>
      <c r="AG980" s="116" t="s">
        <v>356</v>
      </c>
      <c r="AH980" s="116" t="s">
        <v>357</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one</v>
      </c>
      <c r="M981" s="121">
        <f>I1003</f>
        <v>1</v>
      </c>
      <c r="N981" s="132" t="s">
        <v>554</v>
      </c>
      <c r="O981" s="121" t="s">
        <v>349</v>
      </c>
      <c r="P981" s="169" t="s">
        <v>381</v>
      </c>
      <c r="Q981" s="169" t="s">
        <v>377</v>
      </c>
      <c r="R981" s="169"/>
      <c r="S981" s="133">
        <f>M981</f>
        <v>1</v>
      </c>
      <c r="T981" s="119"/>
      <c r="U981" s="153" t="s">
        <v>293</v>
      </c>
      <c r="V981" s="133">
        <f>S981</f>
        <v>1</v>
      </c>
      <c r="W981" s="133">
        <f>VLOOKUP(U981,Sheet1!$B$6:$C$45,2,FALSE)*V981</f>
        <v>0</v>
      </c>
      <c r="X981" s="141"/>
      <c r="Y981" s="121" t="s">
        <v>293</v>
      </c>
      <c r="Z981" s="146">
        <f>VLOOKUP(Takeoffs!Y981,Sheet1!$B$6:$C$124,2,FALSE)</f>
        <v>0</v>
      </c>
      <c r="AA981" s="146">
        <f>Z981*AB981</f>
        <v>0</v>
      </c>
      <c r="AB981" s="143">
        <f>AD981*AC981</f>
        <v>1</v>
      </c>
      <c r="AC981" s="133">
        <f>S981</f>
        <v>1</v>
      </c>
      <c r="AD981" s="142">
        <v>1</v>
      </c>
      <c r="AE981" s="141"/>
      <c r="AF981" s="121" t="s">
        <v>293</v>
      </c>
      <c r="AG981" s="146">
        <f>VLOOKUP(Takeoffs!AF981,Sheet1!$B$6:$C$124,2,FALSE)</f>
        <v>0</v>
      </c>
      <c r="AH981" s="146">
        <f>AG981*AI981</f>
        <v>0</v>
      </c>
      <c r="AI981" s="143">
        <f>AK981*AJ981</f>
        <v>0</v>
      </c>
      <c r="AJ981" s="133">
        <f>S981</f>
        <v>1</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413</v>
      </c>
      <c r="P982" s="121"/>
      <c r="Q982" s="121"/>
      <c r="R982" s="121"/>
      <c r="S982" s="133">
        <f>M981</f>
        <v>1</v>
      </c>
      <c r="T982" s="120"/>
      <c r="U982" s="121" t="s">
        <v>235</v>
      </c>
      <c r="V982" s="133">
        <f t="shared" ref="V982:V1001" si="448">S982</f>
        <v>1</v>
      </c>
      <c r="W982" s="133">
        <f>VLOOKUP(U982,Sheet1!$B$6:$C$45,2,FALSE)*V982</f>
        <v>1.5</v>
      </c>
      <c r="X982" s="141"/>
      <c r="Y982" s="121" t="s">
        <v>293</v>
      </c>
      <c r="Z982" s="146">
        <f>VLOOKUP(Takeoffs!Y982,Sheet1!$B$6:$C$124,2,FALSE)</f>
        <v>0</v>
      </c>
      <c r="AA982" s="146">
        <f t="shared" ref="AA982:AA1001" si="449">Z982*AB982</f>
        <v>0</v>
      </c>
      <c r="AB982" s="143">
        <f t="shared" ref="AB982:AB1001" si="450">AD982*AC982</f>
        <v>1</v>
      </c>
      <c r="AC982" s="133">
        <f t="shared" ref="AC982:AC1001" si="451">S982</f>
        <v>1</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1</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555</v>
      </c>
      <c r="P983" s="121"/>
      <c r="Q983" s="121"/>
      <c r="R983" s="121"/>
      <c r="S983" s="133">
        <f>M981*2</f>
        <v>2</v>
      </c>
      <c r="T983" s="120"/>
      <c r="U983" s="121" t="s">
        <v>293</v>
      </c>
      <c r="V983" s="133">
        <f t="shared" si="448"/>
        <v>2</v>
      </c>
      <c r="W983" s="133">
        <f>VLOOKUP(U983,Sheet1!$B$6:$C$45,2,FALSE)*V983</f>
        <v>0</v>
      </c>
      <c r="X983" s="141"/>
      <c r="Y983" s="122" t="s">
        <v>252</v>
      </c>
      <c r="Z983" s="146">
        <f>VLOOKUP(Takeoffs!Y983,Sheet1!$B$6:$C$124,2,FALSE)</f>
        <v>43.440000000000005</v>
      </c>
      <c r="AA983" s="146">
        <f t="shared" si="449"/>
        <v>86.88000000000001</v>
      </c>
      <c r="AB983" s="143">
        <f t="shared" si="450"/>
        <v>2</v>
      </c>
      <c r="AC983" s="133">
        <f t="shared" si="451"/>
        <v>2</v>
      </c>
      <c r="AD983" s="142">
        <v>1</v>
      </c>
      <c r="AE983" s="141"/>
      <c r="AF983" s="121" t="s">
        <v>293</v>
      </c>
      <c r="AG983" s="146">
        <f>VLOOKUP(Takeoffs!AF983,Sheet1!$B$6:$C$124,2,FALSE)</f>
        <v>0</v>
      </c>
      <c r="AH983" s="146">
        <f t="shared" si="452"/>
        <v>0</v>
      </c>
      <c r="AI983" s="143">
        <f t="shared" si="453"/>
        <v>0</v>
      </c>
      <c r="AJ983" s="133">
        <f t="shared" si="454"/>
        <v>2</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556</v>
      </c>
      <c r="P984" s="121"/>
      <c r="Q984" s="121"/>
      <c r="R984" s="121"/>
      <c r="S984" s="133">
        <f>M981*2</f>
        <v>2</v>
      </c>
      <c r="T984" s="120"/>
      <c r="U984" s="117" t="s">
        <v>481</v>
      </c>
      <c r="V984" s="133">
        <f t="shared" si="448"/>
        <v>2</v>
      </c>
      <c r="W984" s="133">
        <f>VLOOKUP(U984,Sheet1!$B$6:$C$45,2,FALSE)*V984</f>
        <v>4</v>
      </c>
      <c r="X984" s="141"/>
      <c r="Y984" s="121" t="s">
        <v>293</v>
      </c>
      <c r="Z984" s="146">
        <f>VLOOKUP(Takeoffs!Y984,Sheet1!$B$6:$C$124,2,FALSE)</f>
        <v>0</v>
      </c>
      <c r="AA984" s="146">
        <f t="shared" si="449"/>
        <v>0</v>
      </c>
      <c r="AB984" s="143">
        <f t="shared" si="450"/>
        <v>2</v>
      </c>
      <c r="AC984" s="133">
        <f t="shared" si="451"/>
        <v>2</v>
      </c>
      <c r="AD984" s="142">
        <v>1</v>
      </c>
      <c r="AE984" s="141"/>
      <c r="AF984" s="122" t="s">
        <v>267</v>
      </c>
      <c r="AG984" s="146">
        <f>VLOOKUP(Takeoffs!AF984,Sheet1!$B$6:$C$124,2,FALSE)</f>
        <v>3.48</v>
      </c>
      <c r="AH984" s="146">
        <f t="shared" si="452"/>
        <v>139.19999999999999</v>
      </c>
      <c r="AI984" s="143">
        <f t="shared" si="453"/>
        <v>40</v>
      </c>
      <c r="AJ984" s="133">
        <f t="shared" si="454"/>
        <v>2</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557</v>
      </c>
      <c r="P985" s="121"/>
      <c r="Q985" s="121"/>
      <c r="R985" s="121"/>
      <c r="S985" s="133">
        <f>M981*2</f>
        <v>2</v>
      </c>
      <c r="T985" s="120"/>
      <c r="U985" s="121" t="s">
        <v>293</v>
      </c>
      <c r="V985" s="133">
        <f t="shared" si="448"/>
        <v>2</v>
      </c>
      <c r="W985" s="133">
        <f>VLOOKUP(U985,Sheet1!$B$6:$C$45,2,FALSE)*V985</f>
        <v>0</v>
      </c>
      <c r="X985" s="141"/>
      <c r="Y985" s="135" t="s">
        <v>549</v>
      </c>
      <c r="Z985" s="146">
        <f>VLOOKUP(Takeoffs!Y985,Sheet1!$B$6:$C$124,2,FALSE)</f>
        <v>865.92</v>
      </c>
      <c r="AA985" s="146">
        <f t="shared" si="449"/>
        <v>1731.84</v>
      </c>
      <c r="AB985" s="143">
        <f t="shared" si="450"/>
        <v>2</v>
      </c>
      <c r="AC985" s="133">
        <f t="shared" si="451"/>
        <v>2</v>
      </c>
      <c r="AD985" s="142">
        <v>1</v>
      </c>
      <c r="AE985" s="141"/>
      <c r="AF985" s="121" t="s">
        <v>293</v>
      </c>
      <c r="AG985" s="146">
        <f>VLOOKUP(Takeoffs!AF985,Sheet1!$B$6:$C$124,2,FALSE)</f>
        <v>0</v>
      </c>
      <c r="AH985" s="146">
        <f t="shared" si="452"/>
        <v>0</v>
      </c>
      <c r="AI985" s="143">
        <f t="shared" si="453"/>
        <v>0</v>
      </c>
      <c r="AJ985" s="133">
        <f t="shared" si="454"/>
        <v>2</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558</v>
      </c>
      <c r="P986" s="121"/>
      <c r="Q986" s="121"/>
      <c r="R986" s="121"/>
      <c r="S986" s="133">
        <f>M981*2</f>
        <v>2</v>
      </c>
      <c r="T986" s="120"/>
      <c r="U986" s="121" t="s">
        <v>293</v>
      </c>
      <c r="V986" s="133">
        <f t="shared" si="448"/>
        <v>2</v>
      </c>
      <c r="W986" s="133">
        <f>VLOOKUP(U986,Sheet1!$B$6:$C$45,2,FALSE)*V986</f>
        <v>0</v>
      </c>
      <c r="X986" s="141"/>
      <c r="Y986" s="121" t="s">
        <v>293</v>
      </c>
      <c r="Z986" s="146">
        <f>VLOOKUP(Takeoffs!Y986,Sheet1!$B$6:$C$124,2,FALSE)</f>
        <v>0</v>
      </c>
      <c r="AA986" s="146">
        <f t="shared" si="449"/>
        <v>0</v>
      </c>
      <c r="AB986" s="143">
        <f t="shared" si="450"/>
        <v>2</v>
      </c>
      <c r="AC986" s="133">
        <f t="shared" si="451"/>
        <v>2</v>
      </c>
      <c r="AD986" s="142">
        <v>1</v>
      </c>
      <c r="AE986" s="141"/>
      <c r="AF986" s="122" t="s">
        <v>267</v>
      </c>
      <c r="AG986" s="146">
        <f>VLOOKUP(Takeoffs!AF986,Sheet1!$B$6:$C$124,2,FALSE)</f>
        <v>3.48</v>
      </c>
      <c r="AH986" s="146">
        <f t="shared" si="452"/>
        <v>20.88</v>
      </c>
      <c r="AI986" s="143">
        <f t="shared" si="453"/>
        <v>6</v>
      </c>
      <c r="AJ986" s="133">
        <f t="shared" si="454"/>
        <v>2</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559</v>
      </c>
      <c r="P987" s="121"/>
      <c r="Q987" s="121"/>
      <c r="R987" s="121"/>
      <c r="S987" s="133">
        <f>M981*2</f>
        <v>2</v>
      </c>
      <c r="T987" s="120"/>
      <c r="U987" s="121" t="s">
        <v>293</v>
      </c>
      <c r="V987" s="133">
        <f t="shared" si="448"/>
        <v>2</v>
      </c>
      <c r="W987" s="133">
        <f>VLOOKUP(U987,Sheet1!$B$6:$C$45,2,FALSE)*V987</f>
        <v>0</v>
      </c>
      <c r="X987" s="141"/>
      <c r="Y987" s="122" t="s">
        <v>245</v>
      </c>
      <c r="Z987" s="146">
        <f>VLOOKUP(Takeoffs!Y987,Sheet1!$B$6:$C$124,2,FALSE)</f>
        <v>46.463999999999999</v>
      </c>
      <c r="AA987" s="146">
        <f t="shared" si="449"/>
        <v>92.927999999999997</v>
      </c>
      <c r="AB987" s="143">
        <f t="shared" si="450"/>
        <v>2</v>
      </c>
      <c r="AC987" s="133">
        <f t="shared" si="451"/>
        <v>2</v>
      </c>
      <c r="AD987" s="142">
        <v>1</v>
      </c>
      <c r="AE987" s="141"/>
      <c r="AF987" s="121" t="s">
        <v>293</v>
      </c>
      <c r="AG987" s="146">
        <f>VLOOKUP(Takeoffs!AF987,Sheet1!$B$6:$C$124,2,FALSE)</f>
        <v>0</v>
      </c>
      <c r="AH987" s="146">
        <f t="shared" si="452"/>
        <v>0</v>
      </c>
      <c r="AI987" s="143">
        <f t="shared" si="453"/>
        <v>0</v>
      </c>
      <c r="AJ987" s="133">
        <f t="shared" si="454"/>
        <v>2</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1</v>
      </c>
      <c r="T988" s="120"/>
      <c r="U988" s="121" t="s">
        <v>293</v>
      </c>
      <c r="V988" s="133">
        <f t="shared" si="448"/>
        <v>1</v>
      </c>
      <c r="W988" s="133">
        <f>VLOOKUP(U988,Sheet1!$B$6:$C$45,2,FALSE)*V988</f>
        <v>0</v>
      </c>
      <c r="X988" s="141"/>
      <c r="Y988" s="122" t="s">
        <v>278</v>
      </c>
      <c r="Z988" s="146">
        <f>VLOOKUP(Takeoffs!Y988,Sheet1!$B$6:$C$124,2,FALSE)</f>
        <v>36</v>
      </c>
      <c r="AA988" s="146">
        <f t="shared" si="449"/>
        <v>36</v>
      </c>
      <c r="AB988" s="143">
        <f t="shared" si="450"/>
        <v>1</v>
      </c>
      <c r="AC988" s="133">
        <f t="shared" si="451"/>
        <v>1</v>
      </c>
      <c r="AD988" s="142">
        <v>1</v>
      </c>
      <c r="AE988" s="141"/>
      <c r="AF988" s="121" t="s">
        <v>293</v>
      </c>
      <c r="AG988" s="146">
        <f>VLOOKUP(Takeoffs!AF988,Sheet1!$B$6:$C$124,2,FALSE)</f>
        <v>0</v>
      </c>
      <c r="AH988" s="146">
        <f t="shared" si="452"/>
        <v>0</v>
      </c>
      <c r="AI988" s="143">
        <f t="shared" si="453"/>
        <v>0</v>
      </c>
      <c r="AJ988" s="133">
        <f t="shared" si="454"/>
        <v>1</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560</v>
      </c>
      <c r="P989" s="121"/>
      <c r="Q989" s="121"/>
      <c r="R989" s="121"/>
      <c r="S989" s="133">
        <f>M981*2</f>
        <v>2</v>
      </c>
      <c r="T989" s="120"/>
      <c r="U989" s="121" t="s">
        <v>293</v>
      </c>
      <c r="V989" s="133">
        <f t="shared" si="448"/>
        <v>2</v>
      </c>
      <c r="W989" s="133">
        <f>VLOOKUP(U989,Sheet1!$B$6:$C$45,2,FALSE)*V989</f>
        <v>0</v>
      </c>
      <c r="X989" s="141"/>
      <c r="Y989" s="122" t="s">
        <v>274</v>
      </c>
      <c r="Z989" s="146">
        <f>VLOOKUP(Takeoffs!Y989,Sheet1!$B$6:$C$124,2,FALSE)</f>
        <v>360</v>
      </c>
      <c r="AA989" s="146">
        <f t="shared" si="449"/>
        <v>720</v>
      </c>
      <c r="AB989" s="143">
        <f t="shared" si="450"/>
        <v>2</v>
      </c>
      <c r="AC989" s="133">
        <f t="shared" si="451"/>
        <v>2</v>
      </c>
      <c r="AD989" s="142">
        <v>1</v>
      </c>
      <c r="AE989" s="141"/>
      <c r="AF989" s="121" t="s">
        <v>293</v>
      </c>
      <c r="AG989" s="146">
        <f>VLOOKUP(Takeoffs!AF989,Sheet1!$B$6:$C$124,2,FALSE)</f>
        <v>0</v>
      </c>
      <c r="AH989" s="146">
        <f t="shared" si="452"/>
        <v>0</v>
      </c>
      <c r="AI989" s="143">
        <f t="shared" si="453"/>
        <v>0</v>
      </c>
      <c r="AJ989" s="133">
        <f t="shared" si="454"/>
        <v>2</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1</v>
      </c>
      <c r="T990" s="120"/>
      <c r="U990" s="121" t="s">
        <v>366</v>
      </c>
      <c r="V990" s="133">
        <f t="shared" si="448"/>
        <v>1</v>
      </c>
      <c r="W990" s="133">
        <f>VLOOKUP(U990,Sheet1!$B$6:$C$45,2,FALSE)*V990</f>
        <v>2</v>
      </c>
      <c r="X990" s="141"/>
      <c r="Y990" s="121" t="s">
        <v>293</v>
      </c>
      <c r="Z990" s="146">
        <f>VLOOKUP(Takeoffs!Y990,Sheet1!$B$6:$C$124,2,FALSE)</f>
        <v>0</v>
      </c>
      <c r="AA990" s="146">
        <f t="shared" si="449"/>
        <v>0</v>
      </c>
      <c r="AB990" s="143">
        <f t="shared" si="450"/>
        <v>1</v>
      </c>
      <c r="AC990" s="133">
        <f t="shared" si="451"/>
        <v>1</v>
      </c>
      <c r="AD990" s="142">
        <v>1</v>
      </c>
      <c r="AE990" s="141"/>
      <c r="AF990" s="121" t="s">
        <v>293</v>
      </c>
      <c r="AG990" s="146">
        <f>VLOOKUP(Takeoffs!AF990,Sheet1!$B$6:$C$124,2,FALSE)</f>
        <v>0</v>
      </c>
      <c r="AH990" s="146">
        <f t="shared" si="452"/>
        <v>0</v>
      </c>
      <c r="AI990" s="143">
        <f t="shared" si="453"/>
        <v>0</v>
      </c>
      <c r="AJ990" s="133">
        <f t="shared" si="454"/>
        <v>1</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1</v>
      </c>
      <c r="T991" s="120"/>
      <c r="U991" s="121" t="s">
        <v>293</v>
      </c>
      <c r="V991" s="133">
        <f t="shared" si="448"/>
        <v>1</v>
      </c>
      <c r="W991" s="133">
        <f>VLOOKUP(U991,Sheet1!$B$6:$C$45,2,FALSE)*V991</f>
        <v>0</v>
      </c>
      <c r="X991" s="141"/>
      <c r="Y991" s="121" t="s">
        <v>293</v>
      </c>
      <c r="Z991" s="146">
        <f>VLOOKUP(Takeoffs!Y991,Sheet1!$B$6:$C$124,2,FALSE)</f>
        <v>0</v>
      </c>
      <c r="AA991" s="146">
        <f t="shared" si="449"/>
        <v>0</v>
      </c>
      <c r="AB991" s="143">
        <f t="shared" si="450"/>
        <v>1</v>
      </c>
      <c r="AC991" s="133">
        <f t="shared" si="451"/>
        <v>1</v>
      </c>
      <c r="AD991" s="142">
        <v>1</v>
      </c>
      <c r="AE991" s="141"/>
      <c r="AF991" s="121" t="s">
        <v>293</v>
      </c>
      <c r="AG991" s="146">
        <f>VLOOKUP(Takeoffs!AF991,Sheet1!$B$6:$C$124,2,FALSE)</f>
        <v>0</v>
      </c>
      <c r="AH991" s="146">
        <f t="shared" si="452"/>
        <v>0</v>
      </c>
      <c r="AI991" s="143">
        <f t="shared" si="453"/>
        <v>0</v>
      </c>
      <c r="AJ991" s="133">
        <f t="shared" si="454"/>
        <v>1</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1</v>
      </c>
      <c r="T992" s="120"/>
      <c r="U992" s="121" t="s">
        <v>293</v>
      </c>
      <c r="V992" s="133">
        <f t="shared" si="448"/>
        <v>1</v>
      </c>
      <c r="W992" s="133">
        <f>VLOOKUP(U992,Sheet1!$B$6:$C$45,2,FALSE)*V992</f>
        <v>0</v>
      </c>
      <c r="X992" s="141"/>
      <c r="Y992" s="121" t="s">
        <v>293</v>
      </c>
      <c r="Z992" s="146">
        <f>VLOOKUP(Takeoffs!Y992,Sheet1!$B$6:$C$124,2,FALSE)</f>
        <v>0</v>
      </c>
      <c r="AA992" s="146">
        <f t="shared" si="449"/>
        <v>0</v>
      </c>
      <c r="AB992" s="143">
        <f t="shared" si="450"/>
        <v>1</v>
      </c>
      <c r="AC992" s="133">
        <f t="shared" si="451"/>
        <v>1</v>
      </c>
      <c r="AD992" s="142">
        <v>1</v>
      </c>
      <c r="AE992" s="141"/>
      <c r="AF992" s="121" t="s">
        <v>293</v>
      </c>
      <c r="AG992" s="146">
        <f>VLOOKUP(Takeoffs!AF992,Sheet1!$B$6:$C$124,2,FALSE)</f>
        <v>0</v>
      </c>
      <c r="AH992" s="146">
        <f t="shared" si="452"/>
        <v>0</v>
      </c>
      <c r="AI992" s="143">
        <f t="shared" si="453"/>
        <v>0</v>
      </c>
      <c r="AJ992" s="133">
        <f t="shared" si="454"/>
        <v>1</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1</v>
      </c>
      <c r="T993" s="120"/>
      <c r="U993" s="121" t="s">
        <v>365</v>
      </c>
      <c r="V993" s="133">
        <f t="shared" si="448"/>
        <v>1</v>
      </c>
      <c r="W993" s="133">
        <f>VLOOKUP(U993,Sheet1!$B$6:$C$45,2,FALSE)*V993</f>
        <v>1</v>
      </c>
      <c r="X993" s="141"/>
      <c r="Y993" s="121" t="s">
        <v>293</v>
      </c>
      <c r="Z993" s="146">
        <f>VLOOKUP(Takeoffs!Y993,Sheet1!$B$6:$C$124,2,FALSE)</f>
        <v>0</v>
      </c>
      <c r="AA993" s="146">
        <f t="shared" si="449"/>
        <v>0</v>
      </c>
      <c r="AB993" s="143">
        <f t="shared" si="450"/>
        <v>1</v>
      </c>
      <c r="AC993" s="133">
        <f t="shared" si="451"/>
        <v>1</v>
      </c>
      <c r="AD993" s="142">
        <v>1</v>
      </c>
      <c r="AE993" s="141"/>
      <c r="AF993" s="144" t="s">
        <v>269</v>
      </c>
      <c r="AG993" s="146">
        <f>VLOOKUP(Takeoffs!AF993,Sheet1!$B$6:$C$124,2,FALSE)</f>
        <v>1.056</v>
      </c>
      <c r="AH993" s="146">
        <f t="shared" si="452"/>
        <v>31.68</v>
      </c>
      <c r="AI993" s="143">
        <f t="shared" si="453"/>
        <v>30</v>
      </c>
      <c r="AJ993" s="133">
        <f t="shared" si="454"/>
        <v>1</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2</v>
      </c>
      <c r="T994" s="120"/>
      <c r="U994" s="121" t="s">
        <v>232</v>
      </c>
      <c r="V994" s="133">
        <f t="shared" si="448"/>
        <v>2</v>
      </c>
      <c r="W994" s="133">
        <f>VLOOKUP(U994,Sheet1!$B$6:$C$45,2,FALSE)*V994</f>
        <v>2</v>
      </c>
      <c r="X994" s="141"/>
      <c r="Y994" s="122" t="s">
        <v>281</v>
      </c>
      <c r="Z994" s="146">
        <f>VLOOKUP(Takeoffs!Y994,Sheet1!$B$6:$C$124,2,FALSE)</f>
        <v>109.25999999999999</v>
      </c>
      <c r="AA994" s="146">
        <f t="shared" si="449"/>
        <v>218.51999999999998</v>
      </c>
      <c r="AB994" s="143">
        <f t="shared" si="450"/>
        <v>2</v>
      </c>
      <c r="AC994" s="133">
        <f t="shared" si="451"/>
        <v>2</v>
      </c>
      <c r="AD994" s="142">
        <v>1</v>
      </c>
      <c r="AE994" s="141"/>
      <c r="AF994" s="121" t="s">
        <v>293</v>
      </c>
      <c r="AG994" s="146">
        <f>VLOOKUP(Takeoffs!AF994,Sheet1!$B$6:$C$124,2,FALSE)</f>
        <v>0</v>
      </c>
      <c r="AH994" s="146">
        <f t="shared" si="452"/>
        <v>0</v>
      </c>
      <c r="AI994" s="143">
        <f t="shared" si="453"/>
        <v>0</v>
      </c>
      <c r="AJ994" s="133">
        <f t="shared" si="454"/>
        <v>2</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1</v>
      </c>
      <c r="T995" s="120"/>
      <c r="U995" s="121" t="s">
        <v>365</v>
      </c>
      <c r="V995" s="133">
        <f t="shared" si="448"/>
        <v>1</v>
      </c>
      <c r="W995" s="133">
        <f>VLOOKUP(U995,Sheet1!$B$6:$C$45,2,FALSE)*V995</f>
        <v>1</v>
      </c>
      <c r="X995" s="141"/>
      <c r="Y995" s="122" t="s">
        <v>323</v>
      </c>
      <c r="Z995" s="146">
        <f>VLOOKUP(Takeoffs!Y995,Sheet1!$B$6:$C$124,2,FALSE)</f>
        <v>60</v>
      </c>
      <c r="AA995" s="146">
        <f t="shared" si="449"/>
        <v>60</v>
      </c>
      <c r="AB995" s="143">
        <f t="shared" si="450"/>
        <v>1</v>
      </c>
      <c r="AC995" s="133">
        <f t="shared" si="451"/>
        <v>1</v>
      </c>
      <c r="AD995" s="142">
        <v>1</v>
      </c>
      <c r="AE995" s="141"/>
      <c r="AF995" s="121" t="s">
        <v>293</v>
      </c>
      <c r="AG995" s="146">
        <f>VLOOKUP(Takeoffs!AF995,Sheet1!$B$6:$C$124,2,FALSE)</f>
        <v>0</v>
      </c>
      <c r="AH995" s="146">
        <f t="shared" si="452"/>
        <v>0</v>
      </c>
      <c r="AI995" s="143">
        <f t="shared" si="453"/>
        <v>0</v>
      </c>
      <c r="AJ995" s="133">
        <f t="shared" si="454"/>
        <v>1</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458</v>
      </c>
      <c r="S996" s="133">
        <f>M981</f>
        <v>1</v>
      </c>
      <c r="T996" s="120"/>
      <c r="U996" s="121" t="s">
        <v>293</v>
      </c>
      <c r="V996" s="133">
        <f t="shared" si="448"/>
        <v>1</v>
      </c>
      <c r="W996" s="133">
        <f>VLOOKUP(U996,Sheet1!$B$6:$C$45,2,FALSE)*V996</f>
        <v>0</v>
      </c>
      <c r="X996" s="141"/>
      <c r="Y996" s="122" t="s">
        <v>280</v>
      </c>
      <c r="Z996" s="146">
        <f>VLOOKUP(Takeoffs!Y996,Sheet1!$B$6:$C$124,2,FALSE)</f>
        <v>19.2</v>
      </c>
      <c r="AA996" s="146">
        <f t="shared" si="449"/>
        <v>19.2</v>
      </c>
      <c r="AB996" s="143">
        <f t="shared" si="450"/>
        <v>1</v>
      </c>
      <c r="AC996" s="133">
        <f t="shared" si="451"/>
        <v>1</v>
      </c>
      <c r="AD996" s="142">
        <v>1</v>
      </c>
      <c r="AE996" s="141"/>
      <c r="AF996" s="121" t="s">
        <v>293</v>
      </c>
      <c r="AG996" s="146">
        <f>VLOOKUP(Takeoffs!AF996,Sheet1!$B$6:$C$124,2,FALSE)</f>
        <v>0</v>
      </c>
      <c r="AH996" s="146">
        <f t="shared" si="452"/>
        <v>0</v>
      </c>
      <c r="AI996" s="143">
        <f t="shared" si="453"/>
        <v>0</v>
      </c>
      <c r="AJ996" s="133">
        <f t="shared" si="454"/>
        <v>1</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1</v>
      </c>
      <c r="T997" s="120"/>
      <c r="U997" s="121" t="s">
        <v>293</v>
      </c>
      <c r="V997" s="133">
        <f t="shared" si="448"/>
        <v>1</v>
      </c>
      <c r="W997" s="133">
        <f>VLOOKUP(U997,Sheet1!$B$6:$C$45,2,FALSE)*V997</f>
        <v>0</v>
      </c>
      <c r="X997" s="141"/>
      <c r="Y997" s="122" t="s">
        <v>280</v>
      </c>
      <c r="Z997" s="146">
        <f>VLOOKUP(Takeoffs!Y997,Sheet1!$B$6:$C$124,2,FALSE)</f>
        <v>19.2</v>
      </c>
      <c r="AA997" s="146">
        <f t="shared" si="449"/>
        <v>19.2</v>
      </c>
      <c r="AB997" s="143">
        <f t="shared" si="450"/>
        <v>1</v>
      </c>
      <c r="AC997" s="133">
        <f t="shared" si="451"/>
        <v>1</v>
      </c>
      <c r="AD997" s="142">
        <v>1</v>
      </c>
      <c r="AE997" s="141"/>
      <c r="AF997" s="121" t="s">
        <v>293</v>
      </c>
      <c r="AG997" s="146">
        <f>VLOOKUP(Takeoffs!AF997,Sheet1!$B$6:$C$124,2,FALSE)</f>
        <v>0</v>
      </c>
      <c r="AH997" s="146">
        <f t="shared" si="452"/>
        <v>0</v>
      </c>
      <c r="AI997" s="143">
        <f t="shared" si="453"/>
        <v>0</v>
      </c>
      <c r="AJ997" s="133">
        <f t="shared" si="454"/>
        <v>1</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331</v>
      </c>
      <c r="P998" s="121"/>
      <c r="Q998" s="121"/>
      <c r="R998" s="121" t="s">
        <v>305</v>
      </c>
      <c r="S998" s="133">
        <f>M981</f>
        <v>1</v>
      </c>
      <c r="T998" s="120"/>
      <c r="U998" s="121" t="s">
        <v>293</v>
      </c>
      <c r="V998" s="133">
        <f t="shared" si="448"/>
        <v>1</v>
      </c>
      <c r="W998" s="133">
        <f>VLOOKUP(U998,Sheet1!$B$6:$C$45,2,FALSE)*V998</f>
        <v>0</v>
      </c>
      <c r="X998" s="141"/>
      <c r="Y998" s="122" t="s">
        <v>277</v>
      </c>
      <c r="Z998" s="146">
        <f>VLOOKUP(Takeoffs!Y998,Sheet1!$B$6:$C$124,2,FALSE)</f>
        <v>69.540000000000006</v>
      </c>
      <c r="AA998" s="146">
        <f t="shared" si="449"/>
        <v>69.540000000000006</v>
      </c>
      <c r="AB998" s="143">
        <f t="shared" si="450"/>
        <v>1</v>
      </c>
      <c r="AC998" s="133">
        <f t="shared" si="451"/>
        <v>1</v>
      </c>
      <c r="AD998" s="142">
        <v>1</v>
      </c>
      <c r="AE998" s="141"/>
      <c r="AF998" s="121" t="s">
        <v>293</v>
      </c>
      <c r="AG998" s="146">
        <f>VLOOKUP(Takeoffs!AF998,Sheet1!$B$6:$C$124,2,FALSE)</f>
        <v>0</v>
      </c>
      <c r="AH998" s="146">
        <f t="shared" si="452"/>
        <v>0</v>
      </c>
      <c r="AI998" s="143">
        <f t="shared" si="453"/>
        <v>0</v>
      </c>
      <c r="AJ998" s="133">
        <f t="shared" si="454"/>
        <v>1</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1</v>
      </c>
      <c r="T999" s="120"/>
      <c r="U999" s="121" t="s">
        <v>293</v>
      </c>
      <c r="V999" s="133">
        <f t="shared" si="448"/>
        <v>1</v>
      </c>
      <c r="W999" s="133">
        <f>VLOOKUP(U999,Sheet1!$B$6:$C$45,2,FALSE)*V999</f>
        <v>0</v>
      </c>
      <c r="X999" s="141"/>
      <c r="Y999" s="121" t="s">
        <v>293</v>
      </c>
      <c r="Z999" s="146">
        <f>VLOOKUP(Takeoffs!Y999,Sheet1!$B$6:$C$124,2,FALSE)</f>
        <v>0</v>
      </c>
      <c r="AA999" s="146">
        <f t="shared" si="449"/>
        <v>0</v>
      </c>
      <c r="AB999" s="143">
        <f t="shared" si="450"/>
        <v>1</v>
      </c>
      <c r="AC999" s="133">
        <f t="shared" si="451"/>
        <v>1</v>
      </c>
      <c r="AD999" s="142">
        <v>1</v>
      </c>
      <c r="AE999" s="141"/>
      <c r="AF999" s="121" t="s">
        <v>293</v>
      </c>
      <c r="AG999" s="146">
        <f>VLOOKUP(Takeoffs!AF999,Sheet1!$B$6:$C$124,2,FALSE)</f>
        <v>0</v>
      </c>
      <c r="AH999" s="146">
        <f t="shared" si="452"/>
        <v>0</v>
      </c>
      <c r="AI999" s="143">
        <f t="shared" si="453"/>
        <v>0</v>
      </c>
      <c r="AJ999" s="133">
        <f t="shared" si="454"/>
        <v>1</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414</v>
      </c>
      <c r="P1000" s="121" t="s">
        <v>382</v>
      </c>
      <c r="Q1000" s="121" t="s">
        <v>386</v>
      </c>
      <c r="R1000" s="121"/>
      <c r="S1000" s="133">
        <f>M981</f>
        <v>1</v>
      </c>
      <c r="T1000" s="120"/>
      <c r="U1000" s="121" t="s">
        <v>293</v>
      </c>
      <c r="V1000" s="133">
        <f t="shared" si="448"/>
        <v>1</v>
      </c>
      <c r="W1000" s="133">
        <f>VLOOKUP(U1000,Sheet1!$B$6:$C$45,2,FALSE)*V1000</f>
        <v>0</v>
      </c>
      <c r="X1000" s="141"/>
      <c r="Y1000" s="122" t="s">
        <v>324</v>
      </c>
      <c r="Z1000" s="146">
        <f>VLOOKUP(Takeoffs!Y1000,Sheet1!$B$6:$C$124,2,FALSE)</f>
        <v>48</v>
      </c>
      <c r="AA1000" s="146">
        <f t="shared" si="449"/>
        <v>48</v>
      </c>
      <c r="AB1000" s="143">
        <f t="shared" si="450"/>
        <v>1</v>
      </c>
      <c r="AC1000" s="133">
        <f t="shared" si="451"/>
        <v>1</v>
      </c>
      <c r="AD1000" s="142">
        <v>1</v>
      </c>
      <c r="AE1000" s="141"/>
      <c r="AF1000" s="121" t="s">
        <v>293</v>
      </c>
      <c r="AG1000" s="146">
        <f>VLOOKUP(Takeoffs!AF1000,Sheet1!$B$6:$C$124,2,FALSE)</f>
        <v>0</v>
      </c>
      <c r="AH1000" s="146">
        <f t="shared" si="452"/>
        <v>0</v>
      </c>
      <c r="AI1000" s="143">
        <f t="shared" si="453"/>
        <v>0</v>
      </c>
      <c r="AJ1000" s="133">
        <f t="shared" si="454"/>
        <v>1</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410</v>
      </c>
      <c r="P1001" s="121"/>
      <c r="Q1001" s="121"/>
      <c r="R1001" s="121"/>
      <c r="S1001" s="133">
        <f>M981</f>
        <v>1</v>
      </c>
      <c r="T1001" s="120"/>
      <c r="U1001" s="121" t="s">
        <v>366</v>
      </c>
      <c r="V1001" s="133">
        <f t="shared" si="448"/>
        <v>1</v>
      </c>
      <c r="W1001" s="133">
        <f>VLOOKUP(U1001,Sheet1!$B$6:$C$45,2,FALSE)*V1001</f>
        <v>2</v>
      </c>
      <c r="X1001" s="141"/>
      <c r="Y1001" s="121" t="s">
        <v>293</v>
      </c>
      <c r="Z1001" s="146">
        <f>VLOOKUP(Takeoffs!Y1001,Sheet1!$B$6:$C$124,2,FALSE)</f>
        <v>0</v>
      </c>
      <c r="AA1001" s="146">
        <f t="shared" si="449"/>
        <v>0</v>
      </c>
      <c r="AB1001" s="143">
        <f t="shared" si="450"/>
        <v>1</v>
      </c>
      <c r="AC1001" s="133">
        <f t="shared" si="451"/>
        <v>1</v>
      </c>
      <c r="AD1001" s="142">
        <v>1</v>
      </c>
      <c r="AE1001" s="141"/>
      <c r="AF1001" s="121" t="s">
        <v>293</v>
      </c>
      <c r="AG1001" s="146">
        <f>VLOOKUP(Takeoffs!AF1001,Sheet1!$B$6:$C$124,2,FALSE)</f>
        <v>0</v>
      </c>
      <c r="AH1001" s="146">
        <f t="shared" si="452"/>
        <v>0</v>
      </c>
      <c r="AI1001" s="143">
        <f t="shared" si="453"/>
        <v>0</v>
      </c>
      <c r="AJ1001" s="133">
        <f t="shared" si="454"/>
        <v>1</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379</v>
      </c>
      <c r="L1002" s="128" t="s">
        <v>380</v>
      </c>
      <c r="N1002" s="129"/>
      <c r="O1002" s="130" t="s">
        <v>359</v>
      </c>
      <c r="P1002" s="131">
        <f>V1002+AA1002+AH1002</f>
        <v>4373.8680000000004</v>
      </c>
      <c r="Q1002" s="131"/>
      <c r="R1002" s="131"/>
      <c r="S1002" s="130"/>
      <c r="T1002" s="127"/>
      <c r="U1002" s="126" t="s">
        <v>353</v>
      </c>
      <c r="V1002" s="127">
        <f>W1002*80</f>
        <v>1080</v>
      </c>
      <c r="W1002" s="147">
        <f>SUM(W981:W1001)</f>
        <v>13.5</v>
      </c>
      <c r="X1002" s="148"/>
      <c r="Y1002" s="127" t="s">
        <v>354</v>
      </c>
      <c r="Z1002" s="116"/>
      <c r="AA1002" s="116">
        <f>SUM(AA981:AA1001)</f>
        <v>3102.1079999999997</v>
      </c>
      <c r="AB1002" s="149"/>
      <c r="AC1002" s="149"/>
      <c r="AD1002" s="149"/>
      <c r="AE1002" s="149"/>
      <c r="AF1002" s="127" t="s">
        <v>358</v>
      </c>
      <c r="AG1002" s="116"/>
      <c r="AH1002" s="116">
        <f>SUM(AH981:AH1001)</f>
        <v>191.76</v>
      </c>
      <c r="AI1002" s="149"/>
      <c r="AJ1002" s="149"/>
      <c r="AK1002" s="149"/>
      <c r="AL1002" s="149"/>
      <c r="AM1002" s="150">
        <f>P1002</f>
        <v>4373.8680000000004</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494</v>
      </c>
      <c r="C1003" s="217" t="str">
        <f>N981</f>
        <v>Chilled Water AHU with 2 x medium VSD ( Dual fan)</v>
      </c>
      <c r="D1003" s="260" t="s">
        <v>681</v>
      </c>
      <c r="E1003" s="238"/>
      <c r="F1003" s="217"/>
      <c r="G1003" s="217"/>
      <c r="H1003" s="245">
        <v>4</v>
      </c>
      <c r="I1003" s="270">
        <v>1</v>
      </c>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one (1)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4373.8680000000004</v>
      </c>
      <c r="L1003" s="234" t="str">
        <f>CONCATENATE(Q982,Q983,Q984,Q985,Q986,Q987,Q988,Q989,Q990,Q991,Q992,Q993,Q994,Q995,Q996,Q997,Q998,Q999,Q1000,Q1001,)</f>
        <v>fire cabling from FIP.</v>
      </c>
      <c r="M1003" s="166" t="s">
        <v>369</v>
      </c>
      <c r="N1003" s="160" t="str">
        <f>N981</f>
        <v>Chilled Water AHU with 2 x medium VSD ( Dual fan)</v>
      </c>
      <c r="O1003" s="160" t="s">
        <v>367</v>
      </c>
      <c r="P1003" s="64">
        <f>P1002/M981</f>
        <v>4373.8680000000004</v>
      </c>
      <c r="Q1003" s="161"/>
      <c r="R1003" s="161"/>
      <c r="S1003" s="160"/>
      <c r="T1003" s="161"/>
      <c r="U1003" s="327" t="s">
        <v>368</v>
      </c>
      <c r="V1003" s="327"/>
      <c r="W1003" s="162">
        <f>W1002/M981</f>
        <v>13.5</v>
      </c>
      <c r="X1003" s="163"/>
      <c r="Y1003" s="325" t="s">
        <v>367</v>
      </c>
      <c r="Z1003" s="325"/>
      <c r="AA1003" s="164">
        <f>AA1002/M981</f>
        <v>3102.1079999999997</v>
      </c>
      <c r="AB1003" s="161"/>
      <c r="AC1003" s="161"/>
      <c r="AD1003" s="161"/>
      <c r="AE1003" s="161"/>
      <c r="AF1003" s="325" t="s">
        <v>367</v>
      </c>
      <c r="AG1003" s="325"/>
      <c r="AH1003" s="164">
        <f>AH1002/M981</f>
        <v>191.76</v>
      </c>
      <c r="AI1003" s="161"/>
      <c r="AJ1003" s="161"/>
      <c r="AK1003" s="161"/>
      <c r="AL1003" s="247"/>
      <c r="AM1003" s="257"/>
      <c r="AN1003" s="236">
        <f>K1003*1.25</f>
        <v>5467.3350000000009</v>
      </c>
      <c r="AO1003" s="286"/>
      <c r="AP1003" s="284">
        <f t="shared" si="443"/>
        <v>4373.8680000000004</v>
      </c>
      <c r="AQ1003" s="281">
        <f t="shared" si="444"/>
        <v>1080</v>
      </c>
      <c r="AR1003" s="284">
        <f t="shared" si="445"/>
        <v>3102.1079999999997</v>
      </c>
      <c r="AS1003" s="281">
        <f t="shared" si="446"/>
        <v>191.76</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454</v>
      </c>
      <c r="M1004" s="116" t="s">
        <v>107</v>
      </c>
      <c r="N1004" s="116" t="s">
        <v>108</v>
      </c>
      <c r="O1004" s="170" t="s">
        <v>388</v>
      </c>
      <c r="P1004" s="328" t="s">
        <v>377</v>
      </c>
      <c r="Q1004" s="328"/>
      <c r="R1004" s="101" t="s">
        <v>454</v>
      </c>
      <c r="S1004" s="116" t="s">
        <v>0</v>
      </c>
      <c r="T1004" s="118"/>
      <c r="U1004" s="116" t="s">
        <v>288</v>
      </c>
      <c r="V1004" s="116" t="s">
        <v>289</v>
      </c>
      <c r="W1004" s="116" t="s">
        <v>292</v>
      </c>
      <c r="X1004" s="140"/>
      <c r="Y1004" s="116" t="s">
        <v>290</v>
      </c>
      <c r="Z1004" s="116" t="s">
        <v>356</v>
      </c>
      <c r="AA1004" s="116" t="s">
        <v>357</v>
      </c>
      <c r="AB1004" s="116" t="s">
        <v>319</v>
      </c>
      <c r="AC1004" s="116" t="s">
        <v>320</v>
      </c>
      <c r="AD1004" s="116" t="s">
        <v>318</v>
      </c>
      <c r="AE1004" s="140"/>
      <c r="AF1004" s="116" t="s">
        <v>294</v>
      </c>
      <c r="AG1004" s="116" t="s">
        <v>356</v>
      </c>
      <c r="AH1004" s="116" t="s">
        <v>357</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one</v>
      </c>
      <c r="M1005" s="121">
        <f>I1027</f>
        <v>1</v>
      </c>
      <c r="N1005" s="132" t="s">
        <v>553</v>
      </c>
      <c r="O1005" s="121" t="s">
        <v>349</v>
      </c>
      <c r="P1005" s="169" t="s">
        <v>381</v>
      </c>
      <c r="Q1005" s="169" t="s">
        <v>377</v>
      </c>
      <c r="R1005" s="169"/>
      <c r="S1005" s="133">
        <f>M1005</f>
        <v>1</v>
      </c>
      <c r="T1005" s="119"/>
      <c r="U1005" s="153" t="s">
        <v>293</v>
      </c>
      <c r="V1005" s="133">
        <f>S1005</f>
        <v>1</v>
      </c>
      <c r="W1005" s="133">
        <f>VLOOKUP(U1005,Sheet1!$B$6:$C$45,2,FALSE)*V1005</f>
        <v>0</v>
      </c>
      <c r="X1005" s="141"/>
      <c r="Y1005" s="121" t="s">
        <v>293</v>
      </c>
      <c r="Z1005" s="146">
        <f>VLOOKUP(Takeoffs!Y1005,Sheet1!$B$6:$C$124,2,FALSE)</f>
        <v>0</v>
      </c>
      <c r="AA1005" s="146">
        <f>Z1005*AB1005</f>
        <v>0</v>
      </c>
      <c r="AB1005" s="143">
        <f>AD1005*AC1005</f>
        <v>1</v>
      </c>
      <c r="AC1005" s="133">
        <f>S1005</f>
        <v>1</v>
      </c>
      <c r="AD1005" s="142">
        <v>1</v>
      </c>
      <c r="AE1005" s="141"/>
      <c r="AF1005" s="121" t="s">
        <v>293</v>
      </c>
      <c r="AG1005" s="146">
        <f>VLOOKUP(Takeoffs!AF1005,Sheet1!$B$6:$C$124,2,FALSE)</f>
        <v>0</v>
      </c>
      <c r="AH1005" s="146">
        <f>AG1005*AI1005</f>
        <v>0</v>
      </c>
      <c r="AI1005" s="143">
        <f>AK1005*AJ1005</f>
        <v>0</v>
      </c>
      <c r="AJ1005" s="133">
        <f>S1005</f>
        <v>1</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413</v>
      </c>
      <c r="P1006" s="121"/>
      <c r="Q1006" s="121"/>
      <c r="R1006" s="121"/>
      <c r="S1006" s="133">
        <f>M1005</f>
        <v>1</v>
      </c>
      <c r="T1006" s="120"/>
      <c r="U1006" s="121" t="s">
        <v>235</v>
      </c>
      <c r="V1006" s="133">
        <f t="shared" ref="V1006:V1025" si="458">S1006</f>
        <v>1</v>
      </c>
      <c r="W1006" s="133">
        <f>VLOOKUP(U1006,Sheet1!$B$6:$C$45,2,FALSE)*V1006</f>
        <v>1.5</v>
      </c>
      <c r="X1006" s="141"/>
      <c r="Y1006" s="121" t="s">
        <v>293</v>
      </c>
      <c r="Z1006" s="146">
        <f>VLOOKUP(Takeoffs!Y1006,Sheet1!$B$6:$C$124,2,FALSE)</f>
        <v>0</v>
      </c>
      <c r="AA1006" s="146">
        <f t="shared" ref="AA1006:AA1025" si="459">Z1006*AB1006</f>
        <v>0</v>
      </c>
      <c r="AB1006" s="143">
        <f t="shared" ref="AB1006:AB1025" si="460">AD1006*AC1006</f>
        <v>1</v>
      </c>
      <c r="AC1006" s="133">
        <f t="shared" ref="AC1006:AC1025" si="461">S1006</f>
        <v>1</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1</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1</v>
      </c>
      <c r="T1007" s="120"/>
      <c r="U1007" s="121" t="s">
        <v>293</v>
      </c>
      <c r="V1007" s="133">
        <f t="shared" si="458"/>
        <v>1</v>
      </c>
      <c r="W1007" s="133">
        <f>VLOOKUP(U1007,Sheet1!$B$6:$C$45,2,FALSE)*V1007</f>
        <v>0</v>
      </c>
      <c r="X1007" s="141"/>
      <c r="Y1007" s="122" t="s">
        <v>252</v>
      </c>
      <c r="Z1007" s="146">
        <f>VLOOKUP(Takeoffs!Y1007,Sheet1!$B$6:$C$124,2,FALSE)</f>
        <v>43.440000000000005</v>
      </c>
      <c r="AA1007" s="146">
        <f t="shared" si="459"/>
        <v>43.440000000000005</v>
      </c>
      <c r="AB1007" s="143">
        <f t="shared" si="460"/>
        <v>1</v>
      </c>
      <c r="AC1007" s="133">
        <f t="shared" si="461"/>
        <v>1</v>
      </c>
      <c r="AD1007" s="142">
        <v>1</v>
      </c>
      <c r="AE1007" s="141"/>
      <c r="AF1007" s="121" t="s">
        <v>293</v>
      </c>
      <c r="AG1007" s="146">
        <f>VLOOKUP(Takeoffs!AF1007,Sheet1!$B$6:$C$124,2,FALSE)</f>
        <v>0</v>
      </c>
      <c r="AH1007" s="146">
        <f t="shared" si="462"/>
        <v>0</v>
      </c>
      <c r="AI1007" s="143">
        <f t="shared" si="463"/>
        <v>0</v>
      </c>
      <c r="AJ1007" s="133">
        <f t="shared" si="464"/>
        <v>1</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1</v>
      </c>
      <c r="T1008" s="120"/>
      <c r="U1008" s="117" t="s">
        <v>481</v>
      </c>
      <c r="V1008" s="133">
        <f t="shared" si="458"/>
        <v>1</v>
      </c>
      <c r="W1008" s="133">
        <f>VLOOKUP(U1008,Sheet1!$B$6:$C$45,2,FALSE)*V1008</f>
        <v>2</v>
      </c>
      <c r="X1008" s="141"/>
      <c r="Y1008" s="121" t="s">
        <v>293</v>
      </c>
      <c r="Z1008" s="146">
        <f>VLOOKUP(Takeoffs!Y1008,Sheet1!$B$6:$C$124,2,FALSE)</f>
        <v>0</v>
      </c>
      <c r="AA1008" s="146">
        <f t="shared" si="459"/>
        <v>0</v>
      </c>
      <c r="AB1008" s="143">
        <f t="shared" si="460"/>
        <v>1</v>
      </c>
      <c r="AC1008" s="133">
        <f t="shared" si="461"/>
        <v>1</v>
      </c>
      <c r="AD1008" s="142">
        <v>1</v>
      </c>
      <c r="AE1008" s="141"/>
      <c r="AF1008" s="122" t="s">
        <v>267</v>
      </c>
      <c r="AG1008" s="146">
        <f>VLOOKUP(Takeoffs!AF1008,Sheet1!$B$6:$C$124,2,FALSE)</f>
        <v>3.48</v>
      </c>
      <c r="AH1008" s="146">
        <f t="shared" si="462"/>
        <v>69.599999999999994</v>
      </c>
      <c r="AI1008" s="143">
        <f t="shared" si="463"/>
        <v>20</v>
      </c>
      <c r="AJ1008" s="133">
        <f t="shared" si="464"/>
        <v>1</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325</v>
      </c>
      <c r="P1009" s="121"/>
      <c r="Q1009" s="121"/>
      <c r="R1009" s="121"/>
      <c r="S1009" s="133">
        <f>M1005</f>
        <v>1</v>
      </c>
      <c r="T1009" s="120"/>
      <c r="U1009" s="121" t="s">
        <v>293</v>
      </c>
      <c r="V1009" s="133">
        <f t="shared" si="458"/>
        <v>1</v>
      </c>
      <c r="W1009" s="133">
        <f>VLOOKUP(U1009,Sheet1!$B$6:$C$45,2,FALSE)*V1009</f>
        <v>0</v>
      </c>
      <c r="X1009" s="141"/>
      <c r="Y1009" s="135" t="s">
        <v>549</v>
      </c>
      <c r="Z1009" s="146">
        <f>VLOOKUP(Takeoffs!Y1009,Sheet1!$B$6:$C$124,2,FALSE)</f>
        <v>865.92</v>
      </c>
      <c r="AA1009" s="146">
        <f t="shared" si="459"/>
        <v>865.92</v>
      </c>
      <c r="AB1009" s="143">
        <f t="shared" si="460"/>
        <v>1</v>
      </c>
      <c r="AC1009" s="133">
        <f t="shared" si="461"/>
        <v>1</v>
      </c>
      <c r="AD1009" s="142">
        <v>1</v>
      </c>
      <c r="AE1009" s="141"/>
      <c r="AF1009" s="121" t="s">
        <v>293</v>
      </c>
      <c r="AG1009" s="146">
        <f>VLOOKUP(Takeoffs!AF1009,Sheet1!$B$6:$C$124,2,FALSE)</f>
        <v>0</v>
      </c>
      <c r="AH1009" s="146">
        <f t="shared" si="462"/>
        <v>0</v>
      </c>
      <c r="AI1009" s="143">
        <f t="shared" si="463"/>
        <v>0</v>
      </c>
      <c r="AJ1009" s="133">
        <f t="shared" si="464"/>
        <v>1</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392</v>
      </c>
      <c r="P1010" s="121"/>
      <c r="Q1010" s="121"/>
      <c r="R1010" s="121"/>
      <c r="S1010" s="133">
        <f>M1005</f>
        <v>1</v>
      </c>
      <c r="T1010" s="120"/>
      <c r="U1010" s="121" t="s">
        <v>293</v>
      </c>
      <c r="V1010" s="133">
        <f t="shared" si="458"/>
        <v>1</v>
      </c>
      <c r="W1010" s="133">
        <f>VLOOKUP(U1010,Sheet1!$B$6:$C$45,2,FALSE)*V1010</f>
        <v>0</v>
      </c>
      <c r="X1010" s="141"/>
      <c r="Y1010" s="121" t="s">
        <v>293</v>
      </c>
      <c r="Z1010" s="146">
        <f>VLOOKUP(Takeoffs!Y1010,Sheet1!$B$6:$C$124,2,FALSE)</f>
        <v>0</v>
      </c>
      <c r="AA1010" s="146">
        <f t="shared" si="459"/>
        <v>0</v>
      </c>
      <c r="AB1010" s="143">
        <f t="shared" si="460"/>
        <v>1</v>
      </c>
      <c r="AC1010" s="133">
        <f t="shared" si="461"/>
        <v>1</v>
      </c>
      <c r="AD1010" s="142">
        <v>1</v>
      </c>
      <c r="AE1010" s="141"/>
      <c r="AF1010" s="122" t="s">
        <v>267</v>
      </c>
      <c r="AG1010" s="146">
        <f>VLOOKUP(Takeoffs!AF1010,Sheet1!$B$6:$C$124,2,FALSE)</f>
        <v>3.48</v>
      </c>
      <c r="AH1010" s="146">
        <f t="shared" si="462"/>
        <v>10.44</v>
      </c>
      <c r="AI1010" s="143">
        <f t="shared" si="463"/>
        <v>3</v>
      </c>
      <c r="AJ1010" s="133">
        <f t="shared" si="464"/>
        <v>1</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1</v>
      </c>
      <c r="T1011" s="120"/>
      <c r="U1011" s="121" t="s">
        <v>293</v>
      </c>
      <c r="V1011" s="133">
        <f t="shared" si="458"/>
        <v>1</v>
      </c>
      <c r="W1011" s="133">
        <f>VLOOKUP(U1011,Sheet1!$B$6:$C$45,2,FALSE)*V1011</f>
        <v>0</v>
      </c>
      <c r="X1011" s="141"/>
      <c r="Y1011" s="122" t="s">
        <v>245</v>
      </c>
      <c r="Z1011" s="146">
        <f>VLOOKUP(Takeoffs!Y1011,Sheet1!$B$6:$C$124,2,FALSE)</f>
        <v>46.463999999999999</v>
      </c>
      <c r="AA1011" s="146">
        <f t="shared" si="459"/>
        <v>46.463999999999999</v>
      </c>
      <c r="AB1011" s="143">
        <f t="shared" si="460"/>
        <v>1</v>
      </c>
      <c r="AC1011" s="133">
        <f t="shared" si="461"/>
        <v>1</v>
      </c>
      <c r="AD1011" s="142">
        <v>1</v>
      </c>
      <c r="AE1011" s="141"/>
      <c r="AF1011" s="121" t="s">
        <v>293</v>
      </c>
      <c r="AG1011" s="146">
        <f>VLOOKUP(Takeoffs!AF1011,Sheet1!$B$6:$C$124,2,FALSE)</f>
        <v>0</v>
      </c>
      <c r="AH1011" s="146">
        <f t="shared" si="462"/>
        <v>0</v>
      </c>
      <c r="AI1011" s="143">
        <f t="shared" si="463"/>
        <v>0</v>
      </c>
      <c r="AJ1011" s="133">
        <f t="shared" si="464"/>
        <v>1</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1</v>
      </c>
      <c r="T1012" s="120"/>
      <c r="U1012" s="121" t="s">
        <v>293</v>
      </c>
      <c r="V1012" s="133">
        <f t="shared" si="458"/>
        <v>1</v>
      </c>
      <c r="W1012" s="133">
        <f>VLOOKUP(U1012,Sheet1!$B$6:$C$45,2,FALSE)*V1012</f>
        <v>0</v>
      </c>
      <c r="X1012" s="141"/>
      <c r="Y1012" s="121" t="s">
        <v>293</v>
      </c>
      <c r="Z1012" s="146">
        <f>VLOOKUP(Takeoffs!Y1012,Sheet1!$B$6:$C$124,2,FALSE)</f>
        <v>0</v>
      </c>
      <c r="AA1012" s="146">
        <f t="shared" si="459"/>
        <v>0</v>
      </c>
      <c r="AB1012" s="143">
        <f t="shared" si="460"/>
        <v>1</v>
      </c>
      <c r="AC1012" s="133">
        <f t="shared" si="461"/>
        <v>1</v>
      </c>
      <c r="AD1012" s="142">
        <v>1</v>
      </c>
      <c r="AE1012" s="141"/>
      <c r="AF1012" s="121" t="s">
        <v>293</v>
      </c>
      <c r="AG1012" s="146">
        <f>VLOOKUP(Takeoffs!AF1012,Sheet1!$B$6:$C$124,2,FALSE)</f>
        <v>0</v>
      </c>
      <c r="AH1012" s="146">
        <f t="shared" si="462"/>
        <v>0</v>
      </c>
      <c r="AI1012" s="143">
        <f t="shared" si="463"/>
        <v>0</v>
      </c>
      <c r="AJ1012" s="133">
        <f t="shared" si="464"/>
        <v>1</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1</v>
      </c>
      <c r="T1013" s="120"/>
      <c r="U1013" s="121" t="s">
        <v>293</v>
      </c>
      <c r="V1013" s="133">
        <f t="shared" si="458"/>
        <v>1</v>
      </c>
      <c r="W1013" s="133">
        <f>VLOOKUP(U1013,Sheet1!$B$6:$C$45,2,FALSE)*V1013</f>
        <v>0</v>
      </c>
      <c r="X1013" s="141"/>
      <c r="Y1013" s="122" t="s">
        <v>274</v>
      </c>
      <c r="Z1013" s="146">
        <f>VLOOKUP(Takeoffs!Y1013,Sheet1!$B$6:$C$124,2,FALSE)</f>
        <v>360</v>
      </c>
      <c r="AA1013" s="146">
        <f t="shared" si="459"/>
        <v>360</v>
      </c>
      <c r="AB1013" s="143">
        <f t="shared" si="460"/>
        <v>1</v>
      </c>
      <c r="AC1013" s="133">
        <f t="shared" si="461"/>
        <v>1</v>
      </c>
      <c r="AD1013" s="142">
        <v>1</v>
      </c>
      <c r="AE1013" s="141"/>
      <c r="AF1013" s="121" t="s">
        <v>293</v>
      </c>
      <c r="AG1013" s="146">
        <f>VLOOKUP(Takeoffs!AF1013,Sheet1!$B$6:$C$124,2,FALSE)</f>
        <v>0</v>
      </c>
      <c r="AH1013" s="146">
        <f t="shared" si="462"/>
        <v>0</v>
      </c>
      <c r="AI1013" s="143">
        <f t="shared" si="463"/>
        <v>0</v>
      </c>
      <c r="AJ1013" s="133">
        <f t="shared" si="464"/>
        <v>1</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1</v>
      </c>
      <c r="T1014" s="120"/>
      <c r="U1014" s="121" t="s">
        <v>366</v>
      </c>
      <c r="V1014" s="133">
        <f t="shared" si="458"/>
        <v>1</v>
      </c>
      <c r="W1014" s="133">
        <f>VLOOKUP(U1014,Sheet1!$B$6:$C$45,2,FALSE)*V1014</f>
        <v>2</v>
      </c>
      <c r="X1014" s="141"/>
      <c r="Y1014" s="121" t="s">
        <v>293</v>
      </c>
      <c r="Z1014" s="146">
        <f>VLOOKUP(Takeoffs!Y1014,Sheet1!$B$6:$C$124,2,FALSE)</f>
        <v>0</v>
      </c>
      <c r="AA1014" s="146">
        <f t="shared" si="459"/>
        <v>0</v>
      </c>
      <c r="AB1014" s="143">
        <f t="shared" si="460"/>
        <v>1</v>
      </c>
      <c r="AC1014" s="133">
        <f t="shared" si="461"/>
        <v>1</v>
      </c>
      <c r="AD1014" s="142">
        <v>1</v>
      </c>
      <c r="AE1014" s="141"/>
      <c r="AF1014" s="121" t="s">
        <v>293</v>
      </c>
      <c r="AG1014" s="146">
        <f>VLOOKUP(Takeoffs!AF1014,Sheet1!$B$6:$C$124,2,FALSE)</f>
        <v>0</v>
      </c>
      <c r="AH1014" s="146">
        <f t="shared" si="462"/>
        <v>0</v>
      </c>
      <c r="AI1014" s="143">
        <f t="shared" si="463"/>
        <v>0</v>
      </c>
      <c r="AJ1014" s="133">
        <f t="shared" si="464"/>
        <v>1</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1</v>
      </c>
      <c r="T1015" s="120"/>
      <c r="U1015" s="121" t="s">
        <v>293</v>
      </c>
      <c r="V1015" s="133">
        <f t="shared" si="458"/>
        <v>1</v>
      </c>
      <c r="W1015" s="133">
        <f>VLOOKUP(U1015,Sheet1!$B$6:$C$45,2,FALSE)*V1015</f>
        <v>0</v>
      </c>
      <c r="X1015" s="141"/>
      <c r="Y1015" s="121" t="s">
        <v>293</v>
      </c>
      <c r="Z1015" s="146">
        <f>VLOOKUP(Takeoffs!Y1015,Sheet1!$B$6:$C$124,2,FALSE)</f>
        <v>0</v>
      </c>
      <c r="AA1015" s="146">
        <f t="shared" si="459"/>
        <v>0</v>
      </c>
      <c r="AB1015" s="143">
        <f t="shared" si="460"/>
        <v>1</v>
      </c>
      <c r="AC1015" s="133">
        <f t="shared" si="461"/>
        <v>1</v>
      </c>
      <c r="AD1015" s="142">
        <v>1</v>
      </c>
      <c r="AE1015" s="141"/>
      <c r="AF1015" s="121" t="s">
        <v>293</v>
      </c>
      <c r="AG1015" s="146">
        <f>VLOOKUP(Takeoffs!AF1015,Sheet1!$B$6:$C$124,2,FALSE)</f>
        <v>0</v>
      </c>
      <c r="AH1015" s="146">
        <f t="shared" si="462"/>
        <v>0</v>
      </c>
      <c r="AI1015" s="143">
        <f t="shared" si="463"/>
        <v>0</v>
      </c>
      <c r="AJ1015" s="133">
        <f t="shared" si="464"/>
        <v>1</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1</v>
      </c>
      <c r="T1016" s="120"/>
      <c r="U1016" s="121" t="s">
        <v>293</v>
      </c>
      <c r="V1016" s="133">
        <f t="shared" si="458"/>
        <v>1</v>
      </c>
      <c r="W1016" s="133">
        <f>VLOOKUP(U1016,Sheet1!$B$6:$C$45,2,FALSE)*V1016</f>
        <v>0</v>
      </c>
      <c r="X1016" s="141"/>
      <c r="Y1016" s="121" t="s">
        <v>293</v>
      </c>
      <c r="Z1016" s="146">
        <f>VLOOKUP(Takeoffs!Y1016,Sheet1!$B$6:$C$124,2,FALSE)</f>
        <v>0</v>
      </c>
      <c r="AA1016" s="146">
        <f t="shared" si="459"/>
        <v>0</v>
      </c>
      <c r="AB1016" s="143">
        <f t="shared" si="460"/>
        <v>1</v>
      </c>
      <c r="AC1016" s="133">
        <f t="shared" si="461"/>
        <v>1</v>
      </c>
      <c r="AD1016" s="142">
        <v>1</v>
      </c>
      <c r="AE1016" s="141"/>
      <c r="AF1016" s="121" t="s">
        <v>293</v>
      </c>
      <c r="AG1016" s="146">
        <f>VLOOKUP(Takeoffs!AF1016,Sheet1!$B$6:$C$124,2,FALSE)</f>
        <v>0</v>
      </c>
      <c r="AH1016" s="146">
        <f t="shared" si="462"/>
        <v>0</v>
      </c>
      <c r="AI1016" s="143">
        <f t="shared" si="463"/>
        <v>0</v>
      </c>
      <c r="AJ1016" s="133">
        <f t="shared" si="464"/>
        <v>1</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1</v>
      </c>
      <c r="T1017" s="120"/>
      <c r="U1017" s="121" t="s">
        <v>365</v>
      </c>
      <c r="V1017" s="133">
        <f t="shared" si="458"/>
        <v>1</v>
      </c>
      <c r="W1017" s="133">
        <f>VLOOKUP(U1017,Sheet1!$B$6:$C$45,2,FALSE)*V1017</f>
        <v>1</v>
      </c>
      <c r="X1017" s="141"/>
      <c r="Y1017" s="121" t="s">
        <v>293</v>
      </c>
      <c r="Z1017" s="146">
        <f>VLOOKUP(Takeoffs!Y1017,Sheet1!$B$6:$C$124,2,FALSE)</f>
        <v>0</v>
      </c>
      <c r="AA1017" s="146">
        <f t="shared" si="459"/>
        <v>0</v>
      </c>
      <c r="AB1017" s="143">
        <f t="shared" si="460"/>
        <v>1</v>
      </c>
      <c r="AC1017" s="133">
        <f t="shared" si="461"/>
        <v>1</v>
      </c>
      <c r="AD1017" s="142">
        <v>1</v>
      </c>
      <c r="AE1017" s="141"/>
      <c r="AF1017" s="144" t="s">
        <v>269</v>
      </c>
      <c r="AG1017" s="146">
        <f>VLOOKUP(Takeoffs!AF1017,Sheet1!$B$6:$C$124,2,FALSE)</f>
        <v>1.056</v>
      </c>
      <c r="AH1017" s="146">
        <f t="shared" si="462"/>
        <v>31.68</v>
      </c>
      <c r="AI1017" s="143">
        <f t="shared" si="463"/>
        <v>30</v>
      </c>
      <c r="AJ1017" s="133">
        <f t="shared" si="464"/>
        <v>1</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1</v>
      </c>
      <c r="T1018" s="120"/>
      <c r="U1018" s="121" t="s">
        <v>232</v>
      </c>
      <c r="V1018" s="133">
        <f t="shared" si="458"/>
        <v>1</v>
      </c>
      <c r="W1018" s="133">
        <f>VLOOKUP(U1018,Sheet1!$B$6:$C$45,2,FALSE)*V1018</f>
        <v>1</v>
      </c>
      <c r="X1018" s="141"/>
      <c r="Y1018" s="122" t="s">
        <v>281</v>
      </c>
      <c r="Z1018" s="146">
        <f>VLOOKUP(Takeoffs!Y1018,Sheet1!$B$6:$C$124,2,FALSE)</f>
        <v>109.25999999999999</v>
      </c>
      <c r="AA1018" s="146">
        <f t="shared" si="459"/>
        <v>109.25999999999999</v>
      </c>
      <c r="AB1018" s="143">
        <f t="shared" si="460"/>
        <v>1</v>
      </c>
      <c r="AC1018" s="133">
        <f t="shared" si="461"/>
        <v>1</v>
      </c>
      <c r="AD1018" s="142">
        <v>1</v>
      </c>
      <c r="AE1018" s="141"/>
      <c r="AF1018" s="121" t="s">
        <v>293</v>
      </c>
      <c r="AG1018" s="146">
        <f>VLOOKUP(Takeoffs!AF1018,Sheet1!$B$6:$C$124,2,FALSE)</f>
        <v>0</v>
      </c>
      <c r="AH1018" s="146">
        <f t="shared" si="462"/>
        <v>0</v>
      </c>
      <c r="AI1018" s="143">
        <f t="shared" si="463"/>
        <v>0</v>
      </c>
      <c r="AJ1018" s="133">
        <f t="shared" si="464"/>
        <v>1</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1</v>
      </c>
      <c r="T1019" s="120"/>
      <c r="U1019" s="121" t="s">
        <v>365</v>
      </c>
      <c r="V1019" s="133">
        <f t="shared" si="458"/>
        <v>1</v>
      </c>
      <c r="W1019" s="133">
        <f>VLOOKUP(U1019,Sheet1!$B$6:$C$45,2,FALSE)*V1019</f>
        <v>1</v>
      </c>
      <c r="X1019" s="141"/>
      <c r="Y1019" s="122" t="s">
        <v>323</v>
      </c>
      <c r="Z1019" s="146">
        <f>VLOOKUP(Takeoffs!Y1019,Sheet1!$B$6:$C$124,2,FALSE)</f>
        <v>60</v>
      </c>
      <c r="AA1019" s="146">
        <f t="shared" si="459"/>
        <v>60</v>
      </c>
      <c r="AB1019" s="143">
        <f t="shared" si="460"/>
        <v>1</v>
      </c>
      <c r="AC1019" s="133">
        <f t="shared" si="461"/>
        <v>1</v>
      </c>
      <c r="AD1019" s="142">
        <v>1</v>
      </c>
      <c r="AE1019" s="141"/>
      <c r="AF1019" s="121" t="s">
        <v>293</v>
      </c>
      <c r="AG1019" s="146">
        <f>VLOOKUP(Takeoffs!AF1019,Sheet1!$B$6:$C$124,2,FALSE)</f>
        <v>0</v>
      </c>
      <c r="AH1019" s="146">
        <f t="shared" si="462"/>
        <v>0</v>
      </c>
      <c r="AI1019" s="143">
        <f t="shared" si="463"/>
        <v>0</v>
      </c>
      <c r="AJ1019" s="133">
        <f t="shared" si="464"/>
        <v>1</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458</v>
      </c>
      <c r="S1020" s="133">
        <f>M1005</f>
        <v>1</v>
      </c>
      <c r="T1020" s="120"/>
      <c r="U1020" s="121" t="s">
        <v>293</v>
      </c>
      <c r="V1020" s="133">
        <f t="shared" si="458"/>
        <v>1</v>
      </c>
      <c r="W1020" s="133">
        <f>VLOOKUP(U1020,Sheet1!$B$6:$C$45,2,FALSE)*V1020</f>
        <v>0</v>
      </c>
      <c r="X1020" s="141"/>
      <c r="Y1020" s="122" t="s">
        <v>280</v>
      </c>
      <c r="Z1020" s="146">
        <f>VLOOKUP(Takeoffs!Y1020,Sheet1!$B$6:$C$124,2,FALSE)</f>
        <v>19.2</v>
      </c>
      <c r="AA1020" s="146">
        <f t="shared" si="459"/>
        <v>19.2</v>
      </c>
      <c r="AB1020" s="143">
        <f t="shared" si="460"/>
        <v>1</v>
      </c>
      <c r="AC1020" s="133">
        <f t="shared" si="461"/>
        <v>1</v>
      </c>
      <c r="AD1020" s="142">
        <v>1</v>
      </c>
      <c r="AE1020" s="141"/>
      <c r="AF1020" s="121" t="s">
        <v>293</v>
      </c>
      <c r="AG1020" s="146">
        <f>VLOOKUP(Takeoffs!AF1020,Sheet1!$B$6:$C$124,2,FALSE)</f>
        <v>0</v>
      </c>
      <c r="AH1020" s="146">
        <f t="shared" si="462"/>
        <v>0</v>
      </c>
      <c r="AI1020" s="143">
        <f t="shared" si="463"/>
        <v>0</v>
      </c>
      <c r="AJ1020" s="133">
        <f t="shared" si="464"/>
        <v>1</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1</v>
      </c>
      <c r="T1021" s="120"/>
      <c r="U1021" s="121" t="s">
        <v>293</v>
      </c>
      <c r="V1021" s="133">
        <f t="shared" si="458"/>
        <v>1</v>
      </c>
      <c r="W1021" s="133">
        <f>VLOOKUP(U1021,Sheet1!$B$6:$C$45,2,FALSE)*V1021</f>
        <v>0</v>
      </c>
      <c r="X1021" s="141"/>
      <c r="Y1021" s="122" t="s">
        <v>280</v>
      </c>
      <c r="Z1021" s="146">
        <f>VLOOKUP(Takeoffs!Y1021,Sheet1!$B$6:$C$124,2,FALSE)</f>
        <v>19.2</v>
      </c>
      <c r="AA1021" s="146">
        <f t="shared" si="459"/>
        <v>19.2</v>
      </c>
      <c r="AB1021" s="143">
        <f t="shared" si="460"/>
        <v>1</v>
      </c>
      <c r="AC1021" s="133">
        <f t="shared" si="461"/>
        <v>1</v>
      </c>
      <c r="AD1021" s="142">
        <v>1</v>
      </c>
      <c r="AE1021" s="141"/>
      <c r="AF1021" s="121" t="s">
        <v>293</v>
      </c>
      <c r="AG1021" s="146">
        <f>VLOOKUP(Takeoffs!AF1021,Sheet1!$B$6:$C$124,2,FALSE)</f>
        <v>0</v>
      </c>
      <c r="AH1021" s="146">
        <f t="shared" si="462"/>
        <v>0</v>
      </c>
      <c r="AI1021" s="143">
        <f t="shared" si="463"/>
        <v>0</v>
      </c>
      <c r="AJ1021" s="133">
        <f t="shared" si="464"/>
        <v>1</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331</v>
      </c>
      <c r="P1022" s="121"/>
      <c r="Q1022" s="121"/>
      <c r="R1022" s="121" t="s">
        <v>305</v>
      </c>
      <c r="S1022" s="133">
        <f>M1005</f>
        <v>1</v>
      </c>
      <c r="T1022" s="120"/>
      <c r="U1022" s="121" t="s">
        <v>293</v>
      </c>
      <c r="V1022" s="133">
        <f t="shared" si="458"/>
        <v>1</v>
      </c>
      <c r="W1022" s="133">
        <f>VLOOKUP(U1022,Sheet1!$B$6:$C$45,2,FALSE)*V1022</f>
        <v>0</v>
      </c>
      <c r="X1022" s="141"/>
      <c r="Y1022" s="122" t="s">
        <v>277</v>
      </c>
      <c r="Z1022" s="146">
        <f>VLOOKUP(Takeoffs!Y1022,Sheet1!$B$6:$C$124,2,FALSE)</f>
        <v>69.540000000000006</v>
      </c>
      <c r="AA1022" s="146">
        <f t="shared" si="459"/>
        <v>69.540000000000006</v>
      </c>
      <c r="AB1022" s="143">
        <f t="shared" si="460"/>
        <v>1</v>
      </c>
      <c r="AC1022" s="133">
        <f t="shared" si="461"/>
        <v>1</v>
      </c>
      <c r="AD1022" s="142">
        <v>1</v>
      </c>
      <c r="AE1022" s="141"/>
      <c r="AF1022" s="121" t="s">
        <v>293</v>
      </c>
      <c r="AG1022" s="146">
        <f>VLOOKUP(Takeoffs!AF1022,Sheet1!$B$6:$C$124,2,FALSE)</f>
        <v>0</v>
      </c>
      <c r="AH1022" s="146">
        <f t="shared" si="462"/>
        <v>0</v>
      </c>
      <c r="AI1022" s="143">
        <f t="shared" si="463"/>
        <v>0</v>
      </c>
      <c r="AJ1022" s="133">
        <f t="shared" si="464"/>
        <v>1</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1</v>
      </c>
      <c r="T1023" s="120"/>
      <c r="U1023" s="121" t="s">
        <v>293</v>
      </c>
      <c r="V1023" s="133">
        <f t="shared" si="458"/>
        <v>1</v>
      </c>
      <c r="W1023" s="133">
        <f>VLOOKUP(U1023,Sheet1!$B$6:$C$45,2,FALSE)*V1023</f>
        <v>0</v>
      </c>
      <c r="X1023" s="141"/>
      <c r="Y1023" s="121" t="s">
        <v>293</v>
      </c>
      <c r="Z1023" s="146">
        <f>VLOOKUP(Takeoffs!Y1023,Sheet1!$B$6:$C$124,2,FALSE)</f>
        <v>0</v>
      </c>
      <c r="AA1023" s="146">
        <f t="shared" si="459"/>
        <v>0</v>
      </c>
      <c r="AB1023" s="143">
        <f t="shared" si="460"/>
        <v>1</v>
      </c>
      <c r="AC1023" s="133">
        <f t="shared" si="461"/>
        <v>1</v>
      </c>
      <c r="AD1023" s="142">
        <v>1</v>
      </c>
      <c r="AE1023" s="141"/>
      <c r="AF1023" s="121" t="s">
        <v>293</v>
      </c>
      <c r="AG1023" s="146">
        <f>VLOOKUP(Takeoffs!AF1023,Sheet1!$B$6:$C$124,2,FALSE)</f>
        <v>0</v>
      </c>
      <c r="AH1023" s="146">
        <f t="shared" si="462"/>
        <v>0</v>
      </c>
      <c r="AI1023" s="143">
        <f t="shared" si="463"/>
        <v>0</v>
      </c>
      <c r="AJ1023" s="133">
        <f t="shared" si="464"/>
        <v>1</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414</v>
      </c>
      <c r="P1024" s="121" t="s">
        <v>382</v>
      </c>
      <c r="Q1024" s="121" t="s">
        <v>386</v>
      </c>
      <c r="R1024" s="121"/>
      <c r="S1024" s="133">
        <f>M1005</f>
        <v>1</v>
      </c>
      <c r="T1024" s="120"/>
      <c r="U1024" s="121" t="s">
        <v>293</v>
      </c>
      <c r="V1024" s="133">
        <f t="shared" si="458"/>
        <v>1</v>
      </c>
      <c r="W1024" s="133">
        <f>VLOOKUP(U1024,Sheet1!$B$6:$C$45,2,FALSE)*V1024</f>
        <v>0</v>
      </c>
      <c r="X1024" s="141"/>
      <c r="Y1024" s="122" t="s">
        <v>324</v>
      </c>
      <c r="Z1024" s="146">
        <f>VLOOKUP(Takeoffs!Y1024,Sheet1!$B$6:$C$124,2,FALSE)</f>
        <v>48</v>
      </c>
      <c r="AA1024" s="146">
        <f t="shared" si="459"/>
        <v>48</v>
      </c>
      <c r="AB1024" s="143">
        <f t="shared" si="460"/>
        <v>1</v>
      </c>
      <c r="AC1024" s="133">
        <f t="shared" si="461"/>
        <v>1</v>
      </c>
      <c r="AD1024" s="142">
        <v>1</v>
      </c>
      <c r="AE1024" s="141"/>
      <c r="AF1024" s="121" t="s">
        <v>293</v>
      </c>
      <c r="AG1024" s="146">
        <f>VLOOKUP(Takeoffs!AF1024,Sheet1!$B$6:$C$124,2,FALSE)</f>
        <v>0</v>
      </c>
      <c r="AH1024" s="146">
        <f t="shared" si="462"/>
        <v>0</v>
      </c>
      <c r="AI1024" s="143">
        <f t="shared" si="463"/>
        <v>0</v>
      </c>
      <c r="AJ1024" s="133">
        <f t="shared" si="464"/>
        <v>1</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410</v>
      </c>
      <c r="P1025" s="121"/>
      <c r="Q1025" s="121"/>
      <c r="R1025" s="121"/>
      <c r="S1025" s="133">
        <f>M1005</f>
        <v>1</v>
      </c>
      <c r="T1025" s="120"/>
      <c r="U1025" s="121" t="s">
        <v>366</v>
      </c>
      <c r="V1025" s="133">
        <f t="shared" si="458"/>
        <v>1</v>
      </c>
      <c r="W1025" s="133">
        <f>VLOOKUP(U1025,Sheet1!$B$6:$C$45,2,FALSE)*V1025</f>
        <v>2</v>
      </c>
      <c r="X1025" s="141"/>
      <c r="Y1025" s="121" t="s">
        <v>293</v>
      </c>
      <c r="Z1025" s="146">
        <f>VLOOKUP(Takeoffs!Y1025,Sheet1!$B$6:$C$124,2,FALSE)</f>
        <v>0</v>
      </c>
      <c r="AA1025" s="146">
        <f t="shared" si="459"/>
        <v>0</v>
      </c>
      <c r="AB1025" s="143">
        <f t="shared" si="460"/>
        <v>1</v>
      </c>
      <c r="AC1025" s="133">
        <f t="shared" si="461"/>
        <v>1</v>
      </c>
      <c r="AD1025" s="142">
        <v>1</v>
      </c>
      <c r="AE1025" s="141"/>
      <c r="AF1025" s="121" t="s">
        <v>293</v>
      </c>
      <c r="AG1025" s="146">
        <f>VLOOKUP(Takeoffs!AF1025,Sheet1!$B$6:$C$124,2,FALSE)</f>
        <v>0</v>
      </c>
      <c r="AH1025" s="146">
        <f t="shared" si="462"/>
        <v>0</v>
      </c>
      <c r="AI1025" s="143">
        <f t="shared" si="463"/>
        <v>0</v>
      </c>
      <c r="AJ1025" s="133">
        <f t="shared" si="464"/>
        <v>1</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379</v>
      </c>
      <c r="L1026" s="128" t="s">
        <v>380</v>
      </c>
      <c r="N1026" s="129"/>
      <c r="O1026" s="130" t="s">
        <v>359</v>
      </c>
      <c r="P1026" s="131">
        <f>V1026+AA1026+AH1026</f>
        <v>2592.7440000000001</v>
      </c>
      <c r="Q1026" s="131"/>
      <c r="R1026" s="131"/>
      <c r="S1026" s="130"/>
      <c r="T1026" s="127"/>
      <c r="U1026" s="126" t="s">
        <v>353</v>
      </c>
      <c r="V1026" s="127">
        <f>W1026*80</f>
        <v>840</v>
      </c>
      <c r="W1026" s="147">
        <f>SUM(W1005:W1025)</f>
        <v>10.5</v>
      </c>
      <c r="X1026" s="148"/>
      <c r="Y1026" s="127" t="s">
        <v>354</v>
      </c>
      <c r="Z1026" s="116"/>
      <c r="AA1026" s="116">
        <f>SUM(AA1005:AA1025)</f>
        <v>1641.0240000000001</v>
      </c>
      <c r="AB1026" s="149"/>
      <c r="AC1026" s="149"/>
      <c r="AD1026" s="149"/>
      <c r="AE1026" s="149"/>
      <c r="AF1026" s="127" t="s">
        <v>358</v>
      </c>
      <c r="AG1026" s="116"/>
      <c r="AH1026" s="116">
        <f>SUM(AH1005:AH1025)</f>
        <v>111.72</v>
      </c>
      <c r="AI1026" s="149"/>
      <c r="AJ1026" s="149"/>
      <c r="AK1026" s="149"/>
      <c r="AL1026" s="149"/>
      <c r="AM1026" s="150">
        <f>P1026</f>
        <v>2592.7440000000001</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494</v>
      </c>
      <c r="C1027" s="217" t="str">
        <f>N1005</f>
        <v>Chilled Water AHU with medium VSD</v>
      </c>
      <c r="D1027" s="260" t="s">
        <v>681</v>
      </c>
      <c r="E1027" s="238"/>
      <c r="F1027" s="217"/>
      <c r="G1027" s="217"/>
      <c r="H1027" s="245">
        <v>7</v>
      </c>
      <c r="I1027" s="270">
        <v>1</v>
      </c>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one (1)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2592.7440000000001</v>
      </c>
      <c r="L1027" s="234" t="str">
        <f>CONCATENATE(Q1006,Q1007,Q1008,Q1009,Q1010,Q1011,Q1012,Q1013,Q1014,Q1015,Q1016,Q1017,Q1018,Q1019,Q1020,Q1021,Q1022,Q1023,Q1024,Q1025,)</f>
        <v>fire cabling from FIP.</v>
      </c>
      <c r="M1027" s="166" t="s">
        <v>369</v>
      </c>
      <c r="N1027" s="160" t="str">
        <f>N1005</f>
        <v>Chilled Water AHU with medium VSD</v>
      </c>
      <c r="O1027" s="160" t="s">
        <v>367</v>
      </c>
      <c r="P1027" s="64">
        <f>P1026/M1005</f>
        <v>2592.7440000000001</v>
      </c>
      <c r="Q1027" s="161"/>
      <c r="R1027" s="161"/>
      <c r="S1027" s="160"/>
      <c r="T1027" s="161"/>
      <c r="U1027" s="327" t="s">
        <v>368</v>
      </c>
      <c r="V1027" s="327"/>
      <c r="W1027" s="162">
        <f>W1026/M1005</f>
        <v>10.5</v>
      </c>
      <c r="X1027" s="163"/>
      <c r="Y1027" s="325" t="s">
        <v>367</v>
      </c>
      <c r="Z1027" s="325"/>
      <c r="AA1027" s="164">
        <f>AA1026/M1005</f>
        <v>1641.0240000000001</v>
      </c>
      <c r="AB1027" s="161"/>
      <c r="AC1027" s="161"/>
      <c r="AD1027" s="161"/>
      <c r="AE1027" s="161"/>
      <c r="AF1027" s="325" t="s">
        <v>367</v>
      </c>
      <c r="AG1027" s="325"/>
      <c r="AH1027" s="164">
        <f>AH1026/M1005</f>
        <v>111.72</v>
      </c>
      <c r="AI1027" s="161"/>
      <c r="AJ1027" s="161"/>
      <c r="AK1027" s="161"/>
      <c r="AL1027" s="247"/>
      <c r="AM1027" s="257"/>
      <c r="AN1027" s="236">
        <f>K1027*1.25</f>
        <v>3240.9300000000003</v>
      </c>
      <c r="AO1027" s="286"/>
      <c r="AP1027" s="284">
        <f t="shared" si="443"/>
        <v>2592.7440000000001</v>
      </c>
      <c r="AQ1027" s="281">
        <f t="shared" si="444"/>
        <v>840</v>
      </c>
      <c r="AR1027" s="284">
        <f t="shared" si="445"/>
        <v>1641.0240000000001</v>
      </c>
      <c r="AS1027" s="281">
        <f t="shared" si="446"/>
        <v>111.72</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454</v>
      </c>
      <c r="M1028" s="116" t="s">
        <v>107</v>
      </c>
      <c r="N1028" s="116" t="s">
        <v>108</v>
      </c>
      <c r="O1028" s="170" t="s">
        <v>388</v>
      </c>
      <c r="P1028" s="328" t="s">
        <v>377</v>
      </c>
      <c r="Q1028" s="328"/>
      <c r="R1028" s="101" t="s">
        <v>454</v>
      </c>
      <c r="S1028" s="116" t="s">
        <v>0</v>
      </c>
      <c r="T1028" s="118"/>
      <c r="U1028" s="116" t="s">
        <v>288</v>
      </c>
      <c r="V1028" s="116" t="s">
        <v>289</v>
      </c>
      <c r="W1028" s="116" t="s">
        <v>292</v>
      </c>
      <c r="X1028" s="140"/>
      <c r="Y1028" s="116" t="s">
        <v>290</v>
      </c>
      <c r="Z1028" s="116" t="s">
        <v>356</v>
      </c>
      <c r="AA1028" s="116" t="s">
        <v>357</v>
      </c>
      <c r="AB1028" s="116" t="s">
        <v>319</v>
      </c>
      <c r="AC1028" s="116" t="s">
        <v>320</v>
      </c>
      <c r="AD1028" s="116" t="s">
        <v>318</v>
      </c>
      <c r="AE1028" s="140"/>
      <c r="AF1028" s="116" t="s">
        <v>294</v>
      </c>
      <c r="AG1028" s="116" t="s">
        <v>356</v>
      </c>
      <c r="AH1028" s="116" t="s">
        <v>357</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one</v>
      </c>
      <c r="M1029" s="121">
        <f>I1051</f>
        <v>1</v>
      </c>
      <c r="N1029" s="132" t="s">
        <v>584</v>
      </c>
      <c r="O1029" s="121" t="s">
        <v>349</v>
      </c>
      <c r="P1029" s="169" t="s">
        <v>381</v>
      </c>
      <c r="Q1029" s="169" t="s">
        <v>377</v>
      </c>
      <c r="R1029" s="169"/>
      <c r="S1029" s="133">
        <f>M1029</f>
        <v>1</v>
      </c>
      <c r="T1029" s="119"/>
      <c r="U1029" s="153" t="s">
        <v>293</v>
      </c>
      <c r="V1029" s="133">
        <f>S1029</f>
        <v>1</v>
      </c>
      <c r="W1029" s="133">
        <f>VLOOKUP(U1029,Sheet1!$B$6:$C$45,2,FALSE)*V1029</f>
        <v>0</v>
      </c>
      <c r="X1029" s="141"/>
      <c r="Y1029" s="121" t="s">
        <v>293</v>
      </c>
      <c r="Z1029" s="146">
        <f>VLOOKUP(Takeoffs!Y1029,Sheet1!$B$6:$C$124,2,FALSE)</f>
        <v>0</v>
      </c>
      <c r="AA1029" s="146">
        <f>Z1029*AB1029</f>
        <v>0</v>
      </c>
      <c r="AB1029" s="143">
        <f>AD1029*AC1029</f>
        <v>1</v>
      </c>
      <c r="AC1029" s="133">
        <f>S1029</f>
        <v>1</v>
      </c>
      <c r="AD1029" s="142">
        <v>1</v>
      </c>
      <c r="AE1029" s="141"/>
      <c r="AF1029" s="121" t="s">
        <v>293</v>
      </c>
      <c r="AG1029" s="146">
        <f>VLOOKUP(Takeoffs!AF1029,Sheet1!$B$6:$C$124,2,FALSE)</f>
        <v>0</v>
      </c>
      <c r="AH1029" s="146">
        <f>AG1029*AI1029</f>
        <v>0</v>
      </c>
      <c r="AI1029" s="143">
        <f>AK1029*AJ1029</f>
        <v>0</v>
      </c>
      <c r="AJ1029" s="133">
        <f>S1029</f>
        <v>1</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413</v>
      </c>
      <c r="P1030" s="121"/>
      <c r="Q1030" s="121"/>
      <c r="R1030" s="121"/>
      <c r="S1030" s="133">
        <f>M1029</f>
        <v>1</v>
      </c>
      <c r="T1030" s="120"/>
      <c r="U1030" s="121" t="s">
        <v>235</v>
      </c>
      <c r="V1030" s="133">
        <f t="shared" ref="V1030:V1049" si="468">S1030</f>
        <v>1</v>
      </c>
      <c r="W1030" s="133">
        <f>VLOOKUP(U1030,Sheet1!$B$6:$C$45,2,FALSE)*V1030</f>
        <v>1.5</v>
      </c>
      <c r="X1030" s="141"/>
      <c r="Y1030" s="121" t="s">
        <v>293</v>
      </c>
      <c r="Z1030" s="146">
        <f>VLOOKUP(Takeoffs!Y1030,Sheet1!$B$6:$C$124,2,FALSE)</f>
        <v>0</v>
      </c>
      <c r="AA1030" s="146">
        <f t="shared" ref="AA1030:AA1049" si="469">Z1030*AB1030</f>
        <v>0</v>
      </c>
      <c r="AB1030" s="143">
        <f t="shared" ref="AB1030:AB1049" si="470">AD1030*AC1030</f>
        <v>1</v>
      </c>
      <c r="AC1030" s="133">
        <f t="shared" ref="AC1030:AC1049" si="471">S1030</f>
        <v>1</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1</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1</v>
      </c>
      <c r="T1031" s="120"/>
      <c r="U1031" s="121" t="s">
        <v>293</v>
      </c>
      <c r="V1031" s="133">
        <f t="shared" si="468"/>
        <v>1</v>
      </c>
      <c r="W1031" s="133">
        <f>VLOOKUP(U1031,Sheet1!$B$6:$C$45,2,FALSE)*V1031</f>
        <v>0</v>
      </c>
      <c r="X1031" s="141"/>
      <c r="Y1031" s="122" t="s">
        <v>252</v>
      </c>
      <c r="Z1031" s="146">
        <f>VLOOKUP(Takeoffs!Y1031,Sheet1!$B$6:$C$124,2,FALSE)</f>
        <v>43.440000000000005</v>
      </c>
      <c r="AA1031" s="146">
        <f t="shared" si="469"/>
        <v>43.440000000000005</v>
      </c>
      <c r="AB1031" s="143">
        <f t="shared" si="470"/>
        <v>1</v>
      </c>
      <c r="AC1031" s="133">
        <f t="shared" si="471"/>
        <v>1</v>
      </c>
      <c r="AD1031" s="142">
        <v>1</v>
      </c>
      <c r="AE1031" s="141"/>
      <c r="AF1031" s="121" t="s">
        <v>293</v>
      </c>
      <c r="AG1031" s="146">
        <f>VLOOKUP(Takeoffs!AF1031,Sheet1!$B$6:$C$124,2,FALSE)</f>
        <v>0</v>
      </c>
      <c r="AH1031" s="146">
        <f t="shared" si="472"/>
        <v>0</v>
      </c>
      <c r="AI1031" s="143">
        <f t="shared" si="473"/>
        <v>0</v>
      </c>
      <c r="AJ1031" s="133">
        <f t="shared" si="474"/>
        <v>1</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1</v>
      </c>
      <c r="T1032" s="120"/>
      <c r="U1032" s="117" t="s">
        <v>481</v>
      </c>
      <c r="V1032" s="133">
        <f t="shared" si="468"/>
        <v>1</v>
      </c>
      <c r="W1032" s="133">
        <f>VLOOKUP(U1032,Sheet1!$B$6:$C$45,2,FALSE)*V1032</f>
        <v>2</v>
      </c>
      <c r="X1032" s="141"/>
      <c r="Y1032" s="121" t="s">
        <v>293</v>
      </c>
      <c r="Z1032" s="146">
        <f>VLOOKUP(Takeoffs!Y1032,Sheet1!$B$6:$C$124,2,FALSE)</f>
        <v>0</v>
      </c>
      <c r="AA1032" s="146">
        <f t="shared" si="469"/>
        <v>0</v>
      </c>
      <c r="AB1032" s="143">
        <f t="shared" si="470"/>
        <v>1</v>
      </c>
      <c r="AC1032" s="133">
        <f t="shared" si="471"/>
        <v>1</v>
      </c>
      <c r="AD1032" s="142">
        <v>1</v>
      </c>
      <c r="AE1032" s="141"/>
      <c r="AF1032" s="122" t="s">
        <v>267</v>
      </c>
      <c r="AG1032" s="146">
        <f>VLOOKUP(Takeoffs!AF1032,Sheet1!$B$6:$C$124,2,FALSE)</f>
        <v>3.48</v>
      </c>
      <c r="AH1032" s="146">
        <f t="shared" si="472"/>
        <v>69.599999999999994</v>
      </c>
      <c r="AI1032" s="143">
        <f t="shared" si="473"/>
        <v>20</v>
      </c>
      <c r="AJ1032" s="133">
        <f t="shared" si="474"/>
        <v>1</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325</v>
      </c>
      <c r="P1033" s="121"/>
      <c r="Q1033" s="121"/>
      <c r="R1033" s="121"/>
      <c r="S1033" s="133">
        <f>M1029</f>
        <v>1</v>
      </c>
      <c r="T1033" s="120"/>
      <c r="U1033" s="121" t="s">
        <v>293</v>
      </c>
      <c r="V1033" s="133">
        <f t="shared" si="468"/>
        <v>1</v>
      </c>
      <c r="W1033" s="133">
        <f>VLOOKUP(U1033,Sheet1!$B$6:$C$45,2,FALSE)*V1033</f>
        <v>0</v>
      </c>
      <c r="X1033" s="141"/>
      <c r="Y1033" s="135" t="s">
        <v>493</v>
      </c>
      <c r="Z1033" s="146">
        <f>VLOOKUP(Takeoffs!Y1033,Sheet1!$B$6:$C$124,2,FALSE)</f>
        <v>1226.28</v>
      </c>
      <c r="AA1033" s="146">
        <f t="shared" si="469"/>
        <v>1226.28</v>
      </c>
      <c r="AB1033" s="143">
        <f t="shared" si="470"/>
        <v>1</v>
      </c>
      <c r="AC1033" s="133">
        <f t="shared" si="471"/>
        <v>1</v>
      </c>
      <c r="AD1033" s="142">
        <v>1</v>
      </c>
      <c r="AE1033" s="141"/>
      <c r="AF1033" s="121" t="s">
        <v>293</v>
      </c>
      <c r="AG1033" s="146">
        <f>VLOOKUP(Takeoffs!AF1033,Sheet1!$B$6:$C$124,2,FALSE)</f>
        <v>0</v>
      </c>
      <c r="AH1033" s="146">
        <f t="shared" si="472"/>
        <v>0</v>
      </c>
      <c r="AI1033" s="143">
        <f t="shared" si="473"/>
        <v>0</v>
      </c>
      <c r="AJ1033" s="133">
        <f t="shared" si="474"/>
        <v>1</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392</v>
      </c>
      <c r="P1034" s="121"/>
      <c r="Q1034" s="121"/>
      <c r="R1034" s="121"/>
      <c r="S1034" s="133">
        <f>M1029</f>
        <v>1</v>
      </c>
      <c r="T1034" s="120"/>
      <c r="U1034" s="121" t="s">
        <v>293</v>
      </c>
      <c r="V1034" s="133">
        <f t="shared" si="468"/>
        <v>1</v>
      </c>
      <c r="W1034" s="133">
        <f>VLOOKUP(U1034,Sheet1!$B$6:$C$45,2,FALSE)*V1034</f>
        <v>0</v>
      </c>
      <c r="X1034" s="141"/>
      <c r="Y1034" s="121" t="s">
        <v>293</v>
      </c>
      <c r="Z1034" s="146">
        <f>VLOOKUP(Takeoffs!Y1034,Sheet1!$B$6:$C$124,2,FALSE)</f>
        <v>0</v>
      </c>
      <c r="AA1034" s="146">
        <f t="shared" si="469"/>
        <v>0</v>
      </c>
      <c r="AB1034" s="143">
        <f t="shared" si="470"/>
        <v>1</v>
      </c>
      <c r="AC1034" s="133">
        <f t="shared" si="471"/>
        <v>1</v>
      </c>
      <c r="AD1034" s="142">
        <v>1</v>
      </c>
      <c r="AE1034" s="141"/>
      <c r="AF1034" s="122" t="s">
        <v>267</v>
      </c>
      <c r="AG1034" s="146">
        <f>VLOOKUP(Takeoffs!AF1034,Sheet1!$B$6:$C$124,2,FALSE)</f>
        <v>3.48</v>
      </c>
      <c r="AH1034" s="146">
        <f t="shared" si="472"/>
        <v>10.44</v>
      </c>
      <c r="AI1034" s="143">
        <f t="shared" si="473"/>
        <v>3</v>
      </c>
      <c r="AJ1034" s="133">
        <f t="shared" si="474"/>
        <v>1</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1</v>
      </c>
      <c r="T1035" s="120"/>
      <c r="U1035" s="121" t="s">
        <v>293</v>
      </c>
      <c r="V1035" s="133">
        <f t="shared" si="468"/>
        <v>1</v>
      </c>
      <c r="W1035" s="133">
        <f>VLOOKUP(U1035,Sheet1!$B$6:$C$45,2,FALSE)*V1035</f>
        <v>0</v>
      </c>
      <c r="X1035" s="141"/>
      <c r="Y1035" s="122" t="s">
        <v>245</v>
      </c>
      <c r="Z1035" s="146">
        <f>VLOOKUP(Takeoffs!Y1035,Sheet1!$B$6:$C$124,2,FALSE)</f>
        <v>46.463999999999999</v>
      </c>
      <c r="AA1035" s="146">
        <f t="shared" si="469"/>
        <v>46.463999999999999</v>
      </c>
      <c r="AB1035" s="143">
        <f t="shared" si="470"/>
        <v>1</v>
      </c>
      <c r="AC1035" s="133">
        <f t="shared" si="471"/>
        <v>1</v>
      </c>
      <c r="AD1035" s="142">
        <v>1</v>
      </c>
      <c r="AE1035" s="141"/>
      <c r="AF1035" s="121" t="s">
        <v>293</v>
      </c>
      <c r="AG1035" s="146">
        <f>VLOOKUP(Takeoffs!AF1035,Sheet1!$B$6:$C$124,2,FALSE)</f>
        <v>0</v>
      </c>
      <c r="AH1035" s="146">
        <f t="shared" si="472"/>
        <v>0</v>
      </c>
      <c r="AI1035" s="143">
        <f t="shared" si="473"/>
        <v>0</v>
      </c>
      <c r="AJ1035" s="133">
        <f t="shared" si="474"/>
        <v>1</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1</v>
      </c>
      <c r="T1036" s="120"/>
      <c r="U1036" s="121" t="s">
        <v>293</v>
      </c>
      <c r="V1036" s="133">
        <f t="shared" si="468"/>
        <v>1</v>
      </c>
      <c r="W1036" s="133">
        <f>VLOOKUP(U1036,Sheet1!$B$6:$C$45,2,FALSE)*V1036</f>
        <v>0</v>
      </c>
      <c r="X1036" s="141"/>
      <c r="Y1036" s="121" t="s">
        <v>293</v>
      </c>
      <c r="Z1036" s="146">
        <f>VLOOKUP(Takeoffs!Y1036,Sheet1!$B$6:$C$124,2,FALSE)</f>
        <v>0</v>
      </c>
      <c r="AA1036" s="146">
        <f t="shared" si="469"/>
        <v>0</v>
      </c>
      <c r="AB1036" s="143">
        <f t="shared" si="470"/>
        <v>1</v>
      </c>
      <c r="AC1036" s="133">
        <f t="shared" si="471"/>
        <v>1</v>
      </c>
      <c r="AD1036" s="142">
        <v>1</v>
      </c>
      <c r="AE1036" s="141"/>
      <c r="AF1036" s="121" t="s">
        <v>293</v>
      </c>
      <c r="AG1036" s="146">
        <f>VLOOKUP(Takeoffs!AF1036,Sheet1!$B$6:$C$124,2,FALSE)</f>
        <v>0</v>
      </c>
      <c r="AH1036" s="146">
        <f t="shared" si="472"/>
        <v>0</v>
      </c>
      <c r="AI1036" s="143">
        <f t="shared" si="473"/>
        <v>0</v>
      </c>
      <c r="AJ1036" s="133">
        <f t="shared" si="474"/>
        <v>1</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1</v>
      </c>
      <c r="T1037" s="120"/>
      <c r="U1037" s="121" t="s">
        <v>293</v>
      </c>
      <c r="V1037" s="133">
        <f t="shared" si="468"/>
        <v>1</v>
      </c>
      <c r="W1037" s="133">
        <f>VLOOKUP(U1037,Sheet1!$B$6:$C$45,2,FALSE)*V1037</f>
        <v>0</v>
      </c>
      <c r="X1037" s="141"/>
      <c r="Y1037" s="122" t="s">
        <v>274</v>
      </c>
      <c r="Z1037" s="146">
        <f>VLOOKUP(Takeoffs!Y1037,Sheet1!$B$6:$C$124,2,FALSE)</f>
        <v>360</v>
      </c>
      <c r="AA1037" s="146">
        <f t="shared" si="469"/>
        <v>360</v>
      </c>
      <c r="AB1037" s="143">
        <f t="shared" si="470"/>
        <v>1</v>
      </c>
      <c r="AC1037" s="133">
        <f t="shared" si="471"/>
        <v>1</v>
      </c>
      <c r="AD1037" s="142">
        <v>1</v>
      </c>
      <c r="AE1037" s="141"/>
      <c r="AF1037" s="121" t="s">
        <v>293</v>
      </c>
      <c r="AG1037" s="146">
        <f>VLOOKUP(Takeoffs!AF1037,Sheet1!$B$6:$C$124,2,FALSE)</f>
        <v>0</v>
      </c>
      <c r="AH1037" s="146">
        <f t="shared" si="472"/>
        <v>0</v>
      </c>
      <c r="AI1037" s="143">
        <f t="shared" si="473"/>
        <v>0</v>
      </c>
      <c r="AJ1037" s="133">
        <f t="shared" si="474"/>
        <v>1</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1</v>
      </c>
      <c r="T1038" s="120"/>
      <c r="U1038" s="121" t="s">
        <v>366</v>
      </c>
      <c r="V1038" s="133">
        <f t="shared" si="468"/>
        <v>1</v>
      </c>
      <c r="W1038" s="133">
        <f>VLOOKUP(U1038,Sheet1!$B$6:$C$45,2,FALSE)*V1038</f>
        <v>2</v>
      </c>
      <c r="X1038" s="141"/>
      <c r="Y1038" s="121" t="s">
        <v>293</v>
      </c>
      <c r="Z1038" s="146">
        <f>VLOOKUP(Takeoffs!Y1038,Sheet1!$B$6:$C$124,2,FALSE)</f>
        <v>0</v>
      </c>
      <c r="AA1038" s="146">
        <f t="shared" si="469"/>
        <v>0</v>
      </c>
      <c r="AB1038" s="143">
        <f t="shared" si="470"/>
        <v>1</v>
      </c>
      <c r="AC1038" s="133">
        <f t="shared" si="471"/>
        <v>1</v>
      </c>
      <c r="AD1038" s="142">
        <v>1</v>
      </c>
      <c r="AE1038" s="141"/>
      <c r="AF1038" s="121" t="s">
        <v>293</v>
      </c>
      <c r="AG1038" s="146">
        <f>VLOOKUP(Takeoffs!AF1038,Sheet1!$B$6:$C$124,2,FALSE)</f>
        <v>0</v>
      </c>
      <c r="AH1038" s="146">
        <f t="shared" si="472"/>
        <v>0</v>
      </c>
      <c r="AI1038" s="143">
        <f t="shared" si="473"/>
        <v>0</v>
      </c>
      <c r="AJ1038" s="133">
        <f t="shared" si="474"/>
        <v>1</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1</v>
      </c>
      <c r="T1039" s="120"/>
      <c r="U1039" s="121" t="s">
        <v>293</v>
      </c>
      <c r="V1039" s="133">
        <f t="shared" si="468"/>
        <v>1</v>
      </c>
      <c r="W1039" s="133">
        <f>VLOOKUP(U1039,Sheet1!$B$6:$C$45,2,FALSE)*V1039</f>
        <v>0</v>
      </c>
      <c r="X1039" s="141"/>
      <c r="Y1039" s="121" t="s">
        <v>293</v>
      </c>
      <c r="Z1039" s="146">
        <f>VLOOKUP(Takeoffs!Y1039,Sheet1!$B$6:$C$124,2,FALSE)</f>
        <v>0</v>
      </c>
      <c r="AA1039" s="146">
        <f t="shared" si="469"/>
        <v>0</v>
      </c>
      <c r="AB1039" s="143">
        <f t="shared" si="470"/>
        <v>1</v>
      </c>
      <c r="AC1039" s="133">
        <f t="shared" si="471"/>
        <v>1</v>
      </c>
      <c r="AD1039" s="142">
        <v>1</v>
      </c>
      <c r="AE1039" s="141"/>
      <c r="AF1039" s="121" t="s">
        <v>293</v>
      </c>
      <c r="AG1039" s="146">
        <f>VLOOKUP(Takeoffs!AF1039,Sheet1!$B$6:$C$124,2,FALSE)</f>
        <v>0</v>
      </c>
      <c r="AH1039" s="146">
        <f t="shared" si="472"/>
        <v>0</v>
      </c>
      <c r="AI1039" s="143">
        <f t="shared" si="473"/>
        <v>0</v>
      </c>
      <c r="AJ1039" s="133">
        <f t="shared" si="474"/>
        <v>1</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1</v>
      </c>
      <c r="T1040" s="120"/>
      <c r="U1040" s="121" t="s">
        <v>293</v>
      </c>
      <c r="V1040" s="133">
        <f t="shared" si="468"/>
        <v>1</v>
      </c>
      <c r="W1040" s="133">
        <f>VLOOKUP(U1040,Sheet1!$B$6:$C$45,2,FALSE)*V1040</f>
        <v>0</v>
      </c>
      <c r="X1040" s="141"/>
      <c r="Y1040" s="121" t="s">
        <v>293</v>
      </c>
      <c r="Z1040" s="146">
        <f>VLOOKUP(Takeoffs!Y1040,Sheet1!$B$6:$C$124,2,FALSE)</f>
        <v>0</v>
      </c>
      <c r="AA1040" s="146">
        <f t="shared" si="469"/>
        <v>0</v>
      </c>
      <c r="AB1040" s="143">
        <f t="shared" si="470"/>
        <v>1</v>
      </c>
      <c r="AC1040" s="133">
        <f t="shared" si="471"/>
        <v>1</v>
      </c>
      <c r="AD1040" s="142">
        <v>1</v>
      </c>
      <c r="AE1040" s="141"/>
      <c r="AF1040" s="121" t="s">
        <v>293</v>
      </c>
      <c r="AG1040" s="146">
        <f>VLOOKUP(Takeoffs!AF1040,Sheet1!$B$6:$C$124,2,FALSE)</f>
        <v>0</v>
      </c>
      <c r="AH1040" s="146">
        <f t="shared" si="472"/>
        <v>0</v>
      </c>
      <c r="AI1040" s="143">
        <f t="shared" si="473"/>
        <v>0</v>
      </c>
      <c r="AJ1040" s="133">
        <f t="shared" si="474"/>
        <v>1</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1</v>
      </c>
      <c r="T1041" s="120"/>
      <c r="U1041" s="121" t="s">
        <v>365</v>
      </c>
      <c r="V1041" s="133">
        <f t="shared" si="468"/>
        <v>1</v>
      </c>
      <c r="W1041" s="133">
        <f>VLOOKUP(U1041,Sheet1!$B$6:$C$45,2,FALSE)*V1041</f>
        <v>1</v>
      </c>
      <c r="X1041" s="141"/>
      <c r="Y1041" s="121" t="s">
        <v>293</v>
      </c>
      <c r="Z1041" s="146">
        <f>VLOOKUP(Takeoffs!Y1041,Sheet1!$B$6:$C$124,2,FALSE)</f>
        <v>0</v>
      </c>
      <c r="AA1041" s="146">
        <f t="shared" si="469"/>
        <v>0</v>
      </c>
      <c r="AB1041" s="143">
        <f t="shared" si="470"/>
        <v>1</v>
      </c>
      <c r="AC1041" s="133">
        <f t="shared" si="471"/>
        <v>1</v>
      </c>
      <c r="AD1041" s="142">
        <v>1</v>
      </c>
      <c r="AE1041" s="141"/>
      <c r="AF1041" s="144" t="s">
        <v>269</v>
      </c>
      <c r="AG1041" s="146">
        <f>VLOOKUP(Takeoffs!AF1041,Sheet1!$B$6:$C$124,2,FALSE)</f>
        <v>1.056</v>
      </c>
      <c r="AH1041" s="146">
        <f t="shared" si="472"/>
        <v>31.68</v>
      </c>
      <c r="AI1041" s="143">
        <f t="shared" si="473"/>
        <v>30</v>
      </c>
      <c r="AJ1041" s="133">
        <f t="shared" si="474"/>
        <v>1</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1</v>
      </c>
      <c r="T1042" s="120"/>
      <c r="U1042" s="121" t="s">
        <v>232</v>
      </c>
      <c r="V1042" s="133">
        <f t="shared" si="468"/>
        <v>1</v>
      </c>
      <c r="W1042" s="133">
        <f>VLOOKUP(U1042,Sheet1!$B$6:$C$45,2,FALSE)*V1042</f>
        <v>1</v>
      </c>
      <c r="X1042" s="141"/>
      <c r="Y1042" s="122" t="s">
        <v>281</v>
      </c>
      <c r="Z1042" s="146">
        <f>VLOOKUP(Takeoffs!Y1042,Sheet1!$B$6:$C$124,2,FALSE)</f>
        <v>109.25999999999999</v>
      </c>
      <c r="AA1042" s="146">
        <f t="shared" si="469"/>
        <v>109.25999999999999</v>
      </c>
      <c r="AB1042" s="143">
        <f t="shared" si="470"/>
        <v>1</v>
      </c>
      <c r="AC1042" s="133">
        <f t="shared" si="471"/>
        <v>1</v>
      </c>
      <c r="AD1042" s="142">
        <v>1</v>
      </c>
      <c r="AE1042" s="141"/>
      <c r="AF1042" s="121" t="s">
        <v>293</v>
      </c>
      <c r="AG1042" s="146">
        <f>VLOOKUP(Takeoffs!AF1042,Sheet1!$B$6:$C$124,2,FALSE)</f>
        <v>0</v>
      </c>
      <c r="AH1042" s="146">
        <f t="shared" si="472"/>
        <v>0</v>
      </c>
      <c r="AI1042" s="143">
        <f t="shared" si="473"/>
        <v>0</v>
      </c>
      <c r="AJ1042" s="133">
        <f t="shared" si="474"/>
        <v>1</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1</v>
      </c>
      <c r="T1043" s="120"/>
      <c r="U1043" s="121" t="s">
        <v>365</v>
      </c>
      <c r="V1043" s="133">
        <f t="shared" si="468"/>
        <v>1</v>
      </c>
      <c r="W1043" s="133">
        <f>VLOOKUP(U1043,Sheet1!$B$6:$C$45,2,FALSE)*V1043</f>
        <v>1</v>
      </c>
      <c r="X1043" s="141"/>
      <c r="Y1043" s="122" t="s">
        <v>323</v>
      </c>
      <c r="Z1043" s="146">
        <f>VLOOKUP(Takeoffs!Y1043,Sheet1!$B$6:$C$124,2,FALSE)</f>
        <v>60</v>
      </c>
      <c r="AA1043" s="146">
        <f t="shared" si="469"/>
        <v>60</v>
      </c>
      <c r="AB1043" s="143">
        <f t="shared" si="470"/>
        <v>1</v>
      </c>
      <c r="AC1043" s="133">
        <f t="shared" si="471"/>
        <v>1</v>
      </c>
      <c r="AD1043" s="142">
        <v>1</v>
      </c>
      <c r="AE1043" s="141"/>
      <c r="AF1043" s="121" t="s">
        <v>293</v>
      </c>
      <c r="AG1043" s="146">
        <f>VLOOKUP(Takeoffs!AF1043,Sheet1!$B$6:$C$124,2,FALSE)</f>
        <v>0</v>
      </c>
      <c r="AH1043" s="146">
        <f t="shared" si="472"/>
        <v>0</v>
      </c>
      <c r="AI1043" s="143">
        <f t="shared" si="473"/>
        <v>0</v>
      </c>
      <c r="AJ1043" s="133">
        <f t="shared" si="474"/>
        <v>1</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458</v>
      </c>
      <c r="S1044" s="133">
        <f>M1029</f>
        <v>1</v>
      </c>
      <c r="T1044" s="120"/>
      <c r="U1044" s="121" t="s">
        <v>293</v>
      </c>
      <c r="V1044" s="133">
        <f t="shared" si="468"/>
        <v>1</v>
      </c>
      <c r="W1044" s="133">
        <f>VLOOKUP(U1044,Sheet1!$B$6:$C$45,2,FALSE)*V1044</f>
        <v>0</v>
      </c>
      <c r="X1044" s="141"/>
      <c r="Y1044" s="122" t="s">
        <v>280</v>
      </c>
      <c r="Z1044" s="146">
        <f>VLOOKUP(Takeoffs!Y1044,Sheet1!$B$6:$C$124,2,FALSE)</f>
        <v>19.2</v>
      </c>
      <c r="AA1044" s="146">
        <f t="shared" si="469"/>
        <v>19.2</v>
      </c>
      <c r="AB1044" s="143">
        <f t="shared" si="470"/>
        <v>1</v>
      </c>
      <c r="AC1044" s="133">
        <f t="shared" si="471"/>
        <v>1</v>
      </c>
      <c r="AD1044" s="142">
        <v>1</v>
      </c>
      <c r="AE1044" s="141"/>
      <c r="AF1044" s="121" t="s">
        <v>293</v>
      </c>
      <c r="AG1044" s="146">
        <f>VLOOKUP(Takeoffs!AF1044,Sheet1!$B$6:$C$124,2,FALSE)</f>
        <v>0</v>
      </c>
      <c r="AH1044" s="146">
        <f t="shared" si="472"/>
        <v>0</v>
      </c>
      <c r="AI1044" s="143">
        <f t="shared" si="473"/>
        <v>0</v>
      </c>
      <c r="AJ1044" s="133">
        <f t="shared" si="474"/>
        <v>1</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1</v>
      </c>
      <c r="T1045" s="120"/>
      <c r="U1045" s="121" t="s">
        <v>293</v>
      </c>
      <c r="V1045" s="133">
        <f t="shared" si="468"/>
        <v>1</v>
      </c>
      <c r="W1045" s="133">
        <f>VLOOKUP(U1045,Sheet1!$B$6:$C$45,2,FALSE)*V1045</f>
        <v>0</v>
      </c>
      <c r="X1045" s="141"/>
      <c r="Y1045" s="122" t="s">
        <v>280</v>
      </c>
      <c r="Z1045" s="146">
        <f>VLOOKUP(Takeoffs!Y1045,Sheet1!$B$6:$C$124,2,FALSE)</f>
        <v>19.2</v>
      </c>
      <c r="AA1045" s="146">
        <f t="shared" si="469"/>
        <v>19.2</v>
      </c>
      <c r="AB1045" s="143">
        <f t="shared" si="470"/>
        <v>1</v>
      </c>
      <c r="AC1045" s="133">
        <f t="shared" si="471"/>
        <v>1</v>
      </c>
      <c r="AD1045" s="142">
        <v>1</v>
      </c>
      <c r="AE1045" s="141"/>
      <c r="AF1045" s="121" t="s">
        <v>293</v>
      </c>
      <c r="AG1045" s="146">
        <f>VLOOKUP(Takeoffs!AF1045,Sheet1!$B$6:$C$124,2,FALSE)</f>
        <v>0</v>
      </c>
      <c r="AH1045" s="146">
        <f t="shared" si="472"/>
        <v>0</v>
      </c>
      <c r="AI1045" s="143">
        <f t="shared" si="473"/>
        <v>0</v>
      </c>
      <c r="AJ1045" s="133">
        <f t="shared" si="474"/>
        <v>1</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331</v>
      </c>
      <c r="P1046" s="121"/>
      <c r="Q1046" s="121"/>
      <c r="R1046" s="121" t="s">
        <v>305</v>
      </c>
      <c r="S1046" s="133">
        <f>M1029</f>
        <v>1</v>
      </c>
      <c r="T1046" s="120"/>
      <c r="U1046" s="121" t="s">
        <v>293</v>
      </c>
      <c r="V1046" s="133">
        <f t="shared" si="468"/>
        <v>1</v>
      </c>
      <c r="W1046" s="133">
        <f>VLOOKUP(U1046,Sheet1!$B$6:$C$45,2,FALSE)*V1046</f>
        <v>0</v>
      </c>
      <c r="X1046" s="141"/>
      <c r="Y1046" s="122" t="s">
        <v>277</v>
      </c>
      <c r="Z1046" s="146">
        <f>VLOOKUP(Takeoffs!Y1046,Sheet1!$B$6:$C$124,2,FALSE)</f>
        <v>69.540000000000006</v>
      </c>
      <c r="AA1046" s="146">
        <f t="shared" si="469"/>
        <v>69.540000000000006</v>
      </c>
      <c r="AB1046" s="143">
        <f t="shared" si="470"/>
        <v>1</v>
      </c>
      <c r="AC1046" s="133">
        <f t="shared" si="471"/>
        <v>1</v>
      </c>
      <c r="AD1046" s="142">
        <v>1</v>
      </c>
      <c r="AE1046" s="141"/>
      <c r="AF1046" s="121" t="s">
        <v>293</v>
      </c>
      <c r="AG1046" s="146">
        <f>VLOOKUP(Takeoffs!AF1046,Sheet1!$B$6:$C$124,2,FALSE)</f>
        <v>0</v>
      </c>
      <c r="AH1046" s="146">
        <f t="shared" si="472"/>
        <v>0</v>
      </c>
      <c r="AI1046" s="143">
        <f t="shared" si="473"/>
        <v>0</v>
      </c>
      <c r="AJ1046" s="133">
        <f t="shared" si="474"/>
        <v>1</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1</v>
      </c>
      <c r="T1047" s="120"/>
      <c r="U1047" s="121" t="s">
        <v>293</v>
      </c>
      <c r="V1047" s="133">
        <f t="shared" si="468"/>
        <v>1</v>
      </c>
      <c r="W1047" s="133">
        <f>VLOOKUP(U1047,Sheet1!$B$6:$C$45,2,FALSE)*V1047</f>
        <v>0</v>
      </c>
      <c r="X1047" s="141"/>
      <c r="Y1047" s="121" t="s">
        <v>293</v>
      </c>
      <c r="Z1047" s="146">
        <f>VLOOKUP(Takeoffs!Y1047,Sheet1!$B$6:$C$124,2,FALSE)</f>
        <v>0</v>
      </c>
      <c r="AA1047" s="146">
        <f t="shared" si="469"/>
        <v>0</v>
      </c>
      <c r="AB1047" s="143">
        <f t="shared" si="470"/>
        <v>1</v>
      </c>
      <c r="AC1047" s="133">
        <f t="shared" si="471"/>
        <v>1</v>
      </c>
      <c r="AD1047" s="142">
        <v>1</v>
      </c>
      <c r="AE1047" s="141"/>
      <c r="AF1047" s="121" t="s">
        <v>293</v>
      </c>
      <c r="AG1047" s="146">
        <f>VLOOKUP(Takeoffs!AF1047,Sheet1!$B$6:$C$124,2,FALSE)</f>
        <v>0</v>
      </c>
      <c r="AH1047" s="146">
        <f t="shared" si="472"/>
        <v>0</v>
      </c>
      <c r="AI1047" s="143">
        <f t="shared" si="473"/>
        <v>0</v>
      </c>
      <c r="AJ1047" s="133">
        <f t="shared" si="474"/>
        <v>1</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414</v>
      </c>
      <c r="P1048" s="121" t="s">
        <v>382</v>
      </c>
      <c r="Q1048" s="121" t="s">
        <v>386</v>
      </c>
      <c r="R1048" s="121"/>
      <c r="S1048" s="133">
        <f>M1029</f>
        <v>1</v>
      </c>
      <c r="T1048" s="120"/>
      <c r="U1048" s="121" t="s">
        <v>293</v>
      </c>
      <c r="V1048" s="133">
        <f t="shared" si="468"/>
        <v>1</v>
      </c>
      <c r="W1048" s="133">
        <f>VLOOKUP(U1048,Sheet1!$B$6:$C$45,2,FALSE)*V1048</f>
        <v>0</v>
      </c>
      <c r="X1048" s="141"/>
      <c r="Y1048" s="122" t="s">
        <v>324</v>
      </c>
      <c r="Z1048" s="146">
        <f>VLOOKUP(Takeoffs!Y1048,Sheet1!$B$6:$C$124,2,FALSE)</f>
        <v>48</v>
      </c>
      <c r="AA1048" s="146">
        <f t="shared" si="469"/>
        <v>48</v>
      </c>
      <c r="AB1048" s="143">
        <f t="shared" si="470"/>
        <v>1</v>
      </c>
      <c r="AC1048" s="133">
        <f t="shared" si="471"/>
        <v>1</v>
      </c>
      <c r="AD1048" s="142">
        <v>1</v>
      </c>
      <c r="AE1048" s="141"/>
      <c r="AF1048" s="121" t="s">
        <v>293</v>
      </c>
      <c r="AG1048" s="146">
        <f>VLOOKUP(Takeoffs!AF1048,Sheet1!$B$6:$C$124,2,FALSE)</f>
        <v>0</v>
      </c>
      <c r="AH1048" s="146">
        <f t="shared" si="472"/>
        <v>0</v>
      </c>
      <c r="AI1048" s="143">
        <f t="shared" si="473"/>
        <v>0</v>
      </c>
      <c r="AJ1048" s="133">
        <f t="shared" si="474"/>
        <v>1</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410</v>
      </c>
      <c r="P1049" s="121"/>
      <c r="Q1049" s="121"/>
      <c r="R1049" s="121"/>
      <c r="S1049" s="133">
        <f>M1029</f>
        <v>1</v>
      </c>
      <c r="T1049" s="120"/>
      <c r="U1049" s="121" t="s">
        <v>366</v>
      </c>
      <c r="V1049" s="133">
        <f t="shared" si="468"/>
        <v>1</v>
      </c>
      <c r="W1049" s="133">
        <f>VLOOKUP(U1049,Sheet1!$B$6:$C$45,2,FALSE)*V1049</f>
        <v>2</v>
      </c>
      <c r="X1049" s="141"/>
      <c r="Y1049" s="121" t="s">
        <v>293</v>
      </c>
      <c r="Z1049" s="146">
        <f>VLOOKUP(Takeoffs!Y1049,Sheet1!$B$6:$C$124,2,FALSE)</f>
        <v>0</v>
      </c>
      <c r="AA1049" s="146">
        <f t="shared" si="469"/>
        <v>0</v>
      </c>
      <c r="AB1049" s="143">
        <f t="shared" si="470"/>
        <v>1</v>
      </c>
      <c r="AC1049" s="133">
        <f t="shared" si="471"/>
        <v>1</v>
      </c>
      <c r="AD1049" s="142">
        <v>1</v>
      </c>
      <c r="AE1049" s="141"/>
      <c r="AF1049" s="121" t="s">
        <v>293</v>
      </c>
      <c r="AG1049" s="146">
        <f>VLOOKUP(Takeoffs!AF1049,Sheet1!$B$6:$C$124,2,FALSE)</f>
        <v>0</v>
      </c>
      <c r="AH1049" s="146">
        <f t="shared" si="472"/>
        <v>0</v>
      </c>
      <c r="AI1049" s="143">
        <f t="shared" si="473"/>
        <v>0</v>
      </c>
      <c r="AJ1049" s="133">
        <f t="shared" si="474"/>
        <v>1</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379</v>
      </c>
      <c r="L1050" s="128" t="s">
        <v>380</v>
      </c>
      <c r="N1050" s="129"/>
      <c r="O1050" s="130" t="s">
        <v>359</v>
      </c>
      <c r="P1050" s="131">
        <f>V1050+AA1050+AH1050</f>
        <v>2953.1039999999998</v>
      </c>
      <c r="Q1050" s="131"/>
      <c r="R1050" s="131"/>
      <c r="S1050" s="130"/>
      <c r="T1050" s="127"/>
      <c r="U1050" s="126" t="s">
        <v>353</v>
      </c>
      <c r="V1050" s="127">
        <f>W1050*80</f>
        <v>840</v>
      </c>
      <c r="W1050" s="147">
        <f>SUM(W1029:W1049)</f>
        <v>10.5</v>
      </c>
      <c r="X1050" s="148"/>
      <c r="Y1050" s="127" t="s">
        <v>354</v>
      </c>
      <c r="Z1050" s="116"/>
      <c r="AA1050" s="116">
        <f>SUM(AA1029:AA1049)</f>
        <v>2001.384</v>
      </c>
      <c r="AB1050" s="149"/>
      <c r="AC1050" s="149"/>
      <c r="AD1050" s="149"/>
      <c r="AE1050" s="149"/>
      <c r="AF1050" s="127" t="s">
        <v>358</v>
      </c>
      <c r="AG1050" s="116"/>
      <c r="AH1050" s="116">
        <f>SUM(AH1029:AH1049)</f>
        <v>111.72</v>
      </c>
      <c r="AI1050" s="149"/>
      <c r="AJ1050" s="149"/>
      <c r="AK1050" s="149"/>
      <c r="AL1050" s="149"/>
      <c r="AM1050" s="150">
        <f>P1050</f>
        <v>2953.1039999999998</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494</v>
      </c>
      <c r="C1051" s="217" t="str">
        <f>N1029</f>
        <v>Chilled Water AHU with large VSD</v>
      </c>
      <c r="D1051" s="260" t="s">
        <v>681</v>
      </c>
      <c r="E1051" s="238"/>
      <c r="F1051" s="217"/>
      <c r="G1051" s="217"/>
      <c r="H1051" s="245">
        <v>7</v>
      </c>
      <c r="I1051" s="270">
        <v>1</v>
      </c>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one (1)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2953.1039999999998</v>
      </c>
      <c r="L1051" s="234" t="str">
        <f>CONCATENATE(Q1030,Q1031,Q1032,Q1033,Q1034,Q1035,Q1036,Q1037,Q1038,Q1039,Q1040,Q1041,Q1042,Q1043,Q1044,Q1045,Q1046,Q1047,Q1048,Q1049,)</f>
        <v>fire cabling from FIP.</v>
      </c>
      <c r="M1051" s="166" t="s">
        <v>369</v>
      </c>
      <c r="N1051" s="160" t="str">
        <f>N1029</f>
        <v>Chilled Water AHU with large VSD</v>
      </c>
      <c r="O1051" s="160" t="s">
        <v>367</v>
      </c>
      <c r="P1051" s="64">
        <f>P1050/M1029</f>
        <v>2953.1039999999998</v>
      </c>
      <c r="Q1051" s="161"/>
      <c r="R1051" s="161"/>
      <c r="S1051" s="160"/>
      <c r="T1051" s="161"/>
      <c r="U1051" s="327" t="s">
        <v>368</v>
      </c>
      <c r="V1051" s="327"/>
      <c r="W1051" s="162">
        <f>W1050/M1029</f>
        <v>10.5</v>
      </c>
      <c r="X1051" s="163"/>
      <c r="Y1051" s="325" t="s">
        <v>367</v>
      </c>
      <c r="Z1051" s="325"/>
      <c r="AA1051" s="164">
        <f>AA1050/M1029</f>
        <v>2001.384</v>
      </c>
      <c r="AB1051" s="161"/>
      <c r="AC1051" s="161"/>
      <c r="AD1051" s="161"/>
      <c r="AE1051" s="161"/>
      <c r="AF1051" s="325" t="s">
        <v>367</v>
      </c>
      <c r="AG1051" s="325"/>
      <c r="AH1051" s="164">
        <f>AH1050/M1029</f>
        <v>111.72</v>
      </c>
      <c r="AI1051" s="161"/>
      <c r="AJ1051" s="161"/>
      <c r="AK1051" s="161"/>
      <c r="AL1051" s="247"/>
      <c r="AM1051" s="257"/>
      <c r="AN1051" s="236">
        <f>K1051*1.25</f>
        <v>3691.3799999999997</v>
      </c>
      <c r="AO1051" s="286"/>
      <c r="AP1051" s="284">
        <f t="shared" si="478"/>
        <v>2953.1039999999998</v>
      </c>
      <c r="AQ1051" s="281">
        <f t="shared" si="479"/>
        <v>840</v>
      </c>
      <c r="AR1051" s="284">
        <f t="shared" si="480"/>
        <v>2001.384</v>
      </c>
      <c r="AS1051" s="281">
        <f t="shared" si="481"/>
        <v>111.72</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454</v>
      </c>
      <c r="M1052" s="116" t="s">
        <v>107</v>
      </c>
      <c r="N1052" s="116" t="s">
        <v>108</v>
      </c>
      <c r="O1052" s="170" t="s">
        <v>388</v>
      </c>
      <c r="P1052" s="328" t="s">
        <v>377</v>
      </c>
      <c r="Q1052" s="328"/>
      <c r="R1052" s="101" t="s">
        <v>454</v>
      </c>
      <c r="S1052" s="116" t="s">
        <v>0</v>
      </c>
      <c r="T1052" s="118"/>
      <c r="U1052" s="116" t="s">
        <v>288</v>
      </c>
      <c r="V1052" s="116" t="s">
        <v>289</v>
      </c>
      <c r="W1052" s="116" t="s">
        <v>292</v>
      </c>
      <c r="X1052" s="140"/>
      <c r="Y1052" s="116" t="s">
        <v>290</v>
      </c>
      <c r="Z1052" s="116" t="s">
        <v>356</v>
      </c>
      <c r="AA1052" s="116" t="s">
        <v>357</v>
      </c>
      <c r="AB1052" s="116" t="s">
        <v>319</v>
      </c>
      <c r="AC1052" s="116" t="s">
        <v>320</v>
      </c>
      <c r="AD1052" s="116" t="s">
        <v>318</v>
      </c>
      <c r="AE1052" s="140"/>
      <c r="AF1052" s="116" t="s">
        <v>294</v>
      </c>
      <c r="AG1052" s="116" t="s">
        <v>356</v>
      </c>
      <c r="AH1052" s="116" t="s">
        <v>357</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one</v>
      </c>
      <c r="M1053" s="121">
        <f>I1075</f>
        <v>1</v>
      </c>
      <c r="N1053" s="132" t="s">
        <v>552</v>
      </c>
      <c r="O1053" s="121" t="s">
        <v>349</v>
      </c>
      <c r="P1053" s="169" t="s">
        <v>381</v>
      </c>
      <c r="Q1053" s="169" t="s">
        <v>377</v>
      </c>
      <c r="R1053" s="169"/>
      <c r="S1053" s="133">
        <f>M1053</f>
        <v>1</v>
      </c>
      <c r="T1053" s="119"/>
      <c r="U1053" s="153" t="s">
        <v>293</v>
      </c>
      <c r="V1053" s="133">
        <f>S1053</f>
        <v>1</v>
      </c>
      <c r="W1053" s="133">
        <f>VLOOKUP(U1053,Sheet1!$B$6:$C$45,2,FALSE)*V1053</f>
        <v>0</v>
      </c>
      <c r="X1053" s="141"/>
      <c r="Y1053" s="121" t="s">
        <v>293</v>
      </c>
      <c r="Z1053" s="146">
        <f>VLOOKUP(Takeoffs!Y1053,Sheet1!$B$6:$C$124,2,FALSE)</f>
        <v>0</v>
      </c>
      <c r="AA1053" s="146">
        <f>Z1053*AB1053</f>
        <v>0</v>
      </c>
      <c r="AB1053" s="143">
        <f>AD1053*AC1053</f>
        <v>1</v>
      </c>
      <c r="AC1053" s="133">
        <f>S1053</f>
        <v>1</v>
      </c>
      <c r="AD1053" s="142">
        <v>1</v>
      </c>
      <c r="AE1053" s="141"/>
      <c r="AF1053" s="121" t="s">
        <v>293</v>
      </c>
      <c r="AG1053" s="146">
        <f>VLOOKUP(Takeoffs!AF1053,Sheet1!$B$6:$C$124,2,FALSE)</f>
        <v>0</v>
      </c>
      <c r="AH1053" s="146">
        <f>AG1053*AI1053</f>
        <v>0</v>
      </c>
      <c r="AI1053" s="143">
        <f>AK1053*AJ1053</f>
        <v>0</v>
      </c>
      <c r="AJ1053" s="133">
        <f>S1053</f>
        <v>1</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413</v>
      </c>
      <c r="P1054" s="121"/>
      <c r="Q1054" s="121"/>
      <c r="R1054" s="121"/>
      <c r="S1054" s="133">
        <f>M1053</f>
        <v>1</v>
      </c>
      <c r="T1054" s="120"/>
      <c r="U1054" s="121" t="s">
        <v>235</v>
      </c>
      <c r="V1054" s="133">
        <f t="shared" ref="V1054:V1073" si="483">S1054</f>
        <v>1</v>
      </c>
      <c r="W1054" s="133">
        <f>VLOOKUP(U1054,Sheet1!$B$6:$C$45,2,FALSE)*V1054</f>
        <v>1.5</v>
      </c>
      <c r="X1054" s="141"/>
      <c r="Y1054" s="121" t="s">
        <v>293</v>
      </c>
      <c r="Z1054" s="146">
        <f>VLOOKUP(Takeoffs!Y1054,Sheet1!$B$6:$C$124,2,FALSE)</f>
        <v>0</v>
      </c>
      <c r="AA1054" s="146">
        <f t="shared" ref="AA1054:AA1073" si="484">Z1054*AB1054</f>
        <v>0</v>
      </c>
      <c r="AB1054" s="143">
        <f t="shared" ref="AB1054:AB1073" si="485">AD1054*AC1054</f>
        <v>1</v>
      </c>
      <c r="AC1054" s="133">
        <f t="shared" ref="AC1054:AC1073" si="486">S1054</f>
        <v>1</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1</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1</v>
      </c>
      <c r="T1055" s="120"/>
      <c r="U1055" s="121" t="s">
        <v>293</v>
      </c>
      <c r="V1055" s="133">
        <f t="shared" si="483"/>
        <v>1</v>
      </c>
      <c r="W1055" s="133">
        <f>VLOOKUP(U1055,Sheet1!$B$6:$C$45,2,FALSE)*V1055</f>
        <v>0</v>
      </c>
      <c r="X1055" s="141"/>
      <c r="Y1055" s="122" t="s">
        <v>252</v>
      </c>
      <c r="Z1055" s="146">
        <f>VLOOKUP(Takeoffs!Y1055,Sheet1!$B$6:$C$124,2,FALSE)</f>
        <v>43.440000000000005</v>
      </c>
      <c r="AA1055" s="146">
        <f t="shared" si="484"/>
        <v>43.440000000000005</v>
      </c>
      <c r="AB1055" s="143">
        <f t="shared" si="485"/>
        <v>1</v>
      </c>
      <c r="AC1055" s="133">
        <f t="shared" si="486"/>
        <v>1</v>
      </c>
      <c r="AD1055" s="142">
        <v>1</v>
      </c>
      <c r="AE1055" s="141"/>
      <c r="AF1055" s="121" t="s">
        <v>293</v>
      </c>
      <c r="AG1055" s="146">
        <f>VLOOKUP(Takeoffs!AF1055,Sheet1!$B$6:$C$124,2,FALSE)</f>
        <v>0</v>
      </c>
      <c r="AH1055" s="146">
        <f t="shared" si="487"/>
        <v>0</v>
      </c>
      <c r="AI1055" s="143">
        <f t="shared" si="488"/>
        <v>0</v>
      </c>
      <c r="AJ1055" s="133">
        <f t="shared" si="489"/>
        <v>1</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1</v>
      </c>
      <c r="T1056" s="120"/>
      <c r="U1056" s="117" t="s">
        <v>481</v>
      </c>
      <c r="V1056" s="133">
        <f t="shared" si="483"/>
        <v>1</v>
      </c>
      <c r="W1056" s="133">
        <f>VLOOKUP(U1056,Sheet1!$B$6:$C$45,2,FALSE)*V1056</f>
        <v>2</v>
      </c>
      <c r="X1056" s="141"/>
      <c r="Y1056" s="121" t="s">
        <v>293</v>
      </c>
      <c r="Z1056" s="146">
        <f>VLOOKUP(Takeoffs!Y1056,Sheet1!$B$6:$C$124,2,FALSE)</f>
        <v>0</v>
      </c>
      <c r="AA1056" s="146">
        <f t="shared" si="484"/>
        <v>0</v>
      </c>
      <c r="AB1056" s="143">
        <f t="shared" si="485"/>
        <v>1</v>
      </c>
      <c r="AC1056" s="133">
        <f t="shared" si="486"/>
        <v>1</v>
      </c>
      <c r="AD1056" s="142">
        <v>1</v>
      </c>
      <c r="AE1056" s="141"/>
      <c r="AF1056" s="122" t="s">
        <v>267</v>
      </c>
      <c r="AG1056" s="146">
        <f>VLOOKUP(Takeoffs!AF1056,Sheet1!$B$6:$C$124,2,FALSE)</f>
        <v>3.48</v>
      </c>
      <c r="AH1056" s="146">
        <f t="shared" si="487"/>
        <v>69.599999999999994</v>
      </c>
      <c r="AI1056" s="143">
        <f t="shared" si="488"/>
        <v>20</v>
      </c>
      <c r="AJ1056" s="133">
        <f t="shared" si="489"/>
        <v>1</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325</v>
      </c>
      <c r="P1057" s="121"/>
      <c r="Q1057" s="121"/>
      <c r="R1057" s="121"/>
      <c r="S1057" s="133">
        <f>M1053</f>
        <v>1</v>
      </c>
      <c r="T1057" s="120"/>
      <c r="U1057" s="121" t="s">
        <v>293</v>
      </c>
      <c r="V1057" s="133">
        <f t="shared" si="483"/>
        <v>1</v>
      </c>
      <c r="W1057" s="133">
        <f>VLOOKUP(U1057,Sheet1!$B$6:$C$45,2,FALSE)*V1057</f>
        <v>0</v>
      </c>
      <c r="X1057" s="141"/>
      <c r="Y1057" s="135" t="s">
        <v>546</v>
      </c>
      <c r="Z1057" s="146">
        <f>VLOOKUP(Takeoffs!Y1057,Sheet1!$B$6:$C$124,2,FALSE)</f>
        <v>649.44000000000005</v>
      </c>
      <c r="AA1057" s="146">
        <f t="shared" si="484"/>
        <v>649.44000000000005</v>
      </c>
      <c r="AB1057" s="143">
        <f t="shared" si="485"/>
        <v>1</v>
      </c>
      <c r="AC1057" s="133">
        <f t="shared" si="486"/>
        <v>1</v>
      </c>
      <c r="AD1057" s="142">
        <v>1</v>
      </c>
      <c r="AE1057" s="141"/>
      <c r="AF1057" s="121" t="s">
        <v>293</v>
      </c>
      <c r="AG1057" s="146">
        <f>VLOOKUP(Takeoffs!AF1057,Sheet1!$B$6:$C$124,2,FALSE)</f>
        <v>0</v>
      </c>
      <c r="AH1057" s="146">
        <f t="shared" si="487"/>
        <v>0</v>
      </c>
      <c r="AI1057" s="143">
        <f t="shared" si="488"/>
        <v>0</v>
      </c>
      <c r="AJ1057" s="133">
        <f t="shared" si="489"/>
        <v>1</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392</v>
      </c>
      <c r="P1058" s="121"/>
      <c r="Q1058" s="121"/>
      <c r="R1058" s="121"/>
      <c r="S1058" s="133">
        <f>M1053</f>
        <v>1</v>
      </c>
      <c r="T1058" s="120"/>
      <c r="U1058" s="121" t="s">
        <v>293</v>
      </c>
      <c r="V1058" s="133">
        <f t="shared" si="483"/>
        <v>1</v>
      </c>
      <c r="W1058" s="133">
        <f>VLOOKUP(U1058,Sheet1!$B$6:$C$45,2,FALSE)*V1058</f>
        <v>0</v>
      </c>
      <c r="X1058" s="141"/>
      <c r="Y1058" s="121" t="s">
        <v>293</v>
      </c>
      <c r="Z1058" s="146">
        <f>VLOOKUP(Takeoffs!Y1058,Sheet1!$B$6:$C$124,2,FALSE)</f>
        <v>0</v>
      </c>
      <c r="AA1058" s="146">
        <f t="shared" si="484"/>
        <v>0</v>
      </c>
      <c r="AB1058" s="143">
        <f t="shared" si="485"/>
        <v>1</v>
      </c>
      <c r="AC1058" s="133">
        <f t="shared" si="486"/>
        <v>1</v>
      </c>
      <c r="AD1058" s="142">
        <v>1</v>
      </c>
      <c r="AE1058" s="141"/>
      <c r="AF1058" s="122" t="s">
        <v>267</v>
      </c>
      <c r="AG1058" s="146">
        <f>VLOOKUP(Takeoffs!AF1058,Sheet1!$B$6:$C$124,2,FALSE)</f>
        <v>3.48</v>
      </c>
      <c r="AH1058" s="146">
        <f t="shared" si="487"/>
        <v>10.44</v>
      </c>
      <c r="AI1058" s="143">
        <f t="shared" si="488"/>
        <v>3</v>
      </c>
      <c r="AJ1058" s="133">
        <f t="shared" si="489"/>
        <v>1</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1</v>
      </c>
      <c r="T1059" s="120"/>
      <c r="U1059" s="121" t="s">
        <v>293</v>
      </c>
      <c r="V1059" s="133">
        <f t="shared" si="483"/>
        <v>1</v>
      </c>
      <c r="W1059" s="133">
        <f>VLOOKUP(U1059,Sheet1!$B$6:$C$45,2,FALSE)*V1059</f>
        <v>0</v>
      </c>
      <c r="X1059" s="141"/>
      <c r="Y1059" s="122" t="s">
        <v>245</v>
      </c>
      <c r="Z1059" s="146">
        <f>VLOOKUP(Takeoffs!Y1059,Sheet1!$B$6:$C$124,2,FALSE)</f>
        <v>46.463999999999999</v>
      </c>
      <c r="AA1059" s="146">
        <f t="shared" si="484"/>
        <v>46.463999999999999</v>
      </c>
      <c r="AB1059" s="143">
        <f t="shared" si="485"/>
        <v>1</v>
      </c>
      <c r="AC1059" s="133">
        <f t="shared" si="486"/>
        <v>1</v>
      </c>
      <c r="AD1059" s="142">
        <v>1</v>
      </c>
      <c r="AE1059" s="141"/>
      <c r="AF1059" s="121" t="s">
        <v>293</v>
      </c>
      <c r="AG1059" s="146">
        <f>VLOOKUP(Takeoffs!AF1059,Sheet1!$B$6:$C$124,2,FALSE)</f>
        <v>0</v>
      </c>
      <c r="AH1059" s="146">
        <f t="shared" si="487"/>
        <v>0</v>
      </c>
      <c r="AI1059" s="143">
        <f t="shared" si="488"/>
        <v>0</v>
      </c>
      <c r="AJ1059" s="133">
        <f t="shared" si="489"/>
        <v>1</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1</v>
      </c>
      <c r="T1060" s="120"/>
      <c r="U1060" s="121" t="s">
        <v>293</v>
      </c>
      <c r="V1060" s="133">
        <f t="shared" si="483"/>
        <v>1</v>
      </c>
      <c r="W1060" s="133">
        <f>VLOOKUP(U1060,Sheet1!$B$6:$C$45,2,FALSE)*V1060</f>
        <v>0</v>
      </c>
      <c r="X1060" s="141"/>
      <c r="Y1060" s="122" t="s">
        <v>278</v>
      </c>
      <c r="Z1060" s="146">
        <f>VLOOKUP(Takeoffs!Y1060,Sheet1!$B$6:$C$124,2,FALSE)</f>
        <v>36</v>
      </c>
      <c r="AA1060" s="146">
        <f t="shared" si="484"/>
        <v>36</v>
      </c>
      <c r="AB1060" s="143">
        <f t="shared" si="485"/>
        <v>1</v>
      </c>
      <c r="AC1060" s="133">
        <f t="shared" si="486"/>
        <v>1</v>
      </c>
      <c r="AD1060" s="142">
        <v>1</v>
      </c>
      <c r="AE1060" s="141"/>
      <c r="AF1060" s="121" t="s">
        <v>293</v>
      </c>
      <c r="AG1060" s="146">
        <f>VLOOKUP(Takeoffs!AF1060,Sheet1!$B$6:$C$124,2,FALSE)</f>
        <v>0</v>
      </c>
      <c r="AH1060" s="146">
        <f t="shared" si="487"/>
        <v>0</v>
      </c>
      <c r="AI1060" s="143">
        <f t="shared" si="488"/>
        <v>0</v>
      </c>
      <c r="AJ1060" s="133">
        <f t="shared" si="489"/>
        <v>1</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1</v>
      </c>
      <c r="T1061" s="120"/>
      <c r="U1061" s="121" t="s">
        <v>293</v>
      </c>
      <c r="V1061" s="133">
        <f t="shared" si="483"/>
        <v>1</v>
      </c>
      <c r="W1061" s="133">
        <f>VLOOKUP(U1061,Sheet1!$B$6:$C$45,2,FALSE)*V1061</f>
        <v>0</v>
      </c>
      <c r="X1061" s="141"/>
      <c r="Y1061" s="122" t="s">
        <v>274</v>
      </c>
      <c r="Z1061" s="146">
        <f>VLOOKUP(Takeoffs!Y1061,Sheet1!$B$6:$C$124,2,FALSE)</f>
        <v>360</v>
      </c>
      <c r="AA1061" s="146">
        <f t="shared" si="484"/>
        <v>360</v>
      </c>
      <c r="AB1061" s="143">
        <f t="shared" si="485"/>
        <v>1</v>
      </c>
      <c r="AC1061" s="133">
        <f t="shared" si="486"/>
        <v>1</v>
      </c>
      <c r="AD1061" s="142">
        <v>1</v>
      </c>
      <c r="AE1061" s="141"/>
      <c r="AF1061" s="121" t="s">
        <v>293</v>
      </c>
      <c r="AG1061" s="146">
        <f>VLOOKUP(Takeoffs!AF1061,Sheet1!$B$6:$C$124,2,FALSE)</f>
        <v>0</v>
      </c>
      <c r="AH1061" s="146">
        <f t="shared" si="487"/>
        <v>0</v>
      </c>
      <c r="AI1061" s="143">
        <f t="shared" si="488"/>
        <v>0</v>
      </c>
      <c r="AJ1061" s="133">
        <f t="shared" si="489"/>
        <v>1</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1</v>
      </c>
      <c r="T1062" s="120"/>
      <c r="U1062" s="121" t="s">
        <v>366</v>
      </c>
      <c r="V1062" s="133">
        <f t="shared" si="483"/>
        <v>1</v>
      </c>
      <c r="W1062" s="133">
        <f>VLOOKUP(U1062,Sheet1!$B$6:$C$45,2,FALSE)*V1062</f>
        <v>2</v>
      </c>
      <c r="X1062" s="141"/>
      <c r="Y1062" s="121" t="s">
        <v>293</v>
      </c>
      <c r="Z1062" s="146">
        <f>VLOOKUP(Takeoffs!Y1062,Sheet1!$B$6:$C$124,2,FALSE)</f>
        <v>0</v>
      </c>
      <c r="AA1062" s="146">
        <f t="shared" si="484"/>
        <v>0</v>
      </c>
      <c r="AB1062" s="143">
        <f t="shared" si="485"/>
        <v>1</v>
      </c>
      <c r="AC1062" s="133">
        <f t="shared" si="486"/>
        <v>1</v>
      </c>
      <c r="AD1062" s="142">
        <v>1</v>
      </c>
      <c r="AE1062" s="141"/>
      <c r="AF1062" s="121" t="s">
        <v>293</v>
      </c>
      <c r="AG1062" s="146">
        <f>VLOOKUP(Takeoffs!AF1062,Sheet1!$B$6:$C$124,2,FALSE)</f>
        <v>0</v>
      </c>
      <c r="AH1062" s="146">
        <f t="shared" si="487"/>
        <v>0</v>
      </c>
      <c r="AI1062" s="143">
        <f t="shared" si="488"/>
        <v>0</v>
      </c>
      <c r="AJ1062" s="133">
        <f t="shared" si="489"/>
        <v>1</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1</v>
      </c>
      <c r="T1063" s="120"/>
      <c r="U1063" s="121" t="s">
        <v>293</v>
      </c>
      <c r="V1063" s="133">
        <f t="shared" si="483"/>
        <v>1</v>
      </c>
      <c r="W1063" s="133">
        <f>VLOOKUP(U1063,Sheet1!$B$6:$C$45,2,FALSE)*V1063</f>
        <v>0</v>
      </c>
      <c r="X1063" s="141"/>
      <c r="Y1063" s="121" t="s">
        <v>293</v>
      </c>
      <c r="Z1063" s="146">
        <f>VLOOKUP(Takeoffs!Y1063,Sheet1!$B$6:$C$124,2,FALSE)</f>
        <v>0</v>
      </c>
      <c r="AA1063" s="146">
        <f t="shared" si="484"/>
        <v>0</v>
      </c>
      <c r="AB1063" s="143">
        <f t="shared" si="485"/>
        <v>1</v>
      </c>
      <c r="AC1063" s="133">
        <f t="shared" si="486"/>
        <v>1</v>
      </c>
      <c r="AD1063" s="142">
        <v>1</v>
      </c>
      <c r="AE1063" s="141"/>
      <c r="AF1063" s="121" t="s">
        <v>293</v>
      </c>
      <c r="AG1063" s="146">
        <f>VLOOKUP(Takeoffs!AF1063,Sheet1!$B$6:$C$124,2,FALSE)</f>
        <v>0</v>
      </c>
      <c r="AH1063" s="146">
        <f t="shared" si="487"/>
        <v>0</v>
      </c>
      <c r="AI1063" s="143">
        <f t="shared" si="488"/>
        <v>0</v>
      </c>
      <c r="AJ1063" s="133">
        <f t="shared" si="489"/>
        <v>1</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1</v>
      </c>
      <c r="T1064" s="120"/>
      <c r="U1064" s="121" t="s">
        <v>293</v>
      </c>
      <c r="V1064" s="133">
        <f t="shared" si="483"/>
        <v>1</v>
      </c>
      <c r="W1064" s="133">
        <f>VLOOKUP(U1064,Sheet1!$B$6:$C$45,2,FALSE)*V1064</f>
        <v>0</v>
      </c>
      <c r="X1064" s="141"/>
      <c r="Y1064" s="121" t="s">
        <v>293</v>
      </c>
      <c r="Z1064" s="146">
        <f>VLOOKUP(Takeoffs!Y1064,Sheet1!$B$6:$C$124,2,FALSE)</f>
        <v>0</v>
      </c>
      <c r="AA1064" s="146">
        <f t="shared" si="484"/>
        <v>0</v>
      </c>
      <c r="AB1064" s="143">
        <f t="shared" si="485"/>
        <v>1</v>
      </c>
      <c r="AC1064" s="133">
        <f t="shared" si="486"/>
        <v>1</v>
      </c>
      <c r="AD1064" s="142">
        <v>1</v>
      </c>
      <c r="AE1064" s="141"/>
      <c r="AF1064" s="121" t="s">
        <v>293</v>
      </c>
      <c r="AG1064" s="146">
        <f>VLOOKUP(Takeoffs!AF1064,Sheet1!$B$6:$C$124,2,FALSE)</f>
        <v>0</v>
      </c>
      <c r="AH1064" s="146">
        <f t="shared" si="487"/>
        <v>0</v>
      </c>
      <c r="AI1064" s="143">
        <f t="shared" si="488"/>
        <v>0</v>
      </c>
      <c r="AJ1064" s="133">
        <f t="shared" si="489"/>
        <v>1</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1</v>
      </c>
      <c r="T1065" s="120"/>
      <c r="U1065" s="121" t="s">
        <v>365</v>
      </c>
      <c r="V1065" s="133">
        <f t="shared" si="483"/>
        <v>1</v>
      </c>
      <c r="W1065" s="133">
        <f>VLOOKUP(U1065,Sheet1!$B$6:$C$45,2,FALSE)*V1065</f>
        <v>1</v>
      </c>
      <c r="X1065" s="141"/>
      <c r="Y1065" s="121" t="s">
        <v>293</v>
      </c>
      <c r="Z1065" s="146">
        <f>VLOOKUP(Takeoffs!Y1065,Sheet1!$B$6:$C$124,2,FALSE)</f>
        <v>0</v>
      </c>
      <c r="AA1065" s="146">
        <f t="shared" si="484"/>
        <v>0</v>
      </c>
      <c r="AB1065" s="143">
        <f t="shared" si="485"/>
        <v>1</v>
      </c>
      <c r="AC1065" s="133">
        <f t="shared" si="486"/>
        <v>1</v>
      </c>
      <c r="AD1065" s="142">
        <v>1</v>
      </c>
      <c r="AE1065" s="141"/>
      <c r="AF1065" s="144" t="s">
        <v>269</v>
      </c>
      <c r="AG1065" s="146">
        <f>VLOOKUP(Takeoffs!AF1065,Sheet1!$B$6:$C$124,2,FALSE)</f>
        <v>1.056</v>
      </c>
      <c r="AH1065" s="146">
        <f t="shared" si="487"/>
        <v>31.68</v>
      </c>
      <c r="AI1065" s="143">
        <f t="shared" si="488"/>
        <v>30</v>
      </c>
      <c r="AJ1065" s="133">
        <f t="shared" si="489"/>
        <v>1</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1</v>
      </c>
      <c r="T1066" s="120"/>
      <c r="U1066" s="121" t="s">
        <v>232</v>
      </c>
      <c r="V1066" s="133">
        <f t="shared" si="483"/>
        <v>1</v>
      </c>
      <c r="W1066" s="133">
        <f>VLOOKUP(U1066,Sheet1!$B$6:$C$45,2,FALSE)*V1066</f>
        <v>1</v>
      </c>
      <c r="X1066" s="141"/>
      <c r="Y1066" s="122" t="s">
        <v>281</v>
      </c>
      <c r="Z1066" s="146">
        <f>VLOOKUP(Takeoffs!Y1066,Sheet1!$B$6:$C$124,2,FALSE)</f>
        <v>109.25999999999999</v>
      </c>
      <c r="AA1066" s="146">
        <f t="shared" si="484"/>
        <v>109.25999999999999</v>
      </c>
      <c r="AB1066" s="143">
        <f t="shared" si="485"/>
        <v>1</v>
      </c>
      <c r="AC1066" s="133">
        <f t="shared" si="486"/>
        <v>1</v>
      </c>
      <c r="AD1066" s="142">
        <v>1</v>
      </c>
      <c r="AE1066" s="141"/>
      <c r="AF1066" s="121" t="s">
        <v>293</v>
      </c>
      <c r="AG1066" s="146">
        <f>VLOOKUP(Takeoffs!AF1066,Sheet1!$B$6:$C$124,2,FALSE)</f>
        <v>0</v>
      </c>
      <c r="AH1066" s="146">
        <f t="shared" si="487"/>
        <v>0</v>
      </c>
      <c r="AI1066" s="143">
        <f t="shared" si="488"/>
        <v>0</v>
      </c>
      <c r="AJ1066" s="133">
        <f t="shared" si="489"/>
        <v>1</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1</v>
      </c>
      <c r="T1067" s="120"/>
      <c r="U1067" s="121" t="s">
        <v>365</v>
      </c>
      <c r="V1067" s="133">
        <f t="shared" si="483"/>
        <v>1</v>
      </c>
      <c r="W1067" s="133">
        <f>VLOOKUP(U1067,Sheet1!$B$6:$C$45,2,FALSE)*V1067</f>
        <v>1</v>
      </c>
      <c r="X1067" s="141"/>
      <c r="Y1067" s="122" t="s">
        <v>323</v>
      </c>
      <c r="Z1067" s="146">
        <f>VLOOKUP(Takeoffs!Y1067,Sheet1!$B$6:$C$124,2,FALSE)</f>
        <v>60</v>
      </c>
      <c r="AA1067" s="146">
        <f t="shared" si="484"/>
        <v>60</v>
      </c>
      <c r="AB1067" s="143">
        <f t="shared" si="485"/>
        <v>1</v>
      </c>
      <c r="AC1067" s="133">
        <f t="shared" si="486"/>
        <v>1</v>
      </c>
      <c r="AD1067" s="142">
        <v>1</v>
      </c>
      <c r="AE1067" s="141"/>
      <c r="AF1067" s="121" t="s">
        <v>293</v>
      </c>
      <c r="AG1067" s="146">
        <f>VLOOKUP(Takeoffs!AF1067,Sheet1!$B$6:$C$124,2,FALSE)</f>
        <v>0</v>
      </c>
      <c r="AH1067" s="146">
        <f t="shared" si="487"/>
        <v>0</v>
      </c>
      <c r="AI1067" s="143">
        <f t="shared" si="488"/>
        <v>0</v>
      </c>
      <c r="AJ1067" s="133">
        <f t="shared" si="489"/>
        <v>1</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458</v>
      </c>
      <c r="S1068" s="133">
        <f>M1053</f>
        <v>1</v>
      </c>
      <c r="T1068" s="120"/>
      <c r="U1068" s="121" t="s">
        <v>293</v>
      </c>
      <c r="V1068" s="133">
        <f t="shared" si="483"/>
        <v>1</v>
      </c>
      <c r="W1068" s="133">
        <f>VLOOKUP(U1068,Sheet1!$B$6:$C$45,2,FALSE)*V1068</f>
        <v>0</v>
      </c>
      <c r="X1068" s="141"/>
      <c r="Y1068" s="122" t="s">
        <v>280</v>
      </c>
      <c r="Z1068" s="146">
        <f>VLOOKUP(Takeoffs!Y1068,Sheet1!$B$6:$C$124,2,FALSE)</f>
        <v>19.2</v>
      </c>
      <c r="AA1068" s="146">
        <f t="shared" si="484"/>
        <v>19.2</v>
      </c>
      <c r="AB1068" s="143">
        <f t="shared" si="485"/>
        <v>1</v>
      </c>
      <c r="AC1068" s="133">
        <f t="shared" si="486"/>
        <v>1</v>
      </c>
      <c r="AD1068" s="142">
        <v>1</v>
      </c>
      <c r="AE1068" s="141"/>
      <c r="AF1068" s="121" t="s">
        <v>293</v>
      </c>
      <c r="AG1068" s="146">
        <f>VLOOKUP(Takeoffs!AF1068,Sheet1!$B$6:$C$124,2,FALSE)</f>
        <v>0</v>
      </c>
      <c r="AH1068" s="146">
        <f t="shared" si="487"/>
        <v>0</v>
      </c>
      <c r="AI1068" s="143">
        <f t="shared" si="488"/>
        <v>0</v>
      </c>
      <c r="AJ1068" s="133">
        <f t="shared" si="489"/>
        <v>1</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1</v>
      </c>
      <c r="T1069" s="120"/>
      <c r="U1069" s="121" t="s">
        <v>293</v>
      </c>
      <c r="V1069" s="133">
        <f t="shared" si="483"/>
        <v>1</v>
      </c>
      <c r="W1069" s="133">
        <f>VLOOKUP(U1069,Sheet1!$B$6:$C$45,2,FALSE)*V1069</f>
        <v>0</v>
      </c>
      <c r="X1069" s="141"/>
      <c r="Y1069" s="122" t="s">
        <v>280</v>
      </c>
      <c r="Z1069" s="146">
        <f>VLOOKUP(Takeoffs!Y1069,Sheet1!$B$6:$C$124,2,FALSE)</f>
        <v>19.2</v>
      </c>
      <c r="AA1069" s="146">
        <f t="shared" si="484"/>
        <v>19.2</v>
      </c>
      <c r="AB1069" s="143">
        <f t="shared" si="485"/>
        <v>1</v>
      </c>
      <c r="AC1069" s="133">
        <f t="shared" si="486"/>
        <v>1</v>
      </c>
      <c r="AD1069" s="142">
        <v>1</v>
      </c>
      <c r="AE1069" s="141"/>
      <c r="AF1069" s="121" t="s">
        <v>293</v>
      </c>
      <c r="AG1069" s="146">
        <f>VLOOKUP(Takeoffs!AF1069,Sheet1!$B$6:$C$124,2,FALSE)</f>
        <v>0</v>
      </c>
      <c r="AH1069" s="146">
        <f t="shared" si="487"/>
        <v>0</v>
      </c>
      <c r="AI1069" s="143">
        <f t="shared" si="488"/>
        <v>0</v>
      </c>
      <c r="AJ1069" s="133">
        <f t="shared" si="489"/>
        <v>1</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331</v>
      </c>
      <c r="P1070" s="121"/>
      <c r="Q1070" s="121"/>
      <c r="R1070" s="121" t="s">
        <v>305</v>
      </c>
      <c r="S1070" s="133">
        <f>M1053</f>
        <v>1</v>
      </c>
      <c r="T1070" s="120"/>
      <c r="U1070" s="121" t="s">
        <v>293</v>
      </c>
      <c r="V1070" s="133">
        <f t="shared" si="483"/>
        <v>1</v>
      </c>
      <c r="W1070" s="133">
        <f>VLOOKUP(U1070,Sheet1!$B$6:$C$45,2,FALSE)*V1070</f>
        <v>0</v>
      </c>
      <c r="X1070" s="141"/>
      <c r="Y1070" s="122" t="s">
        <v>277</v>
      </c>
      <c r="Z1070" s="146">
        <f>VLOOKUP(Takeoffs!Y1070,Sheet1!$B$6:$C$124,2,FALSE)</f>
        <v>69.540000000000006</v>
      </c>
      <c r="AA1070" s="146">
        <f t="shared" si="484"/>
        <v>69.540000000000006</v>
      </c>
      <c r="AB1070" s="143">
        <f t="shared" si="485"/>
        <v>1</v>
      </c>
      <c r="AC1070" s="133">
        <f t="shared" si="486"/>
        <v>1</v>
      </c>
      <c r="AD1070" s="142">
        <v>1</v>
      </c>
      <c r="AE1070" s="141"/>
      <c r="AF1070" s="121" t="s">
        <v>293</v>
      </c>
      <c r="AG1070" s="146">
        <f>VLOOKUP(Takeoffs!AF1070,Sheet1!$B$6:$C$124,2,FALSE)</f>
        <v>0</v>
      </c>
      <c r="AH1070" s="146">
        <f t="shared" si="487"/>
        <v>0</v>
      </c>
      <c r="AI1070" s="143">
        <f t="shared" si="488"/>
        <v>0</v>
      </c>
      <c r="AJ1070" s="133">
        <f t="shared" si="489"/>
        <v>1</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1</v>
      </c>
      <c r="T1071" s="120"/>
      <c r="U1071" s="121" t="s">
        <v>293</v>
      </c>
      <c r="V1071" s="133">
        <f t="shared" si="483"/>
        <v>1</v>
      </c>
      <c r="W1071" s="133">
        <f>VLOOKUP(U1071,Sheet1!$B$6:$C$45,2,FALSE)*V1071</f>
        <v>0</v>
      </c>
      <c r="X1071" s="141"/>
      <c r="Y1071" s="121" t="s">
        <v>293</v>
      </c>
      <c r="Z1071" s="146">
        <f>VLOOKUP(Takeoffs!Y1071,Sheet1!$B$6:$C$124,2,FALSE)</f>
        <v>0</v>
      </c>
      <c r="AA1071" s="146">
        <f t="shared" si="484"/>
        <v>0</v>
      </c>
      <c r="AB1071" s="143">
        <f t="shared" si="485"/>
        <v>1</v>
      </c>
      <c r="AC1071" s="133">
        <f t="shared" si="486"/>
        <v>1</v>
      </c>
      <c r="AD1071" s="142">
        <v>1</v>
      </c>
      <c r="AE1071" s="141"/>
      <c r="AF1071" s="121" t="s">
        <v>293</v>
      </c>
      <c r="AG1071" s="146">
        <f>VLOOKUP(Takeoffs!AF1071,Sheet1!$B$6:$C$124,2,FALSE)</f>
        <v>0</v>
      </c>
      <c r="AH1071" s="146">
        <f t="shared" si="487"/>
        <v>0</v>
      </c>
      <c r="AI1071" s="143">
        <f t="shared" si="488"/>
        <v>0</v>
      </c>
      <c r="AJ1071" s="133">
        <f t="shared" si="489"/>
        <v>1</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414</v>
      </c>
      <c r="P1072" s="121" t="s">
        <v>382</v>
      </c>
      <c r="Q1072" s="121" t="s">
        <v>386</v>
      </c>
      <c r="R1072" s="121"/>
      <c r="S1072" s="133">
        <f>M1053</f>
        <v>1</v>
      </c>
      <c r="T1072" s="120"/>
      <c r="U1072" s="121" t="s">
        <v>293</v>
      </c>
      <c r="V1072" s="133">
        <f t="shared" si="483"/>
        <v>1</v>
      </c>
      <c r="W1072" s="133">
        <f>VLOOKUP(U1072,Sheet1!$B$6:$C$45,2,FALSE)*V1072</f>
        <v>0</v>
      </c>
      <c r="X1072" s="141"/>
      <c r="Y1072" s="122" t="s">
        <v>324</v>
      </c>
      <c r="Z1072" s="146">
        <f>VLOOKUP(Takeoffs!Y1072,Sheet1!$B$6:$C$124,2,FALSE)</f>
        <v>48</v>
      </c>
      <c r="AA1072" s="146">
        <f t="shared" si="484"/>
        <v>48</v>
      </c>
      <c r="AB1072" s="143">
        <f t="shared" si="485"/>
        <v>1</v>
      </c>
      <c r="AC1072" s="133">
        <f t="shared" si="486"/>
        <v>1</v>
      </c>
      <c r="AD1072" s="142">
        <v>1</v>
      </c>
      <c r="AE1072" s="141"/>
      <c r="AF1072" s="121" t="s">
        <v>293</v>
      </c>
      <c r="AG1072" s="146">
        <f>VLOOKUP(Takeoffs!AF1072,Sheet1!$B$6:$C$124,2,FALSE)</f>
        <v>0</v>
      </c>
      <c r="AH1072" s="146">
        <f t="shared" si="487"/>
        <v>0</v>
      </c>
      <c r="AI1072" s="143">
        <f t="shared" si="488"/>
        <v>0</v>
      </c>
      <c r="AJ1072" s="133">
        <f t="shared" si="489"/>
        <v>1</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410</v>
      </c>
      <c r="P1073" s="121"/>
      <c r="Q1073" s="121"/>
      <c r="R1073" s="121"/>
      <c r="S1073" s="133">
        <f>M1053</f>
        <v>1</v>
      </c>
      <c r="T1073" s="120"/>
      <c r="U1073" s="121" t="s">
        <v>366</v>
      </c>
      <c r="V1073" s="133">
        <f t="shared" si="483"/>
        <v>1</v>
      </c>
      <c r="W1073" s="133">
        <f>VLOOKUP(U1073,Sheet1!$B$6:$C$45,2,FALSE)*V1073</f>
        <v>2</v>
      </c>
      <c r="X1073" s="141"/>
      <c r="Y1073" s="121" t="s">
        <v>293</v>
      </c>
      <c r="Z1073" s="146">
        <f>VLOOKUP(Takeoffs!Y1073,Sheet1!$B$6:$C$124,2,FALSE)</f>
        <v>0</v>
      </c>
      <c r="AA1073" s="146">
        <f t="shared" si="484"/>
        <v>0</v>
      </c>
      <c r="AB1073" s="143">
        <f t="shared" si="485"/>
        <v>1</v>
      </c>
      <c r="AC1073" s="133">
        <f t="shared" si="486"/>
        <v>1</v>
      </c>
      <c r="AD1073" s="142">
        <v>1</v>
      </c>
      <c r="AE1073" s="141"/>
      <c r="AF1073" s="121" t="s">
        <v>293</v>
      </c>
      <c r="AG1073" s="146">
        <f>VLOOKUP(Takeoffs!AF1073,Sheet1!$B$6:$C$124,2,FALSE)</f>
        <v>0</v>
      </c>
      <c r="AH1073" s="146">
        <f t="shared" si="487"/>
        <v>0</v>
      </c>
      <c r="AI1073" s="143">
        <f t="shared" si="488"/>
        <v>0</v>
      </c>
      <c r="AJ1073" s="133">
        <f t="shared" si="489"/>
        <v>1</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379</v>
      </c>
      <c r="L1074" s="128" t="s">
        <v>380</v>
      </c>
      <c r="N1074" s="129"/>
      <c r="O1074" s="130" t="s">
        <v>359</v>
      </c>
      <c r="P1074" s="131">
        <f>V1074+AA1074+AH1074</f>
        <v>2412.2639999999997</v>
      </c>
      <c r="Q1074" s="131"/>
      <c r="R1074" s="131"/>
      <c r="S1074" s="130"/>
      <c r="T1074" s="127"/>
      <c r="U1074" s="126" t="s">
        <v>353</v>
      </c>
      <c r="V1074" s="127">
        <f>W1074*80</f>
        <v>840</v>
      </c>
      <c r="W1074" s="147">
        <f>SUM(W1053:W1073)</f>
        <v>10.5</v>
      </c>
      <c r="X1074" s="148"/>
      <c r="Y1074" s="127" t="s">
        <v>354</v>
      </c>
      <c r="Z1074" s="116"/>
      <c r="AA1074" s="116">
        <f>SUM(AA1053:AA1073)</f>
        <v>1460.5440000000001</v>
      </c>
      <c r="AB1074" s="149"/>
      <c r="AC1074" s="149"/>
      <c r="AD1074" s="149"/>
      <c r="AE1074" s="149"/>
      <c r="AF1074" s="127" t="s">
        <v>358</v>
      </c>
      <c r="AG1074" s="116"/>
      <c r="AH1074" s="116">
        <f>SUM(AH1053:AH1073)</f>
        <v>111.72</v>
      </c>
      <c r="AI1074" s="149"/>
      <c r="AJ1074" s="149"/>
      <c r="AK1074" s="149"/>
      <c r="AL1074" s="149"/>
      <c r="AM1074" s="150">
        <f>P1074</f>
        <v>2412.2639999999997</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494</v>
      </c>
      <c r="C1075" s="217" t="str">
        <f>N1053</f>
        <v>Chilled Water AHU with small VSD</v>
      </c>
      <c r="D1075" s="260" t="s">
        <v>681</v>
      </c>
      <c r="E1075" s="238"/>
      <c r="F1075" s="217"/>
      <c r="G1075" s="217"/>
      <c r="H1075" s="245"/>
      <c r="I1075" s="270">
        <v>1</v>
      </c>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one (1)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2412.2639999999997</v>
      </c>
      <c r="L1075" s="234" t="str">
        <f>CONCATENATE(Q1054,Q1055,Q1056,Q1057,Q1058,Q1059,Q1060,Q1061,Q1062,Q1063,Q1064,Q1065,Q1066,Q1067,Q1068,Q1069,Q1070,Q1071,Q1072,Q1073,)</f>
        <v>fire cabling from FIP.</v>
      </c>
      <c r="M1075" s="166" t="s">
        <v>369</v>
      </c>
      <c r="N1075" s="160" t="str">
        <f>N1053</f>
        <v>Chilled Water AHU with small VSD</v>
      </c>
      <c r="O1075" s="160" t="s">
        <v>367</v>
      </c>
      <c r="P1075" s="64">
        <f>P1074/M1053</f>
        <v>2412.2639999999997</v>
      </c>
      <c r="Q1075" s="161"/>
      <c r="R1075" s="161"/>
      <c r="S1075" s="160"/>
      <c r="T1075" s="161"/>
      <c r="U1075" s="327" t="s">
        <v>368</v>
      </c>
      <c r="V1075" s="327"/>
      <c r="W1075" s="162">
        <f>W1074/M1053</f>
        <v>10.5</v>
      </c>
      <c r="X1075" s="163"/>
      <c r="Y1075" s="325" t="s">
        <v>367</v>
      </c>
      <c r="Z1075" s="325"/>
      <c r="AA1075" s="164">
        <f>AA1074/M1053</f>
        <v>1460.5440000000001</v>
      </c>
      <c r="AB1075" s="161"/>
      <c r="AC1075" s="161"/>
      <c r="AD1075" s="161"/>
      <c r="AE1075" s="161"/>
      <c r="AF1075" s="325" t="s">
        <v>367</v>
      </c>
      <c r="AG1075" s="325"/>
      <c r="AH1075" s="164">
        <f>AH1074/M1053</f>
        <v>111.72</v>
      </c>
      <c r="AI1075" s="161"/>
      <c r="AJ1075" s="161"/>
      <c r="AK1075" s="161"/>
      <c r="AL1075" s="247"/>
      <c r="AM1075" s="257"/>
      <c r="AN1075" s="236">
        <f>K1075*1.25</f>
        <v>3015.3299999999995</v>
      </c>
      <c r="AO1075" s="286"/>
      <c r="AP1075" s="284">
        <f t="shared" si="478"/>
        <v>2412.2639999999997</v>
      </c>
      <c r="AQ1075" s="281">
        <f t="shared" si="479"/>
        <v>840</v>
      </c>
      <c r="AR1075" s="284">
        <f t="shared" si="480"/>
        <v>1460.5440000000001</v>
      </c>
      <c r="AS1075" s="281">
        <f t="shared" si="481"/>
        <v>111.72</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454</v>
      </c>
      <c r="M1076" s="116" t="s">
        <v>107</v>
      </c>
      <c r="N1076" s="116" t="s">
        <v>108</v>
      </c>
      <c r="O1076" s="170" t="s">
        <v>388</v>
      </c>
      <c r="P1076" s="328" t="s">
        <v>377</v>
      </c>
      <c r="Q1076" s="328"/>
      <c r="R1076" s="101" t="s">
        <v>454</v>
      </c>
      <c r="S1076" s="116" t="s">
        <v>0</v>
      </c>
      <c r="T1076" s="118"/>
      <c r="U1076" s="116" t="s">
        <v>288</v>
      </c>
      <c r="V1076" s="116" t="s">
        <v>289</v>
      </c>
      <c r="W1076" s="116" t="s">
        <v>292</v>
      </c>
      <c r="X1076" s="140"/>
      <c r="Y1076" s="116" t="s">
        <v>290</v>
      </c>
      <c r="Z1076" s="116" t="s">
        <v>356</v>
      </c>
      <c r="AA1076" s="116" t="s">
        <v>357</v>
      </c>
      <c r="AB1076" s="116" t="s">
        <v>319</v>
      </c>
      <c r="AC1076" s="116" t="s">
        <v>320</v>
      </c>
      <c r="AD1076" s="116" t="s">
        <v>318</v>
      </c>
      <c r="AE1076" s="140"/>
      <c r="AF1076" s="116" t="s">
        <v>294</v>
      </c>
      <c r="AG1076" s="116" t="s">
        <v>356</v>
      </c>
      <c r="AH1076" s="116" t="s">
        <v>357</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one</v>
      </c>
      <c r="M1077" s="121">
        <f>I1099</f>
        <v>1</v>
      </c>
      <c r="N1077" s="132" t="s">
        <v>484</v>
      </c>
      <c r="O1077" s="121" t="s">
        <v>349</v>
      </c>
      <c r="P1077" s="169" t="s">
        <v>381</v>
      </c>
      <c r="Q1077" s="169" t="s">
        <v>377</v>
      </c>
      <c r="R1077" s="169"/>
      <c r="S1077" s="133">
        <f>M1077</f>
        <v>1</v>
      </c>
      <c r="T1077" s="119"/>
      <c r="U1077" s="153" t="s">
        <v>293</v>
      </c>
      <c r="V1077" s="133">
        <f>S1077</f>
        <v>1</v>
      </c>
      <c r="W1077" s="133">
        <f>VLOOKUP(U1077,Sheet1!$B$6:$C$45,2,FALSE)*V1077</f>
        <v>0</v>
      </c>
      <c r="X1077" s="141"/>
      <c r="Y1077" s="121" t="s">
        <v>293</v>
      </c>
      <c r="Z1077" s="146">
        <f>VLOOKUP(Takeoffs!Y1077,Sheet1!$B$6:$C$124,2,FALSE)</f>
        <v>0</v>
      </c>
      <c r="AA1077" s="146">
        <f>Z1077*AB1077</f>
        <v>0</v>
      </c>
      <c r="AB1077" s="143">
        <f>AD1077*AC1077</f>
        <v>1</v>
      </c>
      <c r="AC1077" s="133">
        <f>S1077</f>
        <v>1</v>
      </c>
      <c r="AD1077" s="142">
        <v>1</v>
      </c>
      <c r="AE1077" s="141"/>
      <c r="AF1077" s="121" t="s">
        <v>293</v>
      </c>
      <c r="AG1077" s="146">
        <f>VLOOKUP(Takeoffs!AF1077,Sheet1!$B$6:$C$124,2,FALSE)</f>
        <v>0</v>
      </c>
      <c r="AH1077" s="146">
        <f>AG1077*AI1077</f>
        <v>0</v>
      </c>
      <c r="AI1077" s="143">
        <f>AK1077*AJ1077</f>
        <v>0</v>
      </c>
      <c r="AJ1077" s="133">
        <f>S1077</f>
        <v>1</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413</v>
      </c>
      <c r="P1078" s="121"/>
      <c r="Q1078" s="121"/>
      <c r="R1078" s="121"/>
      <c r="S1078" s="133">
        <f>M1077</f>
        <v>1</v>
      </c>
      <c r="T1078" s="120"/>
      <c r="U1078" s="121" t="s">
        <v>235</v>
      </c>
      <c r="V1078" s="133">
        <f t="shared" ref="V1078:V1097" si="493">S1078</f>
        <v>1</v>
      </c>
      <c r="W1078" s="133">
        <f>VLOOKUP(U1078,Sheet1!$B$6:$C$45,2,FALSE)*V1078</f>
        <v>1.5</v>
      </c>
      <c r="X1078" s="141"/>
      <c r="Y1078" s="121" t="s">
        <v>293</v>
      </c>
      <c r="Z1078" s="146">
        <f>VLOOKUP(Takeoffs!Y1078,Sheet1!$B$6:$C$124,2,FALSE)</f>
        <v>0</v>
      </c>
      <c r="AA1078" s="146">
        <f t="shared" ref="AA1078:AA1097" si="494">Z1078*AB1078</f>
        <v>0</v>
      </c>
      <c r="AB1078" s="143">
        <f t="shared" ref="AB1078:AB1097" si="495">AD1078*AC1078</f>
        <v>1</v>
      </c>
      <c r="AC1078" s="133">
        <f>S1078</f>
        <v>1</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1</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1</v>
      </c>
      <c r="T1079" s="120"/>
      <c r="U1079" s="121" t="s">
        <v>293</v>
      </c>
      <c r="V1079" s="133">
        <f t="shared" si="493"/>
        <v>1</v>
      </c>
      <c r="W1079" s="133">
        <f>VLOOKUP(U1079,Sheet1!$B$6:$C$45,2,FALSE)*V1079</f>
        <v>0</v>
      </c>
      <c r="X1079" s="141"/>
      <c r="Y1079" s="122" t="s">
        <v>252</v>
      </c>
      <c r="Z1079" s="146">
        <f>VLOOKUP(Takeoffs!Y1079,Sheet1!$B$6:$C$124,2,FALSE)</f>
        <v>43.440000000000005</v>
      </c>
      <c r="AA1079" s="146">
        <f t="shared" si="494"/>
        <v>43.440000000000005</v>
      </c>
      <c r="AB1079" s="143">
        <f t="shared" si="495"/>
        <v>1</v>
      </c>
      <c r="AC1079" s="133">
        <f>S1079</f>
        <v>1</v>
      </c>
      <c r="AD1079" s="142">
        <v>1</v>
      </c>
      <c r="AE1079" s="141"/>
      <c r="AF1079" s="121" t="s">
        <v>293</v>
      </c>
      <c r="AG1079" s="146">
        <f>VLOOKUP(Takeoffs!AF1079,Sheet1!$B$6:$C$124,2,FALSE)</f>
        <v>0</v>
      </c>
      <c r="AH1079" s="146">
        <f t="shared" si="496"/>
        <v>0</v>
      </c>
      <c r="AI1079" s="143">
        <f t="shared" si="497"/>
        <v>0</v>
      </c>
      <c r="AJ1079" s="133">
        <f t="shared" si="498"/>
        <v>1</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1</v>
      </c>
      <c r="T1080" s="120"/>
      <c r="U1080" s="117" t="s">
        <v>481</v>
      </c>
      <c r="V1080" s="133">
        <f t="shared" si="493"/>
        <v>1</v>
      </c>
      <c r="W1080" s="133">
        <f>VLOOKUP(U1080,Sheet1!$B$6:$C$45,2,FALSE)*V1080</f>
        <v>2</v>
      </c>
      <c r="X1080" s="141"/>
      <c r="Y1080" s="121" t="s">
        <v>293</v>
      </c>
      <c r="Z1080" s="146">
        <f>VLOOKUP(Takeoffs!Y1080,Sheet1!$B$6:$C$124,2,FALSE)</f>
        <v>0</v>
      </c>
      <c r="AA1080" s="146">
        <f t="shared" si="494"/>
        <v>0</v>
      </c>
      <c r="AB1080" s="143">
        <f t="shared" si="495"/>
        <v>1</v>
      </c>
      <c r="AC1080" s="133">
        <f t="shared" ref="AC1080:AC1097" si="500">S1080</f>
        <v>1</v>
      </c>
      <c r="AD1080" s="142">
        <v>1</v>
      </c>
      <c r="AE1080" s="141"/>
      <c r="AF1080" s="122" t="s">
        <v>267</v>
      </c>
      <c r="AG1080" s="146">
        <f>VLOOKUP(Takeoffs!AF1080,Sheet1!$B$6:$C$124,2,FALSE)</f>
        <v>3.48</v>
      </c>
      <c r="AH1080" s="146">
        <f t="shared" si="496"/>
        <v>69.599999999999994</v>
      </c>
      <c r="AI1080" s="143">
        <f t="shared" si="497"/>
        <v>20</v>
      </c>
      <c r="AJ1080" s="133">
        <f t="shared" si="498"/>
        <v>1</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325</v>
      </c>
      <c r="P1081" s="121"/>
      <c r="Q1081" s="121"/>
      <c r="R1081" s="121"/>
      <c r="S1081" s="133">
        <f>M1077</f>
        <v>1</v>
      </c>
      <c r="T1081" s="120"/>
      <c r="U1081" s="121" t="s">
        <v>293</v>
      </c>
      <c r="V1081" s="133">
        <f t="shared" si="493"/>
        <v>1</v>
      </c>
      <c r="W1081" s="133">
        <f>VLOOKUP(U1081,Sheet1!$B$6:$C$45,2,FALSE)*V1081</f>
        <v>0</v>
      </c>
      <c r="X1081" s="141"/>
      <c r="Y1081" s="152" t="s">
        <v>264</v>
      </c>
      <c r="Z1081" s="146">
        <f>VLOOKUP(Takeoffs!Y1081,Sheet1!$B$6:$C$124,2,FALSE)</f>
        <v>751.07999999999993</v>
      </c>
      <c r="AA1081" s="146">
        <f t="shared" si="494"/>
        <v>751.07999999999993</v>
      </c>
      <c r="AB1081" s="143">
        <f t="shared" si="495"/>
        <v>1</v>
      </c>
      <c r="AC1081" s="133">
        <f t="shared" si="500"/>
        <v>1</v>
      </c>
      <c r="AD1081" s="142">
        <v>1</v>
      </c>
      <c r="AE1081" s="141"/>
      <c r="AF1081" s="121" t="s">
        <v>293</v>
      </c>
      <c r="AG1081" s="146">
        <f>VLOOKUP(Takeoffs!AF1081,Sheet1!$B$6:$C$124,2,FALSE)</f>
        <v>0</v>
      </c>
      <c r="AH1081" s="146">
        <f t="shared" si="496"/>
        <v>0</v>
      </c>
      <c r="AI1081" s="143">
        <f t="shared" si="497"/>
        <v>0</v>
      </c>
      <c r="AJ1081" s="133">
        <f t="shared" si="498"/>
        <v>1</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392</v>
      </c>
      <c r="P1082" s="121"/>
      <c r="Q1082" s="121"/>
      <c r="R1082" s="121"/>
      <c r="S1082" s="133">
        <f>M1077</f>
        <v>1</v>
      </c>
      <c r="T1082" s="120"/>
      <c r="U1082" s="121" t="s">
        <v>293</v>
      </c>
      <c r="V1082" s="133">
        <f t="shared" si="493"/>
        <v>1</v>
      </c>
      <c r="W1082" s="133">
        <f>VLOOKUP(U1082,Sheet1!$B$6:$C$45,2,FALSE)*V1082</f>
        <v>0</v>
      </c>
      <c r="X1082" s="141"/>
      <c r="Y1082" s="121" t="s">
        <v>293</v>
      </c>
      <c r="Z1082" s="146">
        <f>VLOOKUP(Takeoffs!Y1082,Sheet1!$B$6:$C$124,2,FALSE)</f>
        <v>0</v>
      </c>
      <c r="AA1082" s="146">
        <f t="shared" si="494"/>
        <v>0</v>
      </c>
      <c r="AB1082" s="143">
        <f t="shared" si="495"/>
        <v>1</v>
      </c>
      <c r="AC1082" s="133">
        <f t="shared" si="500"/>
        <v>1</v>
      </c>
      <c r="AD1082" s="142">
        <v>1</v>
      </c>
      <c r="AE1082" s="141"/>
      <c r="AF1082" s="122" t="s">
        <v>267</v>
      </c>
      <c r="AG1082" s="146">
        <f>VLOOKUP(Takeoffs!AF1082,Sheet1!$B$6:$C$124,2,FALSE)</f>
        <v>3.48</v>
      </c>
      <c r="AH1082" s="146">
        <f t="shared" si="496"/>
        <v>10.44</v>
      </c>
      <c r="AI1082" s="143">
        <f t="shared" si="497"/>
        <v>3</v>
      </c>
      <c r="AJ1082" s="133">
        <f t="shared" si="498"/>
        <v>1</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1</v>
      </c>
      <c r="T1083" s="120"/>
      <c r="U1083" s="121" t="s">
        <v>293</v>
      </c>
      <c r="V1083" s="133">
        <f t="shared" si="493"/>
        <v>1</v>
      </c>
      <c r="W1083" s="133">
        <f>VLOOKUP(U1083,Sheet1!$B$6:$C$45,2,FALSE)*V1083</f>
        <v>0</v>
      </c>
      <c r="X1083" s="141"/>
      <c r="Y1083" s="122" t="s">
        <v>245</v>
      </c>
      <c r="Z1083" s="146">
        <f>VLOOKUP(Takeoffs!Y1083,Sheet1!$B$6:$C$124,2,FALSE)</f>
        <v>46.463999999999999</v>
      </c>
      <c r="AA1083" s="146">
        <f t="shared" si="494"/>
        <v>46.463999999999999</v>
      </c>
      <c r="AB1083" s="143">
        <f t="shared" si="495"/>
        <v>1</v>
      </c>
      <c r="AC1083" s="133">
        <f t="shared" si="500"/>
        <v>1</v>
      </c>
      <c r="AD1083" s="142">
        <v>1</v>
      </c>
      <c r="AE1083" s="141"/>
      <c r="AF1083" s="121" t="s">
        <v>293</v>
      </c>
      <c r="AG1083" s="146">
        <f>VLOOKUP(Takeoffs!AF1083,Sheet1!$B$6:$C$124,2,FALSE)</f>
        <v>0</v>
      </c>
      <c r="AH1083" s="146">
        <f t="shared" si="496"/>
        <v>0</v>
      </c>
      <c r="AI1083" s="143">
        <f t="shared" si="497"/>
        <v>0</v>
      </c>
      <c r="AJ1083" s="133">
        <f t="shared" si="498"/>
        <v>1</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1</v>
      </c>
      <c r="T1084" s="120"/>
      <c r="U1084" s="121" t="s">
        <v>293</v>
      </c>
      <c r="V1084" s="133">
        <f t="shared" si="493"/>
        <v>1</v>
      </c>
      <c r="W1084" s="133">
        <f>VLOOKUP(U1084,Sheet1!$B$6:$C$45,2,FALSE)*V1084</f>
        <v>0</v>
      </c>
      <c r="X1084" s="141"/>
      <c r="Y1084" s="122" t="s">
        <v>278</v>
      </c>
      <c r="Z1084" s="146">
        <f>VLOOKUP(Takeoffs!Y1084,Sheet1!$B$6:$C$124,2,FALSE)</f>
        <v>36</v>
      </c>
      <c r="AA1084" s="146">
        <f t="shared" si="494"/>
        <v>36</v>
      </c>
      <c r="AB1084" s="143">
        <f t="shared" si="495"/>
        <v>1</v>
      </c>
      <c r="AC1084" s="133">
        <f t="shared" si="500"/>
        <v>1</v>
      </c>
      <c r="AD1084" s="142">
        <v>1</v>
      </c>
      <c r="AE1084" s="141"/>
      <c r="AF1084" s="121" t="s">
        <v>293</v>
      </c>
      <c r="AG1084" s="146">
        <f>VLOOKUP(Takeoffs!AF1084,Sheet1!$B$6:$C$124,2,FALSE)</f>
        <v>0</v>
      </c>
      <c r="AH1084" s="146">
        <f t="shared" si="496"/>
        <v>0</v>
      </c>
      <c r="AI1084" s="143">
        <f t="shared" si="497"/>
        <v>0</v>
      </c>
      <c r="AJ1084" s="133">
        <f t="shared" si="498"/>
        <v>1</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1</v>
      </c>
      <c r="T1085" s="120"/>
      <c r="U1085" s="121" t="s">
        <v>293</v>
      </c>
      <c r="V1085" s="133">
        <f t="shared" si="493"/>
        <v>1</v>
      </c>
      <c r="W1085" s="133">
        <f>VLOOKUP(U1085,Sheet1!$B$6:$C$45,2,FALSE)*V1085</f>
        <v>0</v>
      </c>
      <c r="X1085" s="141"/>
      <c r="Y1085" s="122" t="s">
        <v>274</v>
      </c>
      <c r="Z1085" s="146">
        <f>VLOOKUP(Takeoffs!Y1085,Sheet1!$B$6:$C$124,2,FALSE)</f>
        <v>360</v>
      </c>
      <c r="AA1085" s="146">
        <f t="shared" si="494"/>
        <v>360</v>
      </c>
      <c r="AB1085" s="143">
        <f t="shared" si="495"/>
        <v>1</v>
      </c>
      <c r="AC1085" s="133">
        <f t="shared" si="500"/>
        <v>1</v>
      </c>
      <c r="AD1085" s="142">
        <v>1</v>
      </c>
      <c r="AE1085" s="141"/>
      <c r="AF1085" s="121" t="s">
        <v>293</v>
      </c>
      <c r="AG1085" s="146">
        <f>VLOOKUP(Takeoffs!AF1085,Sheet1!$B$6:$C$124,2,FALSE)</f>
        <v>0</v>
      </c>
      <c r="AH1085" s="146">
        <f t="shared" si="496"/>
        <v>0</v>
      </c>
      <c r="AI1085" s="143">
        <f t="shared" si="497"/>
        <v>0</v>
      </c>
      <c r="AJ1085" s="133">
        <f t="shared" si="498"/>
        <v>1</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1</v>
      </c>
      <c r="T1086" s="120"/>
      <c r="U1086" s="121" t="s">
        <v>366</v>
      </c>
      <c r="V1086" s="133">
        <f t="shared" si="493"/>
        <v>1</v>
      </c>
      <c r="W1086" s="133">
        <f>VLOOKUP(U1086,Sheet1!$B$6:$C$45,2,FALSE)*V1086</f>
        <v>2</v>
      </c>
      <c r="X1086" s="141"/>
      <c r="Y1086" s="121" t="s">
        <v>293</v>
      </c>
      <c r="Z1086" s="146">
        <f>VLOOKUP(Takeoffs!Y1086,Sheet1!$B$6:$C$124,2,FALSE)</f>
        <v>0</v>
      </c>
      <c r="AA1086" s="146">
        <f t="shared" si="494"/>
        <v>0</v>
      </c>
      <c r="AB1086" s="143">
        <f t="shared" si="495"/>
        <v>1</v>
      </c>
      <c r="AC1086" s="133">
        <f t="shared" si="500"/>
        <v>1</v>
      </c>
      <c r="AD1086" s="142">
        <v>1</v>
      </c>
      <c r="AE1086" s="141"/>
      <c r="AF1086" s="121" t="s">
        <v>293</v>
      </c>
      <c r="AG1086" s="146">
        <f>VLOOKUP(Takeoffs!AF1086,Sheet1!$B$6:$C$124,2,FALSE)</f>
        <v>0</v>
      </c>
      <c r="AH1086" s="146">
        <f t="shared" si="496"/>
        <v>0</v>
      </c>
      <c r="AI1086" s="143">
        <f t="shared" si="497"/>
        <v>0</v>
      </c>
      <c r="AJ1086" s="133">
        <f t="shared" si="498"/>
        <v>1</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507</v>
      </c>
      <c r="P1087" s="121"/>
      <c r="Q1087" s="121"/>
      <c r="R1087" s="121"/>
      <c r="S1087" s="133">
        <f>M1077</f>
        <v>1</v>
      </c>
      <c r="T1087" s="120"/>
      <c r="U1087" s="121" t="s">
        <v>365</v>
      </c>
      <c r="V1087" s="133">
        <f t="shared" si="493"/>
        <v>1</v>
      </c>
      <c r="W1087" s="133">
        <f>VLOOKUP(U1087,Sheet1!$B$6:$C$45,2,FALSE)*V1087</f>
        <v>1</v>
      </c>
      <c r="X1087" s="141"/>
      <c r="Y1087" s="122" t="s">
        <v>327</v>
      </c>
      <c r="Z1087" s="146">
        <f>VLOOKUP(Takeoffs!Y1087,Sheet1!$B$6:$C$124,2,FALSE)</f>
        <v>240</v>
      </c>
      <c r="AA1087" s="146">
        <f t="shared" si="494"/>
        <v>480</v>
      </c>
      <c r="AB1087" s="143">
        <f t="shared" si="495"/>
        <v>2</v>
      </c>
      <c r="AC1087" s="133">
        <f t="shared" si="500"/>
        <v>1</v>
      </c>
      <c r="AD1087" s="142">
        <v>2</v>
      </c>
      <c r="AE1087" s="141"/>
      <c r="AF1087" s="121" t="s">
        <v>293</v>
      </c>
      <c r="AG1087" s="146">
        <f>VLOOKUP(Takeoffs!AF1087,Sheet1!$B$6:$C$124,2,FALSE)</f>
        <v>0</v>
      </c>
      <c r="AH1087" s="146">
        <f t="shared" si="496"/>
        <v>0</v>
      </c>
      <c r="AI1087" s="143">
        <f t="shared" si="497"/>
        <v>0</v>
      </c>
      <c r="AJ1087" s="133">
        <f t="shared" si="498"/>
        <v>1</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1</v>
      </c>
      <c r="T1088" s="120"/>
      <c r="U1088" s="121" t="s">
        <v>293</v>
      </c>
      <c r="V1088" s="133">
        <f t="shared" si="493"/>
        <v>1</v>
      </c>
      <c r="W1088" s="133">
        <f>VLOOKUP(U1088,Sheet1!$B$6:$C$45,2,FALSE)*V1088</f>
        <v>0</v>
      </c>
      <c r="X1088" s="141"/>
      <c r="Y1088" s="121" t="s">
        <v>293</v>
      </c>
      <c r="Z1088" s="146">
        <f>VLOOKUP(Takeoffs!Y1088,Sheet1!$B$6:$C$124,2,FALSE)</f>
        <v>0</v>
      </c>
      <c r="AA1088" s="146">
        <f t="shared" si="494"/>
        <v>0</v>
      </c>
      <c r="AB1088" s="143">
        <f t="shared" si="495"/>
        <v>1</v>
      </c>
      <c r="AC1088" s="133">
        <f t="shared" si="500"/>
        <v>1</v>
      </c>
      <c r="AD1088" s="142">
        <v>1</v>
      </c>
      <c r="AE1088" s="141"/>
      <c r="AF1088" s="121" t="s">
        <v>293</v>
      </c>
      <c r="AG1088" s="146">
        <f>VLOOKUP(Takeoffs!AF1088,Sheet1!$B$6:$C$124,2,FALSE)</f>
        <v>0</v>
      </c>
      <c r="AH1088" s="146">
        <f t="shared" si="496"/>
        <v>0</v>
      </c>
      <c r="AI1088" s="143">
        <f t="shared" si="497"/>
        <v>0</v>
      </c>
      <c r="AJ1088" s="133">
        <f t="shared" si="498"/>
        <v>1</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1</v>
      </c>
      <c r="T1089" s="120"/>
      <c r="U1089" s="121" t="s">
        <v>365</v>
      </c>
      <c r="V1089" s="133">
        <f t="shared" si="493"/>
        <v>1</v>
      </c>
      <c r="W1089" s="133">
        <f>VLOOKUP(U1089,Sheet1!$B$6:$C$45,2,FALSE)*V1089</f>
        <v>1</v>
      </c>
      <c r="X1089" s="141"/>
      <c r="Y1089" s="121" t="s">
        <v>293</v>
      </c>
      <c r="Z1089" s="146">
        <f>VLOOKUP(Takeoffs!Y1089,Sheet1!$B$6:$C$124,2,FALSE)</f>
        <v>0</v>
      </c>
      <c r="AA1089" s="146">
        <f t="shared" si="494"/>
        <v>0</v>
      </c>
      <c r="AB1089" s="143">
        <f t="shared" si="495"/>
        <v>1</v>
      </c>
      <c r="AC1089" s="133">
        <f t="shared" si="500"/>
        <v>1</v>
      </c>
      <c r="AD1089" s="142">
        <v>1</v>
      </c>
      <c r="AE1089" s="141"/>
      <c r="AF1089" s="144" t="s">
        <v>269</v>
      </c>
      <c r="AG1089" s="146">
        <f>VLOOKUP(Takeoffs!AF1089,Sheet1!$B$6:$C$124,2,FALSE)</f>
        <v>1.056</v>
      </c>
      <c r="AH1089" s="146">
        <f t="shared" si="496"/>
        <v>31.68</v>
      </c>
      <c r="AI1089" s="143">
        <f t="shared" si="497"/>
        <v>30</v>
      </c>
      <c r="AJ1089" s="133">
        <f t="shared" si="498"/>
        <v>1</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1</v>
      </c>
      <c r="T1090" s="120"/>
      <c r="U1090" s="121" t="s">
        <v>232</v>
      </c>
      <c r="V1090" s="133">
        <f t="shared" si="493"/>
        <v>1</v>
      </c>
      <c r="W1090" s="133">
        <f>VLOOKUP(U1090,Sheet1!$B$6:$C$45,2,FALSE)*V1090</f>
        <v>1</v>
      </c>
      <c r="X1090" s="141"/>
      <c r="Y1090" s="122" t="s">
        <v>281</v>
      </c>
      <c r="Z1090" s="146">
        <f>VLOOKUP(Takeoffs!Y1090,Sheet1!$B$6:$C$124,2,FALSE)</f>
        <v>109.25999999999999</v>
      </c>
      <c r="AA1090" s="146">
        <f t="shared" si="494"/>
        <v>109.25999999999999</v>
      </c>
      <c r="AB1090" s="143">
        <f t="shared" si="495"/>
        <v>1</v>
      </c>
      <c r="AC1090" s="133">
        <f t="shared" si="500"/>
        <v>1</v>
      </c>
      <c r="AD1090" s="142">
        <v>1</v>
      </c>
      <c r="AE1090" s="141"/>
      <c r="AF1090" s="121" t="s">
        <v>293</v>
      </c>
      <c r="AG1090" s="146">
        <f>VLOOKUP(Takeoffs!AF1090,Sheet1!$B$6:$C$124,2,FALSE)</f>
        <v>0</v>
      </c>
      <c r="AH1090" s="146">
        <f t="shared" si="496"/>
        <v>0</v>
      </c>
      <c r="AI1090" s="143">
        <f t="shared" si="497"/>
        <v>0</v>
      </c>
      <c r="AJ1090" s="133">
        <f t="shared" si="498"/>
        <v>1</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1</v>
      </c>
      <c r="T1091" s="120"/>
      <c r="U1091" s="121" t="s">
        <v>365</v>
      </c>
      <c r="V1091" s="133">
        <f t="shared" si="493"/>
        <v>1</v>
      </c>
      <c r="W1091" s="133">
        <f>VLOOKUP(U1091,Sheet1!$B$6:$C$45,2,FALSE)*V1091</f>
        <v>1</v>
      </c>
      <c r="X1091" s="141"/>
      <c r="Y1091" s="122" t="s">
        <v>323</v>
      </c>
      <c r="Z1091" s="146">
        <f>VLOOKUP(Takeoffs!Y1091,Sheet1!$B$6:$C$124,2,FALSE)</f>
        <v>60</v>
      </c>
      <c r="AA1091" s="146">
        <f t="shared" si="494"/>
        <v>60</v>
      </c>
      <c r="AB1091" s="143">
        <f t="shared" si="495"/>
        <v>1</v>
      </c>
      <c r="AC1091" s="133">
        <f t="shared" si="500"/>
        <v>1</v>
      </c>
      <c r="AD1091" s="142">
        <v>1</v>
      </c>
      <c r="AE1091" s="141"/>
      <c r="AF1091" s="121" t="s">
        <v>293</v>
      </c>
      <c r="AG1091" s="146">
        <f>VLOOKUP(Takeoffs!AF1091,Sheet1!$B$6:$C$124,2,FALSE)</f>
        <v>0</v>
      </c>
      <c r="AH1091" s="146">
        <f t="shared" si="496"/>
        <v>0</v>
      </c>
      <c r="AI1091" s="143">
        <f t="shared" si="497"/>
        <v>0</v>
      </c>
      <c r="AJ1091" s="133">
        <f t="shared" si="498"/>
        <v>1</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458</v>
      </c>
      <c r="S1092" s="133">
        <f>M1077</f>
        <v>1</v>
      </c>
      <c r="T1092" s="120"/>
      <c r="U1092" s="121" t="s">
        <v>293</v>
      </c>
      <c r="V1092" s="133">
        <f t="shared" si="493"/>
        <v>1</v>
      </c>
      <c r="W1092" s="133">
        <f>VLOOKUP(U1092,Sheet1!$B$6:$C$45,2,FALSE)*V1092</f>
        <v>0</v>
      </c>
      <c r="X1092" s="141"/>
      <c r="Y1092" s="122" t="s">
        <v>280</v>
      </c>
      <c r="Z1092" s="146">
        <f>VLOOKUP(Takeoffs!Y1092,Sheet1!$B$6:$C$124,2,FALSE)</f>
        <v>19.2</v>
      </c>
      <c r="AA1092" s="146">
        <f t="shared" si="494"/>
        <v>19.2</v>
      </c>
      <c r="AB1092" s="143">
        <f t="shared" si="495"/>
        <v>1</v>
      </c>
      <c r="AC1092" s="133">
        <f t="shared" si="500"/>
        <v>1</v>
      </c>
      <c r="AD1092" s="142">
        <v>1</v>
      </c>
      <c r="AE1092" s="141"/>
      <c r="AF1092" s="121" t="s">
        <v>293</v>
      </c>
      <c r="AG1092" s="146">
        <f>VLOOKUP(Takeoffs!AF1092,Sheet1!$B$6:$C$124,2,FALSE)</f>
        <v>0</v>
      </c>
      <c r="AH1092" s="146">
        <f t="shared" si="496"/>
        <v>0</v>
      </c>
      <c r="AI1092" s="143">
        <f t="shared" si="497"/>
        <v>0</v>
      </c>
      <c r="AJ1092" s="133">
        <f t="shared" si="498"/>
        <v>1</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1</v>
      </c>
      <c r="T1093" s="120"/>
      <c r="U1093" s="121" t="s">
        <v>293</v>
      </c>
      <c r="V1093" s="133">
        <f t="shared" si="493"/>
        <v>1</v>
      </c>
      <c r="W1093" s="133">
        <f>VLOOKUP(U1093,Sheet1!$B$6:$C$45,2,FALSE)*V1093</f>
        <v>0</v>
      </c>
      <c r="X1093" s="141"/>
      <c r="Y1093" s="122" t="s">
        <v>280</v>
      </c>
      <c r="Z1093" s="146">
        <f>VLOOKUP(Takeoffs!Y1093,Sheet1!$B$6:$C$124,2,FALSE)</f>
        <v>19.2</v>
      </c>
      <c r="AA1093" s="146">
        <f t="shared" si="494"/>
        <v>19.2</v>
      </c>
      <c r="AB1093" s="143">
        <f t="shared" si="495"/>
        <v>1</v>
      </c>
      <c r="AC1093" s="133">
        <f t="shared" si="500"/>
        <v>1</v>
      </c>
      <c r="AD1093" s="142">
        <v>1</v>
      </c>
      <c r="AE1093" s="141"/>
      <c r="AF1093" s="121" t="s">
        <v>293</v>
      </c>
      <c r="AG1093" s="146">
        <f>VLOOKUP(Takeoffs!AF1093,Sheet1!$B$6:$C$124,2,FALSE)</f>
        <v>0</v>
      </c>
      <c r="AH1093" s="146">
        <f t="shared" si="496"/>
        <v>0</v>
      </c>
      <c r="AI1093" s="143">
        <f t="shared" si="497"/>
        <v>0</v>
      </c>
      <c r="AJ1093" s="133">
        <f t="shared" si="498"/>
        <v>1</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331</v>
      </c>
      <c r="P1094" s="121"/>
      <c r="Q1094" s="121"/>
      <c r="R1094" s="121" t="s">
        <v>305</v>
      </c>
      <c r="S1094" s="133">
        <f>M1077</f>
        <v>1</v>
      </c>
      <c r="T1094" s="120"/>
      <c r="U1094" s="121" t="s">
        <v>293</v>
      </c>
      <c r="V1094" s="133">
        <f t="shared" si="493"/>
        <v>1</v>
      </c>
      <c r="W1094" s="133">
        <f>VLOOKUP(U1094,Sheet1!$B$6:$C$45,2,FALSE)*V1094</f>
        <v>0</v>
      </c>
      <c r="X1094" s="141"/>
      <c r="Y1094" s="122" t="s">
        <v>277</v>
      </c>
      <c r="Z1094" s="146">
        <f>VLOOKUP(Takeoffs!Y1094,Sheet1!$B$6:$C$124,2,FALSE)</f>
        <v>69.540000000000006</v>
      </c>
      <c r="AA1094" s="146">
        <f t="shared" si="494"/>
        <v>69.540000000000006</v>
      </c>
      <c r="AB1094" s="143">
        <f t="shared" si="495"/>
        <v>1</v>
      </c>
      <c r="AC1094" s="133">
        <f t="shared" si="500"/>
        <v>1</v>
      </c>
      <c r="AD1094" s="142">
        <v>1</v>
      </c>
      <c r="AE1094" s="141"/>
      <c r="AF1094" s="121" t="s">
        <v>293</v>
      </c>
      <c r="AG1094" s="146">
        <f>VLOOKUP(Takeoffs!AF1094,Sheet1!$B$6:$C$124,2,FALSE)</f>
        <v>0</v>
      </c>
      <c r="AH1094" s="146">
        <f t="shared" si="496"/>
        <v>0</v>
      </c>
      <c r="AI1094" s="143">
        <f t="shared" si="497"/>
        <v>0</v>
      </c>
      <c r="AJ1094" s="133">
        <f t="shared" si="498"/>
        <v>1</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1</v>
      </c>
      <c r="T1095" s="120"/>
      <c r="U1095" s="121" t="s">
        <v>293</v>
      </c>
      <c r="V1095" s="133">
        <f t="shared" si="493"/>
        <v>1</v>
      </c>
      <c r="W1095" s="133">
        <f>VLOOKUP(U1095,Sheet1!$B$6:$C$45,2,FALSE)*V1095</f>
        <v>0</v>
      </c>
      <c r="X1095" s="141"/>
      <c r="Y1095" s="121" t="s">
        <v>293</v>
      </c>
      <c r="Z1095" s="146">
        <f>VLOOKUP(Takeoffs!Y1095,Sheet1!$B$6:$C$124,2,FALSE)</f>
        <v>0</v>
      </c>
      <c r="AA1095" s="146">
        <f t="shared" si="494"/>
        <v>0</v>
      </c>
      <c r="AB1095" s="143">
        <f t="shared" si="495"/>
        <v>1</v>
      </c>
      <c r="AC1095" s="133">
        <f t="shared" si="500"/>
        <v>1</v>
      </c>
      <c r="AD1095" s="142">
        <v>1</v>
      </c>
      <c r="AE1095" s="141"/>
      <c r="AF1095" s="121" t="s">
        <v>293</v>
      </c>
      <c r="AG1095" s="146">
        <f>VLOOKUP(Takeoffs!AF1095,Sheet1!$B$6:$C$124,2,FALSE)</f>
        <v>0</v>
      </c>
      <c r="AH1095" s="146">
        <f t="shared" si="496"/>
        <v>0</v>
      </c>
      <c r="AI1095" s="143">
        <f t="shared" si="497"/>
        <v>0</v>
      </c>
      <c r="AJ1095" s="133">
        <f t="shared" si="498"/>
        <v>1</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414</v>
      </c>
      <c r="P1096" s="121" t="s">
        <v>382</v>
      </c>
      <c r="Q1096" s="121" t="s">
        <v>386</v>
      </c>
      <c r="R1096" s="121"/>
      <c r="S1096" s="133">
        <f>M1077</f>
        <v>1</v>
      </c>
      <c r="T1096" s="120"/>
      <c r="U1096" s="121" t="s">
        <v>293</v>
      </c>
      <c r="V1096" s="133">
        <f t="shared" si="493"/>
        <v>1</v>
      </c>
      <c r="W1096" s="133">
        <f>VLOOKUP(U1096,Sheet1!$B$6:$C$45,2,FALSE)*V1096</f>
        <v>0</v>
      </c>
      <c r="X1096" s="141"/>
      <c r="Y1096" s="122" t="s">
        <v>324</v>
      </c>
      <c r="Z1096" s="146">
        <f>VLOOKUP(Takeoffs!Y1096,Sheet1!$B$6:$C$124,2,FALSE)</f>
        <v>48</v>
      </c>
      <c r="AA1096" s="146">
        <f t="shared" si="494"/>
        <v>48</v>
      </c>
      <c r="AB1096" s="143">
        <f t="shared" si="495"/>
        <v>1</v>
      </c>
      <c r="AC1096" s="133">
        <f t="shared" si="500"/>
        <v>1</v>
      </c>
      <c r="AD1096" s="142">
        <v>1</v>
      </c>
      <c r="AE1096" s="141"/>
      <c r="AF1096" s="121" t="s">
        <v>293</v>
      </c>
      <c r="AG1096" s="146">
        <f>VLOOKUP(Takeoffs!AF1096,Sheet1!$B$6:$C$124,2,FALSE)</f>
        <v>0</v>
      </c>
      <c r="AH1096" s="146">
        <f t="shared" si="496"/>
        <v>0</v>
      </c>
      <c r="AI1096" s="143">
        <f t="shared" si="497"/>
        <v>0</v>
      </c>
      <c r="AJ1096" s="133">
        <f t="shared" si="498"/>
        <v>1</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410</v>
      </c>
      <c r="P1097" s="121"/>
      <c r="Q1097" s="121"/>
      <c r="R1097" s="121"/>
      <c r="S1097" s="133">
        <f>M1077</f>
        <v>1</v>
      </c>
      <c r="T1097" s="120"/>
      <c r="U1097" s="121" t="s">
        <v>366</v>
      </c>
      <c r="V1097" s="133">
        <f t="shared" si="493"/>
        <v>1</v>
      </c>
      <c r="W1097" s="133">
        <f>VLOOKUP(U1097,Sheet1!$B$6:$C$45,2,FALSE)*V1097</f>
        <v>2</v>
      </c>
      <c r="X1097" s="141"/>
      <c r="Y1097" s="121" t="s">
        <v>293</v>
      </c>
      <c r="Z1097" s="146">
        <f>VLOOKUP(Takeoffs!Y1097,Sheet1!$B$6:$C$124,2,FALSE)</f>
        <v>0</v>
      </c>
      <c r="AA1097" s="146">
        <f t="shared" si="494"/>
        <v>0</v>
      </c>
      <c r="AB1097" s="143">
        <f t="shared" si="495"/>
        <v>1</v>
      </c>
      <c r="AC1097" s="133">
        <f t="shared" si="500"/>
        <v>1</v>
      </c>
      <c r="AD1097" s="142">
        <v>1</v>
      </c>
      <c r="AE1097" s="141"/>
      <c r="AF1097" s="121" t="s">
        <v>293</v>
      </c>
      <c r="AG1097" s="146">
        <f>VLOOKUP(Takeoffs!AF1097,Sheet1!$B$6:$C$124,2,FALSE)</f>
        <v>0</v>
      </c>
      <c r="AH1097" s="146">
        <f t="shared" si="496"/>
        <v>0</v>
      </c>
      <c r="AI1097" s="143">
        <f t="shared" si="497"/>
        <v>0</v>
      </c>
      <c r="AJ1097" s="133">
        <f t="shared" si="498"/>
        <v>1</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379</v>
      </c>
      <c r="L1098" s="128" t="s">
        <v>380</v>
      </c>
      <c r="N1098" s="129"/>
      <c r="O1098" s="130" t="s">
        <v>359</v>
      </c>
      <c r="P1098" s="131">
        <f>V1098+AA1098+AH1098</f>
        <v>3073.904</v>
      </c>
      <c r="Q1098" s="131"/>
      <c r="R1098" s="131"/>
      <c r="S1098" s="130"/>
      <c r="T1098" s="127"/>
      <c r="U1098" s="126" t="s">
        <v>353</v>
      </c>
      <c r="V1098" s="127">
        <f>W1098*80</f>
        <v>920</v>
      </c>
      <c r="W1098" s="147">
        <f>SUM(W1077:W1097)</f>
        <v>11.5</v>
      </c>
      <c r="X1098" s="148"/>
      <c r="Y1098" s="127" t="s">
        <v>354</v>
      </c>
      <c r="Z1098" s="116"/>
      <c r="AA1098" s="116">
        <f>SUM(AA1077:AA1097)</f>
        <v>2042.184</v>
      </c>
      <c r="AB1098" s="149"/>
      <c r="AC1098" s="149"/>
      <c r="AD1098" s="149"/>
      <c r="AE1098" s="149"/>
      <c r="AF1098" s="127" t="s">
        <v>358</v>
      </c>
      <c r="AG1098" s="116"/>
      <c r="AH1098" s="116">
        <f>SUM(AH1077:AH1097)</f>
        <v>111.72</v>
      </c>
      <c r="AI1098" s="149"/>
      <c r="AJ1098" s="149"/>
      <c r="AK1098" s="149"/>
      <c r="AL1098" s="149"/>
      <c r="AM1098" s="150">
        <f>P1098</f>
        <v>3073.904</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494</v>
      </c>
      <c r="C1099" s="217" t="str">
        <f>N1077</f>
        <v>Fire essential Chilled Water AHU with VSD</v>
      </c>
      <c r="D1099" s="260" t="s">
        <v>681</v>
      </c>
      <c r="E1099" s="238"/>
      <c r="F1099" s="217"/>
      <c r="G1099" s="217"/>
      <c r="H1099" s="245"/>
      <c r="I1099" s="270">
        <v>1</v>
      </c>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one (1)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3073.904</v>
      </c>
      <c r="L1099" s="234" t="str">
        <f>CONCATENATE(Q1078,Q1079,Q1080,Q1081,Q1082,Q1083,Q1084,Q1085,Q1086,Q1087,Q1088,Q1089,Q1090,Q1091,Q1092,Q1093,Q1094,Q1095,Q1096,Q1097,)</f>
        <v>fire cabling from FIP.</v>
      </c>
      <c r="M1099" s="166" t="s">
        <v>369</v>
      </c>
      <c r="N1099" s="160" t="str">
        <f>N1077</f>
        <v>Fire essential Chilled Water AHU with VSD</v>
      </c>
      <c r="O1099" s="160" t="s">
        <v>367</v>
      </c>
      <c r="P1099" s="64">
        <f>P1098/M1077</f>
        <v>3073.904</v>
      </c>
      <c r="Q1099" s="161"/>
      <c r="R1099" s="161"/>
      <c r="S1099" s="160"/>
      <c r="T1099" s="161"/>
      <c r="U1099" s="327" t="s">
        <v>368</v>
      </c>
      <c r="V1099" s="327"/>
      <c r="W1099" s="162">
        <f>W1098/M1077</f>
        <v>11.5</v>
      </c>
      <c r="X1099" s="163"/>
      <c r="Y1099" s="325" t="s">
        <v>367</v>
      </c>
      <c r="Z1099" s="325"/>
      <c r="AA1099" s="164">
        <f>AA1098/M1077</f>
        <v>2042.184</v>
      </c>
      <c r="AB1099" s="161"/>
      <c r="AC1099" s="161"/>
      <c r="AD1099" s="161"/>
      <c r="AE1099" s="161"/>
      <c r="AF1099" s="325" t="s">
        <v>367</v>
      </c>
      <c r="AG1099" s="325"/>
      <c r="AH1099" s="164">
        <f>AH1098/M1077</f>
        <v>111.72</v>
      </c>
      <c r="AI1099" s="161"/>
      <c r="AJ1099" s="161"/>
      <c r="AK1099" s="161"/>
      <c r="AL1099" s="247"/>
      <c r="AM1099" s="257"/>
      <c r="AN1099" s="236">
        <f>K1099*1.25</f>
        <v>3842.38</v>
      </c>
      <c r="AO1099" s="286"/>
      <c r="AP1099" s="284">
        <f t="shared" si="478"/>
        <v>3073.904</v>
      </c>
      <c r="AQ1099" s="281">
        <f t="shared" si="479"/>
        <v>920</v>
      </c>
      <c r="AR1099" s="284">
        <f t="shared" si="480"/>
        <v>2042.184</v>
      </c>
      <c r="AS1099" s="281">
        <f t="shared" si="481"/>
        <v>111.72</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454</v>
      </c>
      <c r="M1100" s="116" t="s">
        <v>107</v>
      </c>
      <c r="N1100" s="116" t="s">
        <v>108</v>
      </c>
      <c r="O1100" s="170" t="s">
        <v>388</v>
      </c>
      <c r="P1100" s="326" t="s">
        <v>377</v>
      </c>
      <c r="Q1100" s="326"/>
      <c r="R1100" s="101" t="s">
        <v>454</v>
      </c>
      <c r="S1100" s="116" t="s">
        <v>0</v>
      </c>
      <c r="T1100" s="118"/>
      <c r="U1100" s="116" t="s">
        <v>288</v>
      </c>
      <c r="V1100" s="116" t="s">
        <v>289</v>
      </c>
      <c r="W1100" s="116" t="s">
        <v>292</v>
      </c>
      <c r="X1100" s="140"/>
      <c r="Y1100" s="116" t="s">
        <v>290</v>
      </c>
      <c r="Z1100" s="116" t="s">
        <v>356</v>
      </c>
      <c r="AA1100" s="116" t="s">
        <v>357</v>
      </c>
      <c r="AB1100" s="116" t="s">
        <v>319</v>
      </c>
      <c r="AC1100" s="116" t="s">
        <v>320</v>
      </c>
      <c r="AD1100" s="116" t="s">
        <v>318</v>
      </c>
      <c r="AE1100" s="140"/>
      <c r="AF1100" s="116" t="s">
        <v>294</v>
      </c>
      <c r="AG1100" s="116" t="s">
        <v>356</v>
      </c>
      <c r="AH1100" s="116" t="s">
        <v>357</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one</v>
      </c>
      <c r="M1101" s="121">
        <f>I1123</f>
        <v>1</v>
      </c>
      <c r="N1101" s="132" t="s">
        <v>484</v>
      </c>
      <c r="O1101" s="121" t="s">
        <v>349</v>
      </c>
      <c r="P1101" s="169" t="s">
        <v>381</v>
      </c>
      <c r="Q1101" s="169" t="s">
        <v>377</v>
      </c>
      <c r="R1101" s="169"/>
      <c r="S1101" s="133">
        <f>M1101</f>
        <v>1</v>
      </c>
      <c r="T1101" s="119"/>
      <c r="U1101" s="153" t="s">
        <v>293</v>
      </c>
      <c r="V1101" s="133">
        <f>S1101</f>
        <v>1</v>
      </c>
      <c r="W1101" s="133">
        <f>VLOOKUP(U1101,Sheet1!$B$6:$C$45,2,FALSE)*V1101</f>
        <v>0</v>
      </c>
      <c r="X1101" s="141"/>
      <c r="Y1101" s="121" t="s">
        <v>293</v>
      </c>
      <c r="Z1101" s="146">
        <f>VLOOKUP(Takeoffs!Y1101,Sheet1!$B$6:$C$124,2,FALSE)</f>
        <v>0</v>
      </c>
      <c r="AA1101" s="146">
        <f>Z1101*AB1101</f>
        <v>0</v>
      </c>
      <c r="AB1101" s="143">
        <f>AD1101*AC1101</f>
        <v>1</v>
      </c>
      <c r="AC1101" s="133">
        <f>S1101</f>
        <v>1</v>
      </c>
      <c r="AD1101" s="142">
        <v>1</v>
      </c>
      <c r="AE1101" s="141"/>
      <c r="AF1101" s="121" t="s">
        <v>293</v>
      </c>
      <c r="AG1101" s="146">
        <f>VLOOKUP(Takeoffs!AF1101,Sheet1!$B$6:$C$124,2,FALSE)</f>
        <v>0</v>
      </c>
      <c r="AH1101" s="146">
        <f>AG1101*AI1101</f>
        <v>0</v>
      </c>
      <c r="AI1101" s="143">
        <f>AK1101*AJ1101</f>
        <v>0</v>
      </c>
      <c r="AJ1101" s="133">
        <f>S1101</f>
        <v>1</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413</v>
      </c>
      <c r="P1102" s="121"/>
      <c r="Q1102" s="121"/>
      <c r="R1102" s="121"/>
      <c r="S1102" s="133">
        <f>M1101</f>
        <v>1</v>
      </c>
      <c r="T1102" s="120"/>
      <c r="U1102" s="121" t="s">
        <v>235</v>
      </c>
      <c r="V1102" s="133">
        <f t="shared" ref="V1102:V1121" si="502">S1102</f>
        <v>1</v>
      </c>
      <c r="W1102" s="133">
        <f>VLOOKUP(U1102,Sheet1!$B$6:$C$45,2,FALSE)*V1102</f>
        <v>1.5</v>
      </c>
      <c r="X1102" s="141"/>
      <c r="Y1102" s="121" t="s">
        <v>293</v>
      </c>
      <c r="Z1102" s="146">
        <f>VLOOKUP(Takeoffs!Y1102,Sheet1!$B$6:$C$124,2,FALSE)</f>
        <v>0</v>
      </c>
      <c r="AA1102" s="146">
        <f t="shared" ref="AA1102:AA1121" si="503">Z1102*AB1102</f>
        <v>0</v>
      </c>
      <c r="AB1102" s="143">
        <f t="shared" ref="AB1102:AB1121" si="504">AD1102*AC1102</f>
        <v>1</v>
      </c>
      <c r="AC1102" s="133">
        <f>S1102</f>
        <v>1</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1</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1</v>
      </c>
      <c r="T1103" s="120"/>
      <c r="U1103" s="121" t="s">
        <v>293</v>
      </c>
      <c r="V1103" s="133">
        <f t="shared" si="502"/>
        <v>1</v>
      </c>
      <c r="W1103" s="133">
        <f>VLOOKUP(U1103,Sheet1!$B$6:$C$45,2,FALSE)*V1103</f>
        <v>0</v>
      </c>
      <c r="X1103" s="141"/>
      <c r="Y1103" s="122" t="s">
        <v>252</v>
      </c>
      <c r="Z1103" s="146">
        <f>VLOOKUP(Takeoffs!Y1103,Sheet1!$B$6:$C$124,2,FALSE)</f>
        <v>43.440000000000005</v>
      </c>
      <c r="AA1103" s="146">
        <f t="shared" si="503"/>
        <v>43.440000000000005</v>
      </c>
      <c r="AB1103" s="143">
        <f t="shared" si="504"/>
        <v>1</v>
      </c>
      <c r="AC1103" s="133">
        <f>S1103</f>
        <v>1</v>
      </c>
      <c r="AD1103" s="142">
        <v>1</v>
      </c>
      <c r="AE1103" s="141"/>
      <c r="AF1103" s="121" t="s">
        <v>293</v>
      </c>
      <c r="AG1103" s="146">
        <f>VLOOKUP(Takeoffs!AF1103,Sheet1!$B$6:$C$124,2,FALSE)</f>
        <v>0</v>
      </c>
      <c r="AH1103" s="146">
        <f t="shared" si="505"/>
        <v>0</v>
      </c>
      <c r="AI1103" s="143">
        <f t="shared" si="506"/>
        <v>0</v>
      </c>
      <c r="AJ1103" s="133">
        <f t="shared" si="507"/>
        <v>1</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1</v>
      </c>
      <c r="T1104" s="120"/>
      <c r="U1104" s="117" t="s">
        <v>481</v>
      </c>
      <c r="V1104" s="133">
        <f t="shared" si="502"/>
        <v>1</v>
      </c>
      <c r="W1104" s="133">
        <f>VLOOKUP(U1104,Sheet1!$B$6:$C$45,2,FALSE)*V1104</f>
        <v>2</v>
      </c>
      <c r="X1104" s="141"/>
      <c r="Y1104" s="121" t="s">
        <v>293</v>
      </c>
      <c r="Z1104" s="146">
        <f>VLOOKUP(Takeoffs!Y1104,Sheet1!$B$6:$C$124,2,FALSE)</f>
        <v>0</v>
      </c>
      <c r="AA1104" s="146">
        <f t="shared" si="503"/>
        <v>0</v>
      </c>
      <c r="AB1104" s="143">
        <f t="shared" si="504"/>
        <v>1</v>
      </c>
      <c r="AC1104" s="133">
        <f t="shared" ref="AC1104:AC1121" si="509">S1104</f>
        <v>1</v>
      </c>
      <c r="AD1104" s="142">
        <v>1</v>
      </c>
      <c r="AE1104" s="141"/>
      <c r="AF1104" s="144" t="s">
        <v>270</v>
      </c>
      <c r="AG1104" s="146">
        <f>VLOOKUP(Takeoffs!AF1104,Sheet1!$B$6:$C$124,2,FALSE)</f>
        <v>5.7960000000000003</v>
      </c>
      <c r="AH1104" s="146">
        <f t="shared" si="505"/>
        <v>115.92</v>
      </c>
      <c r="AI1104" s="143">
        <f t="shared" si="506"/>
        <v>20</v>
      </c>
      <c r="AJ1104" s="133">
        <f t="shared" si="507"/>
        <v>1</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325</v>
      </c>
      <c r="P1105" s="121"/>
      <c r="Q1105" s="121"/>
      <c r="R1105" s="121"/>
      <c r="S1105" s="133">
        <f>M1101</f>
        <v>1</v>
      </c>
      <c r="T1105" s="120"/>
      <c r="U1105" s="121" t="s">
        <v>293</v>
      </c>
      <c r="V1105" s="133">
        <f t="shared" si="502"/>
        <v>1</v>
      </c>
      <c r="W1105" s="133">
        <f>VLOOKUP(U1105,Sheet1!$B$6:$C$45,2,FALSE)*V1105</f>
        <v>0</v>
      </c>
      <c r="X1105" s="141"/>
      <c r="Y1105" s="152" t="s">
        <v>264</v>
      </c>
      <c r="Z1105" s="146">
        <f>VLOOKUP(Takeoffs!Y1105,Sheet1!$B$6:$C$124,2,FALSE)</f>
        <v>751.07999999999993</v>
      </c>
      <c r="AA1105" s="146">
        <f t="shared" si="503"/>
        <v>751.07999999999993</v>
      </c>
      <c r="AB1105" s="143">
        <f t="shared" si="504"/>
        <v>1</v>
      </c>
      <c r="AC1105" s="133">
        <f t="shared" si="509"/>
        <v>1</v>
      </c>
      <c r="AD1105" s="142">
        <v>1</v>
      </c>
      <c r="AE1105" s="141"/>
      <c r="AF1105" s="121" t="s">
        <v>293</v>
      </c>
      <c r="AG1105" s="146">
        <f>VLOOKUP(Takeoffs!AF1105,Sheet1!$B$6:$C$124,2,FALSE)</f>
        <v>0</v>
      </c>
      <c r="AH1105" s="146">
        <f t="shared" si="505"/>
        <v>0</v>
      </c>
      <c r="AI1105" s="143">
        <f t="shared" si="506"/>
        <v>0</v>
      </c>
      <c r="AJ1105" s="133">
        <f t="shared" si="507"/>
        <v>1</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392</v>
      </c>
      <c r="P1106" s="121"/>
      <c r="Q1106" s="121"/>
      <c r="R1106" s="121"/>
      <c r="S1106" s="133">
        <f>M1101</f>
        <v>1</v>
      </c>
      <c r="T1106" s="120"/>
      <c r="U1106" s="121" t="s">
        <v>293</v>
      </c>
      <c r="V1106" s="133">
        <f t="shared" si="502"/>
        <v>1</v>
      </c>
      <c r="W1106" s="133">
        <f>VLOOKUP(U1106,Sheet1!$B$6:$C$45,2,FALSE)*V1106</f>
        <v>0</v>
      </c>
      <c r="X1106" s="141"/>
      <c r="Y1106" s="121" t="s">
        <v>293</v>
      </c>
      <c r="Z1106" s="146">
        <f>VLOOKUP(Takeoffs!Y1106,Sheet1!$B$6:$C$124,2,FALSE)</f>
        <v>0</v>
      </c>
      <c r="AA1106" s="146">
        <f t="shared" si="503"/>
        <v>0</v>
      </c>
      <c r="AB1106" s="143">
        <f t="shared" si="504"/>
        <v>1</v>
      </c>
      <c r="AC1106" s="133">
        <f t="shared" si="509"/>
        <v>1</v>
      </c>
      <c r="AD1106" s="142">
        <v>1</v>
      </c>
      <c r="AE1106" s="141"/>
      <c r="AF1106" s="122" t="s">
        <v>267</v>
      </c>
      <c r="AG1106" s="146">
        <f>VLOOKUP(Takeoffs!AF1106,Sheet1!$B$6:$C$124,2,FALSE)</f>
        <v>3.48</v>
      </c>
      <c r="AH1106" s="146">
        <f t="shared" si="505"/>
        <v>10.44</v>
      </c>
      <c r="AI1106" s="143">
        <f t="shared" si="506"/>
        <v>3</v>
      </c>
      <c r="AJ1106" s="133">
        <f t="shared" si="507"/>
        <v>1</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1</v>
      </c>
      <c r="T1107" s="120"/>
      <c r="U1107" s="121" t="s">
        <v>293</v>
      </c>
      <c r="V1107" s="133">
        <f t="shared" si="502"/>
        <v>1</v>
      </c>
      <c r="W1107" s="133">
        <f>VLOOKUP(U1107,Sheet1!$B$6:$C$45,2,FALSE)*V1107</f>
        <v>0</v>
      </c>
      <c r="X1107" s="141"/>
      <c r="Y1107" s="122" t="s">
        <v>245</v>
      </c>
      <c r="Z1107" s="146">
        <f>VLOOKUP(Takeoffs!Y1107,Sheet1!$B$6:$C$124,2,FALSE)</f>
        <v>46.463999999999999</v>
      </c>
      <c r="AA1107" s="146">
        <f t="shared" si="503"/>
        <v>46.463999999999999</v>
      </c>
      <c r="AB1107" s="143">
        <f t="shared" si="504"/>
        <v>1</v>
      </c>
      <c r="AC1107" s="133">
        <f t="shared" si="509"/>
        <v>1</v>
      </c>
      <c r="AD1107" s="142">
        <v>1</v>
      </c>
      <c r="AE1107" s="141"/>
      <c r="AF1107" s="121" t="s">
        <v>293</v>
      </c>
      <c r="AG1107" s="146">
        <f>VLOOKUP(Takeoffs!AF1107,Sheet1!$B$6:$C$124,2,FALSE)</f>
        <v>0</v>
      </c>
      <c r="AH1107" s="146">
        <f t="shared" si="505"/>
        <v>0</v>
      </c>
      <c r="AI1107" s="143">
        <f t="shared" si="506"/>
        <v>0</v>
      </c>
      <c r="AJ1107" s="133">
        <f t="shared" si="507"/>
        <v>1</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1</v>
      </c>
      <c r="T1108" s="120"/>
      <c r="U1108" s="121" t="s">
        <v>293</v>
      </c>
      <c r="V1108" s="133">
        <f t="shared" si="502"/>
        <v>1</v>
      </c>
      <c r="W1108" s="133">
        <f>VLOOKUP(U1108,Sheet1!$B$6:$C$45,2,FALSE)*V1108</f>
        <v>0</v>
      </c>
      <c r="X1108" s="141"/>
      <c r="Y1108" s="122" t="s">
        <v>278</v>
      </c>
      <c r="Z1108" s="146">
        <f>VLOOKUP(Takeoffs!Y1108,Sheet1!$B$6:$C$124,2,FALSE)</f>
        <v>36</v>
      </c>
      <c r="AA1108" s="146">
        <f t="shared" si="503"/>
        <v>36</v>
      </c>
      <c r="AB1108" s="143">
        <f t="shared" si="504"/>
        <v>1</v>
      </c>
      <c r="AC1108" s="133">
        <f t="shared" si="509"/>
        <v>1</v>
      </c>
      <c r="AD1108" s="142">
        <v>1</v>
      </c>
      <c r="AE1108" s="141"/>
      <c r="AF1108" s="121" t="s">
        <v>293</v>
      </c>
      <c r="AG1108" s="146">
        <f>VLOOKUP(Takeoffs!AF1108,Sheet1!$B$6:$C$124,2,FALSE)</f>
        <v>0</v>
      </c>
      <c r="AH1108" s="146">
        <f t="shared" si="505"/>
        <v>0</v>
      </c>
      <c r="AI1108" s="143">
        <f t="shared" si="506"/>
        <v>0</v>
      </c>
      <c r="AJ1108" s="133">
        <f t="shared" si="507"/>
        <v>1</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1</v>
      </c>
      <c r="T1109" s="120"/>
      <c r="U1109" s="121" t="s">
        <v>293</v>
      </c>
      <c r="V1109" s="133">
        <f t="shared" si="502"/>
        <v>1</v>
      </c>
      <c r="W1109" s="133">
        <f>VLOOKUP(U1109,Sheet1!$B$6:$C$45,2,FALSE)*V1109</f>
        <v>0</v>
      </c>
      <c r="X1109" s="141"/>
      <c r="Y1109" s="122" t="s">
        <v>274</v>
      </c>
      <c r="Z1109" s="146">
        <f>VLOOKUP(Takeoffs!Y1109,Sheet1!$B$6:$C$124,2,FALSE)</f>
        <v>360</v>
      </c>
      <c r="AA1109" s="146">
        <f t="shared" si="503"/>
        <v>360</v>
      </c>
      <c r="AB1109" s="143">
        <f t="shared" si="504"/>
        <v>1</v>
      </c>
      <c r="AC1109" s="133">
        <f t="shared" si="509"/>
        <v>1</v>
      </c>
      <c r="AD1109" s="142">
        <v>1</v>
      </c>
      <c r="AE1109" s="141"/>
      <c r="AF1109" s="121" t="s">
        <v>293</v>
      </c>
      <c r="AG1109" s="146">
        <f>VLOOKUP(Takeoffs!AF1109,Sheet1!$B$6:$C$124,2,FALSE)</f>
        <v>0</v>
      </c>
      <c r="AH1109" s="146">
        <f t="shared" si="505"/>
        <v>0</v>
      </c>
      <c r="AI1109" s="143">
        <f t="shared" si="506"/>
        <v>0</v>
      </c>
      <c r="AJ1109" s="133">
        <f t="shared" si="507"/>
        <v>1</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1</v>
      </c>
      <c r="T1110" s="120"/>
      <c r="U1110" s="121" t="s">
        <v>366</v>
      </c>
      <c r="V1110" s="133">
        <f t="shared" si="502"/>
        <v>1</v>
      </c>
      <c r="W1110" s="133">
        <f>VLOOKUP(U1110,Sheet1!$B$6:$C$45,2,FALSE)*V1110</f>
        <v>2</v>
      </c>
      <c r="X1110" s="141"/>
      <c r="Y1110" s="121" t="s">
        <v>293</v>
      </c>
      <c r="Z1110" s="146">
        <f>VLOOKUP(Takeoffs!Y1110,Sheet1!$B$6:$C$124,2,FALSE)</f>
        <v>0</v>
      </c>
      <c r="AA1110" s="146">
        <f t="shared" si="503"/>
        <v>0</v>
      </c>
      <c r="AB1110" s="143">
        <f t="shared" si="504"/>
        <v>1</v>
      </c>
      <c r="AC1110" s="133">
        <f t="shared" si="509"/>
        <v>1</v>
      </c>
      <c r="AD1110" s="142">
        <v>1</v>
      </c>
      <c r="AE1110" s="141"/>
      <c r="AF1110" s="121" t="s">
        <v>293</v>
      </c>
      <c r="AG1110" s="146">
        <f>VLOOKUP(Takeoffs!AF1110,Sheet1!$B$6:$C$124,2,FALSE)</f>
        <v>0</v>
      </c>
      <c r="AH1110" s="146">
        <f t="shared" si="505"/>
        <v>0</v>
      </c>
      <c r="AI1110" s="143">
        <f t="shared" si="506"/>
        <v>0</v>
      </c>
      <c r="AJ1110" s="133">
        <f t="shared" si="507"/>
        <v>1</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507</v>
      </c>
      <c r="P1111" s="121"/>
      <c r="Q1111" s="121"/>
      <c r="R1111" s="121"/>
      <c r="S1111" s="133">
        <f>M1101</f>
        <v>1</v>
      </c>
      <c r="T1111" s="120"/>
      <c r="U1111" s="121" t="s">
        <v>365</v>
      </c>
      <c r="V1111" s="133">
        <f t="shared" si="502"/>
        <v>1</v>
      </c>
      <c r="W1111" s="133">
        <f>VLOOKUP(U1111,Sheet1!$B$6:$C$45,2,FALSE)*V1111</f>
        <v>1</v>
      </c>
      <c r="X1111" s="141"/>
      <c r="Y1111" s="122" t="s">
        <v>327</v>
      </c>
      <c r="Z1111" s="146">
        <f>VLOOKUP(Takeoffs!Y1111,Sheet1!$B$6:$C$124,2,FALSE)</f>
        <v>240</v>
      </c>
      <c r="AA1111" s="146">
        <f t="shared" si="503"/>
        <v>480</v>
      </c>
      <c r="AB1111" s="143">
        <f t="shared" si="504"/>
        <v>2</v>
      </c>
      <c r="AC1111" s="133">
        <f t="shared" si="509"/>
        <v>1</v>
      </c>
      <c r="AD1111" s="142">
        <v>2</v>
      </c>
      <c r="AE1111" s="141"/>
      <c r="AF1111" s="121" t="s">
        <v>293</v>
      </c>
      <c r="AG1111" s="146">
        <f>VLOOKUP(Takeoffs!AF1111,Sheet1!$B$6:$C$124,2,FALSE)</f>
        <v>0</v>
      </c>
      <c r="AH1111" s="146">
        <f t="shared" si="505"/>
        <v>0</v>
      </c>
      <c r="AI1111" s="143">
        <f t="shared" si="506"/>
        <v>0</v>
      </c>
      <c r="AJ1111" s="133">
        <f t="shared" si="507"/>
        <v>1</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1</v>
      </c>
      <c r="T1112" s="120"/>
      <c r="U1112" s="121" t="s">
        <v>293</v>
      </c>
      <c r="V1112" s="133">
        <f t="shared" si="502"/>
        <v>1</v>
      </c>
      <c r="W1112" s="133">
        <f>VLOOKUP(U1112,Sheet1!$B$6:$C$45,2,FALSE)*V1112</f>
        <v>0</v>
      </c>
      <c r="X1112" s="141"/>
      <c r="Y1112" s="121" t="s">
        <v>293</v>
      </c>
      <c r="Z1112" s="146">
        <f>VLOOKUP(Takeoffs!Y1112,Sheet1!$B$6:$C$124,2,FALSE)</f>
        <v>0</v>
      </c>
      <c r="AA1112" s="146">
        <f t="shared" si="503"/>
        <v>0</v>
      </c>
      <c r="AB1112" s="143">
        <f t="shared" si="504"/>
        <v>1</v>
      </c>
      <c r="AC1112" s="133">
        <f t="shared" si="509"/>
        <v>1</v>
      </c>
      <c r="AD1112" s="142">
        <v>1</v>
      </c>
      <c r="AE1112" s="141"/>
      <c r="AF1112" s="121" t="s">
        <v>293</v>
      </c>
      <c r="AG1112" s="146">
        <f>VLOOKUP(Takeoffs!AF1112,Sheet1!$B$6:$C$124,2,FALSE)</f>
        <v>0</v>
      </c>
      <c r="AH1112" s="146">
        <f t="shared" si="505"/>
        <v>0</v>
      </c>
      <c r="AI1112" s="143">
        <f t="shared" si="506"/>
        <v>0</v>
      </c>
      <c r="AJ1112" s="133">
        <f t="shared" si="507"/>
        <v>1</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1</v>
      </c>
      <c r="T1113" s="120"/>
      <c r="U1113" s="121" t="s">
        <v>365</v>
      </c>
      <c r="V1113" s="133">
        <f t="shared" si="502"/>
        <v>1</v>
      </c>
      <c r="W1113" s="133">
        <f>VLOOKUP(U1113,Sheet1!$B$6:$C$45,2,FALSE)*V1113</f>
        <v>1</v>
      </c>
      <c r="X1113" s="141"/>
      <c r="Y1113" s="121" t="s">
        <v>293</v>
      </c>
      <c r="Z1113" s="146">
        <f>VLOOKUP(Takeoffs!Y1113,Sheet1!$B$6:$C$124,2,FALSE)</f>
        <v>0</v>
      </c>
      <c r="AA1113" s="146">
        <f t="shared" si="503"/>
        <v>0</v>
      </c>
      <c r="AB1113" s="143">
        <f t="shared" si="504"/>
        <v>1</v>
      </c>
      <c r="AC1113" s="133">
        <f t="shared" si="509"/>
        <v>1</v>
      </c>
      <c r="AD1113" s="142">
        <v>1</v>
      </c>
      <c r="AE1113" s="141"/>
      <c r="AF1113" s="144" t="s">
        <v>269</v>
      </c>
      <c r="AG1113" s="146">
        <f>VLOOKUP(Takeoffs!AF1113,Sheet1!$B$6:$C$124,2,FALSE)</f>
        <v>1.056</v>
      </c>
      <c r="AH1113" s="146">
        <f t="shared" si="505"/>
        <v>31.68</v>
      </c>
      <c r="AI1113" s="143">
        <f t="shared" si="506"/>
        <v>30</v>
      </c>
      <c r="AJ1113" s="133">
        <f t="shared" si="507"/>
        <v>1</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1</v>
      </c>
      <c r="T1114" s="120"/>
      <c r="U1114" s="121" t="s">
        <v>232</v>
      </c>
      <c r="V1114" s="133">
        <f t="shared" si="502"/>
        <v>1</v>
      </c>
      <c r="W1114" s="133">
        <f>VLOOKUP(U1114,Sheet1!$B$6:$C$45,2,FALSE)*V1114</f>
        <v>1</v>
      </c>
      <c r="X1114" s="141"/>
      <c r="Y1114" s="122" t="s">
        <v>281</v>
      </c>
      <c r="Z1114" s="146">
        <f>VLOOKUP(Takeoffs!Y1114,Sheet1!$B$6:$C$124,2,FALSE)</f>
        <v>109.25999999999999</v>
      </c>
      <c r="AA1114" s="146">
        <f t="shared" si="503"/>
        <v>109.25999999999999</v>
      </c>
      <c r="AB1114" s="143">
        <f t="shared" si="504"/>
        <v>1</v>
      </c>
      <c r="AC1114" s="133">
        <f t="shared" si="509"/>
        <v>1</v>
      </c>
      <c r="AD1114" s="142">
        <v>1</v>
      </c>
      <c r="AE1114" s="141"/>
      <c r="AF1114" s="121" t="s">
        <v>293</v>
      </c>
      <c r="AG1114" s="146">
        <f>VLOOKUP(Takeoffs!AF1114,Sheet1!$B$6:$C$124,2,FALSE)</f>
        <v>0</v>
      </c>
      <c r="AH1114" s="146">
        <f t="shared" si="505"/>
        <v>0</v>
      </c>
      <c r="AI1114" s="143">
        <f t="shared" si="506"/>
        <v>0</v>
      </c>
      <c r="AJ1114" s="133">
        <f t="shared" si="507"/>
        <v>1</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1</v>
      </c>
      <c r="T1115" s="120"/>
      <c r="U1115" s="121" t="s">
        <v>365</v>
      </c>
      <c r="V1115" s="133">
        <f t="shared" si="502"/>
        <v>1</v>
      </c>
      <c r="W1115" s="133">
        <f>VLOOKUP(U1115,Sheet1!$B$6:$C$45,2,FALSE)*V1115</f>
        <v>1</v>
      </c>
      <c r="X1115" s="141"/>
      <c r="Y1115" s="122" t="s">
        <v>323</v>
      </c>
      <c r="Z1115" s="146">
        <f>VLOOKUP(Takeoffs!Y1115,Sheet1!$B$6:$C$124,2,FALSE)</f>
        <v>60</v>
      </c>
      <c r="AA1115" s="146">
        <f t="shared" si="503"/>
        <v>60</v>
      </c>
      <c r="AB1115" s="143">
        <f t="shared" si="504"/>
        <v>1</v>
      </c>
      <c r="AC1115" s="133">
        <f t="shared" si="509"/>
        <v>1</v>
      </c>
      <c r="AD1115" s="142">
        <v>1</v>
      </c>
      <c r="AE1115" s="141"/>
      <c r="AF1115" s="121" t="s">
        <v>293</v>
      </c>
      <c r="AG1115" s="146">
        <f>VLOOKUP(Takeoffs!AF1115,Sheet1!$B$6:$C$124,2,FALSE)</f>
        <v>0</v>
      </c>
      <c r="AH1115" s="146">
        <f t="shared" si="505"/>
        <v>0</v>
      </c>
      <c r="AI1115" s="143">
        <f t="shared" si="506"/>
        <v>0</v>
      </c>
      <c r="AJ1115" s="133">
        <f t="shared" si="507"/>
        <v>1</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458</v>
      </c>
      <c r="S1116" s="133">
        <f>M1101</f>
        <v>1</v>
      </c>
      <c r="T1116" s="120"/>
      <c r="U1116" s="121" t="s">
        <v>293</v>
      </c>
      <c r="V1116" s="133">
        <f t="shared" si="502"/>
        <v>1</v>
      </c>
      <c r="W1116" s="133">
        <f>VLOOKUP(U1116,Sheet1!$B$6:$C$45,2,FALSE)*V1116</f>
        <v>0</v>
      </c>
      <c r="X1116" s="141"/>
      <c r="Y1116" s="122" t="s">
        <v>280</v>
      </c>
      <c r="Z1116" s="146">
        <f>VLOOKUP(Takeoffs!Y1116,Sheet1!$B$6:$C$124,2,FALSE)</f>
        <v>19.2</v>
      </c>
      <c r="AA1116" s="146">
        <f t="shared" si="503"/>
        <v>19.2</v>
      </c>
      <c r="AB1116" s="143">
        <f t="shared" si="504"/>
        <v>1</v>
      </c>
      <c r="AC1116" s="133">
        <f t="shared" si="509"/>
        <v>1</v>
      </c>
      <c r="AD1116" s="142">
        <v>1</v>
      </c>
      <c r="AE1116" s="141"/>
      <c r="AF1116" s="121" t="s">
        <v>293</v>
      </c>
      <c r="AG1116" s="146">
        <f>VLOOKUP(Takeoffs!AF1116,Sheet1!$B$6:$C$124,2,FALSE)</f>
        <v>0</v>
      </c>
      <c r="AH1116" s="146">
        <f t="shared" si="505"/>
        <v>0</v>
      </c>
      <c r="AI1116" s="143">
        <f t="shared" si="506"/>
        <v>0</v>
      </c>
      <c r="AJ1116" s="133">
        <f t="shared" si="507"/>
        <v>1</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1</v>
      </c>
      <c r="T1117" s="120"/>
      <c r="U1117" s="121" t="s">
        <v>293</v>
      </c>
      <c r="V1117" s="133">
        <f t="shared" si="502"/>
        <v>1</v>
      </c>
      <c r="W1117" s="133">
        <f>VLOOKUP(U1117,Sheet1!$B$6:$C$45,2,FALSE)*V1117</f>
        <v>0</v>
      </c>
      <c r="X1117" s="141"/>
      <c r="Y1117" s="122" t="s">
        <v>280</v>
      </c>
      <c r="Z1117" s="146">
        <f>VLOOKUP(Takeoffs!Y1117,Sheet1!$B$6:$C$124,2,FALSE)</f>
        <v>19.2</v>
      </c>
      <c r="AA1117" s="146">
        <f t="shared" si="503"/>
        <v>19.2</v>
      </c>
      <c r="AB1117" s="143">
        <f t="shared" si="504"/>
        <v>1</v>
      </c>
      <c r="AC1117" s="133">
        <f t="shared" si="509"/>
        <v>1</v>
      </c>
      <c r="AD1117" s="142">
        <v>1</v>
      </c>
      <c r="AE1117" s="141"/>
      <c r="AF1117" s="121" t="s">
        <v>293</v>
      </c>
      <c r="AG1117" s="146">
        <f>VLOOKUP(Takeoffs!AF1117,Sheet1!$B$6:$C$124,2,FALSE)</f>
        <v>0</v>
      </c>
      <c r="AH1117" s="146">
        <f t="shared" si="505"/>
        <v>0</v>
      </c>
      <c r="AI1117" s="143">
        <f t="shared" si="506"/>
        <v>0</v>
      </c>
      <c r="AJ1117" s="133">
        <f t="shared" si="507"/>
        <v>1</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331</v>
      </c>
      <c r="P1118" s="121"/>
      <c r="Q1118" s="121"/>
      <c r="R1118" s="121" t="s">
        <v>305</v>
      </c>
      <c r="S1118" s="133">
        <f>M1101</f>
        <v>1</v>
      </c>
      <c r="T1118" s="120"/>
      <c r="U1118" s="121" t="s">
        <v>293</v>
      </c>
      <c r="V1118" s="133">
        <f t="shared" si="502"/>
        <v>1</v>
      </c>
      <c r="W1118" s="133">
        <f>VLOOKUP(U1118,Sheet1!$B$6:$C$45,2,FALSE)*V1118</f>
        <v>0</v>
      </c>
      <c r="X1118" s="141"/>
      <c r="Y1118" s="122" t="s">
        <v>277</v>
      </c>
      <c r="Z1118" s="146">
        <f>VLOOKUP(Takeoffs!Y1118,Sheet1!$B$6:$C$124,2,FALSE)</f>
        <v>69.540000000000006</v>
      </c>
      <c r="AA1118" s="146">
        <f t="shared" si="503"/>
        <v>69.540000000000006</v>
      </c>
      <c r="AB1118" s="143">
        <f t="shared" si="504"/>
        <v>1</v>
      </c>
      <c r="AC1118" s="133">
        <f t="shared" si="509"/>
        <v>1</v>
      </c>
      <c r="AD1118" s="142">
        <v>1</v>
      </c>
      <c r="AE1118" s="141"/>
      <c r="AF1118" s="121" t="s">
        <v>293</v>
      </c>
      <c r="AG1118" s="146">
        <f>VLOOKUP(Takeoffs!AF1118,Sheet1!$B$6:$C$124,2,FALSE)</f>
        <v>0</v>
      </c>
      <c r="AH1118" s="146">
        <f t="shared" si="505"/>
        <v>0</v>
      </c>
      <c r="AI1118" s="143">
        <f t="shared" si="506"/>
        <v>0</v>
      </c>
      <c r="AJ1118" s="133">
        <f t="shared" si="507"/>
        <v>1</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1</v>
      </c>
      <c r="T1119" s="120"/>
      <c r="U1119" s="121" t="s">
        <v>293</v>
      </c>
      <c r="V1119" s="133">
        <f t="shared" si="502"/>
        <v>1</v>
      </c>
      <c r="W1119" s="133">
        <f>VLOOKUP(U1119,Sheet1!$B$6:$C$45,2,FALSE)*V1119</f>
        <v>0</v>
      </c>
      <c r="X1119" s="141"/>
      <c r="Y1119" s="121" t="s">
        <v>293</v>
      </c>
      <c r="Z1119" s="146">
        <f>VLOOKUP(Takeoffs!Y1119,Sheet1!$B$6:$C$124,2,FALSE)</f>
        <v>0</v>
      </c>
      <c r="AA1119" s="146">
        <f t="shared" si="503"/>
        <v>0</v>
      </c>
      <c r="AB1119" s="143">
        <f t="shared" si="504"/>
        <v>1</v>
      </c>
      <c r="AC1119" s="133">
        <f t="shared" si="509"/>
        <v>1</v>
      </c>
      <c r="AD1119" s="142">
        <v>1</v>
      </c>
      <c r="AE1119" s="141"/>
      <c r="AF1119" s="121" t="s">
        <v>293</v>
      </c>
      <c r="AG1119" s="146">
        <f>VLOOKUP(Takeoffs!AF1119,Sheet1!$B$6:$C$124,2,FALSE)</f>
        <v>0</v>
      </c>
      <c r="AH1119" s="146">
        <f t="shared" si="505"/>
        <v>0</v>
      </c>
      <c r="AI1119" s="143">
        <f t="shared" si="506"/>
        <v>0</v>
      </c>
      <c r="AJ1119" s="133">
        <f t="shared" si="507"/>
        <v>1</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414</v>
      </c>
      <c r="P1120" s="121" t="s">
        <v>382</v>
      </c>
      <c r="Q1120" s="121" t="s">
        <v>386</v>
      </c>
      <c r="R1120" s="121"/>
      <c r="S1120" s="133">
        <f>M1101</f>
        <v>1</v>
      </c>
      <c r="T1120" s="120"/>
      <c r="U1120" s="121" t="s">
        <v>293</v>
      </c>
      <c r="V1120" s="133">
        <f t="shared" si="502"/>
        <v>1</v>
      </c>
      <c r="W1120" s="133">
        <f>VLOOKUP(U1120,Sheet1!$B$6:$C$45,2,FALSE)*V1120</f>
        <v>0</v>
      </c>
      <c r="X1120" s="141"/>
      <c r="Y1120" s="122" t="s">
        <v>324</v>
      </c>
      <c r="Z1120" s="146">
        <f>VLOOKUP(Takeoffs!Y1120,Sheet1!$B$6:$C$124,2,FALSE)</f>
        <v>48</v>
      </c>
      <c r="AA1120" s="146">
        <f t="shared" si="503"/>
        <v>48</v>
      </c>
      <c r="AB1120" s="143">
        <f t="shared" si="504"/>
        <v>1</v>
      </c>
      <c r="AC1120" s="133">
        <f t="shared" si="509"/>
        <v>1</v>
      </c>
      <c r="AD1120" s="142">
        <v>1</v>
      </c>
      <c r="AE1120" s="141"/>
      <c r="AF1120" s="121" t="s">
        <v>293</v>
      </c>
      <c r="AG1120" s="146">
        <f>VLOOKUP(Takeoffs!AF1120,Sheet1!$B$6:$C$124,2,FALSE)</f>
        <v>0</v>
      </c>
      <c r="AH1120" s="146">
        <f t="shared" si="505"/>
        <v>0</v>
      </c>
      <c r="AI1120" s="143">
        <f t="shared" si="506"/>
        <v>0</v>
      </c>
      <c r="AJ1120" s="133">
        <f t="shared" si="507"/>
        <v>1</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410</v>
      </c>
      <c r="P1121" s="121"/>
      <c r="Q1121" s="121"/>
      <c r="R1121" s="121"/>
      <c r="S1121" s="133">
        <f>M1101</f>
        <v>1</v>
      </c>
      <c r="T1121" s="120"/>
      <c r="U1121" s="121" t="s">
        <v>366</v>
      </c>
      <c r="V1121" s="133">
        <f t="shared" si="502"/>
        <v>1</v>
      </c>
      <c r="W1121" s="133">
        <f>VLOOKUP(U1121,Sheet1!$B$6:$C$45,2,FALSE)*V1121</f>
        <v>2</v>
      </c>
      <c r="X1121" s="141"/>
      <c r="Y1121" s="121" t="s">
        <v>293</v>
      </c>
      <c r="Z1121" s="146">
        <f>VLOOKUP(Takeoffs!Y1121,Sheet1!$B$6:$C$124,2,FALSE)</f>
        <v>0</v>
      </c>
      <c r="AA1121" s="146">
        <f t="shared" si="503"/>
        <v>0</v>
      </c>
      <c r="AB1121" s="143">
        <f t="shared" si="504"/>
        <v>1</v>
      </c>
      <c r="AC1121" s="133">
        <f t="shared" si="509"/>
        <v>1</v>
      </c>
      <c r="AD1121" s="142">
        <v>1</v>
      </c>
      <c r="AE1121" s="141"/>
      <c r="AF1121" s="121" t="s">
        <v>293</v>
      </c>
      <c r="AG1121" s="146">
        <f>VLOOKUP(Takeoffs!AF1121,Sheet1!$B$6:$C$124,2,FALSE)</f>
        <v>0</v>
      </c>
      <c r="AH1121" s="146">
        <f t="shared" si="505"/>
        <v>0</v>
      </c>
      <c r="AI1121" s="143">
        <f t="shared" si="506"/>
        <v>0</v>
      </c>
      <c r="AJ1121" s="133">
        <f t="shared" si="507"/>
        <v>1</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379</v>
      </c>
      <c r="L1122" s="128" t="s">
        <v>380</v>
      </c>
      <c r="N1122" s="129"/>
      <c r="O1122" s="130" t="s">
        <v>359</v>
      </c>
      <c r="P1122" s="131">
        <f>V1122+AA1122+AH1122</f>
        <v>3120.2240000000002</v>
      </c>
      <c r="Q1122" s="131"/>
      <c r="R1122" s="131"/>
      <c r="S1122" s="130"/>
      <c r="T1122" s="127"/>
      <c r="U1122" s="126" t="s">
        <v>353</v>
      </c>
      <c r="V1122" s="127">
        <f>W1122*80</f>
        <v>920</v>
      </c>
      <c r="W1122" s="147">
        <f>SUM(W1101:W1121)</f>
        <v>11.5</v>
      </c>
      <c r="X1122" s="148"/>
      <c r="Y1122" s="127" t="s">
        <v>354</v>
      </c>
      <c r="Z1122" s="116"/>
      <c r="AA1122" s="116">
        <f>SUM(AA1101:AA1121)</f>
        <v>2042.184</v>
      </c>
      <c r="AB1122" s="149"/>
      <c r="AC1122" s="149"/>
      <c r="AD1122" s="149"/>
      <c r="AE1122" s="149"/>
      <c r="AF1122" s="127" t="s">
        <v>358</v>
      </c>
      <c r="AG1122" s="116"/>
      <c r="AH1122" s="116">
        <f>SUM(AH1101:AH1121)</f>
        <v>158.04</v>
      </c>
      <c r="AI1122" s="149"/>
      <c r="AJ1122" s="149"/>
      <c r="AK1122" s="149"/>
      <c r="AL1122" s="149"/>
      <c r="AM1122" s="150">
        <f>P1122</f>
        <v>3120.2240000000002</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494</v>
      </c>
      <c r="C1123" s="217" t="str">
        <f>N1101</f>
        <v>Fire essential Chilled Water AHU with VSD</v>
      </c>
      <c r="D1123" s="260" t="s">
        <v>681</v>
      </c>
      <c r="E1123" s="238"/>
      <c r="F1123" s="217"/>
      <c r="G1123" s="217"/>
      <c r="H1123" s="245"/>
      <c r="I1123" s="270">
        <v>1</v>
      </c>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one (1)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3120.2240000000002</v>
      </c>
      <c r="L1123" s="234" t="str">
        <f>CONCATENATE(Q1102,Q1103,Q1104,Q1105,Q1106,Q1107,Q1108,Q1109,Q1110,Q1111,Q1112,Q1113,Q1114,Q1115,Q1116,Q1117,Q1118,Q1119,Q1120,Q1121,)</f>
        <v>fire cabling from FIP.</v>
      </c>
      <c r="M1123" s="166" t="s">
        <v>369</v>
      </c>
      <c r="N1123" s="160" t="str">
        <f>N1101</f>
        <v>Fire essential Chilled Water AHU with VSD</v>
      </c>
      <c r="O1123" s="160" t="s">
        <v>367</v>
      </c>
      <c r="P1123" s="171">
        <f>P1122/M1101</f>
        <v>3120.2240000000002</v>
      </c>
      <c r="Q1123" s="161"/>
      <c r="R1123" s="161"/>
      <c r="S1123" s="160"/>
      <c r="T1123" s="161"/>
      <c r="U1123" s="327" t="s">
        <v>368</v>
      </c>
      <c r="V1123" s="327"/>
      <c r="W1123" s="162">
        <f>W1122/M1101</f>
        <v>11.5</v>
      </c>
      <c r="X1123" s="163"/>
      <c r="Y1123" s="325" t="s">
        <v>367</v>
      </c>
      <c r="Z1123" s="325"/>
      <c r="AA1123" s="164">
        <f>AA1122/M1101</f>
        <v>2042.184</v>
      </c>
      <c r="AB1123" s="161"/>
      <c r="AC1123" s="161"/>
      <c r="AD1123" s="161"/>
      <c r="AE1123" s="161"/>
      <c r="AF1123" s="325" t="s">
        <v>367</v>
      </c>
      <c r="AG1123" s="325"/>
      <c r="AH1123" s="164">
        <f>AH1122/M1101</f>
        <v>158.04</v>
      </c>
      <c r="AI1123" s="161"/>
      <c r="AJ1123" s="161"/>
      <c r="AK1123" s="161"/>
      <c r="AL1123" s="247"/>
      <c r="AM1123" s="257"/>
      <c r="AN1123" s="236">
        <f>K1123*1.25</f>
        <v>3900.28</v>
      </c>
      <c r="AO1123" s="286"/>
      <c r="AP1123" s="284">
        <f t="shared" si="511"/>
        <v>3120.2240000000002</v>
      </c>
      <c r="AQ1123" s="281">
        <f t="shared" si="512"/>
        <v>920</v>
      </c>
      <c r="AR1123" s="284">
        <f t="shared" si="513"/>
        <v>2042.184</v>
      </c>
      <c r="AS1123" s="281">
        <f t="shared" si="514"/>
        <v>158.04</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5">
      <c r="A1124" s="262">
        <f>ROW()</f>
        <v>1124</v>
      </c>
      <c r="C1124" s="211"/>
      <c r="D1124" s="211"/>
      <c r="E1124" s="211"/>
      <c r="F1124" s="211"/>
      <c r="G1124" s="211"/>
      <c r="H1124" s="211"/>
      <c r="K1124" s="116" t="s">
        <v>454</v>
      </c>
      <c r="M1124" s="116" t="s">
        <v>107</v>
      </c>
      <c r="N1124" s="116" t="s">
        <v>108</v>
      </c>
      <c r="O1124" s="170" t="s">
        <v>388</v>
      </c>
      <c r="P1124" s="326" t="s">
        <v>377</v>
      </c>
      <c r="Q1124" s="326"/>
      <c r="R1124" s="101" t="s">
        <v>454</v>
      </c>
      <c r="S1124" s="116" t="s">
        <v>0</v>
      </c>
      <c r="T1124" s="118"/>
      <c r="U1124" s="116" t="s">
        <v>288</v>
      </c>
      <c r="V1124" s="116" t="s">
        <v>289</v>
      </c>
      <c r="W1124" s="116" t="s">
        <v>292</v>
      </c>
      <c r="X1124" s="140"/>
      <c r="Y1124" s="116" t="s">
        <v>290</v>
      </c>
      <c r="Z1124" s="116" t="s">
        <v>356</v>
      </c>
      <c r="AA1124" s="116" t="s">
        <v>357</v>
      </c>
      <c r="AB1124" s="116" t="s">
        <v>319</v>
      </c>
      <c r="AC1124" s="116" t="s">
        <v>320</v>
      </c>
      <c r="AD1124" s="116" t="s">
        <v>318</v>
      </c>
      <c r="AE1124" s="140"/>
      <c r="AF1124" s="116" t="s">
        <v>294</v>
      </c>
      <c r="AG1124" s="116" t="s">
        <v>356</v>
      </c>
      <c r="AH1124" s="116" t="s">
        <v>357</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5">
      <c r="A1125" s="262">
        <f>ROW()</f>
        <v>1125</v>
      </c>
      <c r="C1125" s="208"/>
      <c r="D1125" s="208"/>
      <c r="E1125" s="208"/>
      <c r="F1125" s="208"/>
      <c r="G1125" s="208"/>
      <c r="H1125" s="208"/>
      <c r="L1125" s="124" t="str">
        <f>VLOOKUP(M1125,Sheet2!$D$2:$E$1024,2,FALSE)</f>
        <v>one</v>
      </c>
      <c r="M1125" s="121">
        <f>I1147</f>
        <v>1</v>
      </c>
      <c r="N1125" s="132" t="s">
        <v>566</v>
      </c>
      <c r="O1125" s="121" t="s">
        <v>349</v>
      </c>
      <c r="P1125" s="169" t="s">
        <v>381</v>
      </c>
      <c r="Q1125" s="169" t="s">
        <v>377</v>
      </c>
      <c r="R1125" s="169"/>
      <c r="S1125" s="133">
        <f>M1125</f>
        <v>1</v>
      </c>
      <c r="T1125" s="119"/>
      <c r="U1125" s="153" t="s">
        <v>293</v>
      </c>
      <c r="V1125" s="133">
        <f>S1125</f>
        <v>1</v>
      </c>
      <c r="W1125" s="133">
        <f>VLOOKUP(U1125,Sheet1!$B$6:$C$45,2,FALSE)*V1125</f>
        <v>0</v>
      </c>
      <c r="X1125" s="141"/>
      <c r="Y1125" s="121" t="s">
        <v>293</v>
      </c>
      <c r="Z1125" s="146">
        <f>VLOOKUP(Takeoffs!Y1125,Sheet1!$B$6:$C$124,2,FALSE)</f>
        <v>0</v>
      </c>
      <c r="AA1125" s="146">
        <f>Z1125*AB1125</f>
        <v>0</v>
      </c>
      <c r="AB1125" s="143">
        <f>AD1125*AC1125</f>
        <v>1</v>
      </c>
      <c r="AC1125" s="133">
        <f>S1125</f>
        <v>1</v>
      </c>
      <c r="AD1125" s="142">
        <v>1</v>
      </c>
      <c r="AE1125" s="141"/>
      <c r="AF1125" s="121" t="s">
        <v>293</v>
      </c>
      <c r="AG1125" s="146">
        <f>VLOOKUP(Takeoffs!AF1125,Sheet1!$B$6:$C$124,2,FALSE)</f>
        <v>0</v>
      </c>
      <c r="AH1125" s="146">
        <f>AG1125*AI1125</f>
        <v>0</v>
      </c>
      <c r="AI1125" s="143">
        <f>AK1125*AJ1125</f>
        <v>0</v>
      </c>
      <c r="AJ1125" s="133">
        <f>S1125</f>
        <v>1</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413</v>
      </c>
      <c r="P1126" s="121"/>
      <c r="Q1126" s="121"/>
      <c r="R1126" s="121"/>
      <c r="S1126" s="133">
        <f>M1125</f>
        <v>1</v>
      </c>
      <c r="T1126" s="120"/>
      <c r="U1126" s="121" t="s">
        <v>233</v>
      </c>
      <c r="V1126" s="133">
        <f t="shared" ref="V1126:V1145" si="517">S1126</f>
        <v>1</v>
      </c>
      <c r="W1126" s="133">
        <f>VLOOKUP(U1126,Sheet1!$B$6:$C$45,2,FALSE)*V1126</f>
        <v>1</v>
      </c>
      <c r="X1126" s="141"/>
      <c r="Y1126" s="121" t="s">
        <v>293</v>
      </c>
      <c r="Z1126" s="146">
        <f>VLOOKUP(Takeoffs!Y1126,Sheet1!$B$6:$C$124,2,FALSE)</f>
        <v>0</v>
      </c>
      <c r="AA1126" s="146">
        <f t="shared" ref="AA1126:AA1145" si="518">Z1126*AB1126</f>
        <v>0</v>
      </c>
      <c r="AB1126" s="143">
        <f t="shared" ref="AB1126:AB1145" si="519">AD1126*AC1126</f>
        <v>1</v>
      </c>
      <c r="AC1126" s="133">
        <f t="shared" ref="AC1126:AC1145" si="520">S1126</f>
        <v>1</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1</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1</v>
      </c>
      <c r="T1127" s="120"/>
      <c r="U1127" s="121" t="s">
        <v>293</v>
      </c>
      <c r="V1127" s="133">
        <f t="shared" si="517"/>
        <v>1</v>
      </c>
      <c r="W1127" s="133">
        <f>VLOOKUP(U1127,Sheet1!$B$6:$C$45,2,FALSE)*V1127</f>
        <v>0</v>
      </c>
      <c r="X1127" s="141"/>
      <c r="Y1127" s="122" t="s">
        <v>252</v>
      </c>
      <c r="Z1127" s="146">
        <f>VLOOKUP(Takeoffs!Y1127,Sheet1!$B$6:$C$124,2,FALSE)</f>
        <v>43.440000000000005</v>
      </c>
      <c r="AA1127" s="146">
        <f t="shared" si="518"/>
        <v>43.440000000000005</v>
      </c>
      <c r="AB1127" s="143">
        <f t="shared" si="519"/>
        <v>1</v>
      </c>
      <c r="AC1127" s="133">
        <f t="shared" si="520"/>
        <v>1</v>
      </c>
      <c r="AD1127" s="142">
        <v>1</v>
      </c>
      <c r="AE1127" s="141"/>
      <c r="AF1127" s="121" t="s">
        <v>293</v>
      </c>
      <c r="AG1127" s="146">
        <f>VLOOKUP(Takeoffs!AF1127,Sheet1!$B$6:$C$124,2,FALSE)</f>
        <v>0</v>
      </c>
      <c r="AH1127" s="146">
        <f t="shared" si="521"/>
        <v>0</v>
      </c>
      <c r="AI1127" s="143">
        <f t="shared" si="522"/>
        <v>0</v>
      </c>
      <c r="AJ1127" s="133">
        <f t="shared" si="523"/>
        <v>1</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508</v>
      </c>
      <c r="P1128" s="121"/>
      <c r="Q1128" s="121"/>
      <c r="R1128" s="121"/>
      <c r="S1128" s="133">
        <f>M1125</f>
        <v>1</v>
      </c>
      <c r="T1128" s="120"/>
      <c r="U1128" s="117" t="s">
        <v>481</v>
      </c>
      <c r="V1128" s="133">
        <f t="shared" si="517"/>
        <v>1</v>
      </c>
      <c r="W1128" s="133">
        <f>VLOOKUP(U1128,Sheet1!$B$6:$C$45,2,FALSE)*V1128</f>
        <v>2</v>
      </c>
      <c r="X1128" s="141"/>
      <c r="Y1128" s="121" t="s">
        <v>293</v>
      </c>
      <c r="Z1128" s="146">
        <f>VLOOKUP(Takeoffs!Y1128,Sheet1!$B$6:$C$124,2,FALSE)</f>
        <v>0</v>
      </c>
      <c r="AA1128" s="146">
        <f t="shared" si="518"/>
        <v>0</v>
      </c>
      <c r="AB1128" s="143">
        <f t="shared" si="519"/>
        <v>1</v>
      </c>
      <c r="AC1128" s="133">
        <f t="shared" si="520"/>
        <v>1</v>
      </c>
      <c r="AD1128" s="142">
        <v>1</v>
      </c>
      <c r="AE1128" s="141"/>
      <c r="AF1128" s="122" t="s">
        <v>267</v>
      </c>
      <c r="AG1128" s="146">
        <f>VLOOKUP(Takeoffs!AF1128,Sheet1!$B$6:$C$124,2,FALSE)</f>
        <v>3.48</v>
      </c>
      <c r="AH1128" s="146">
        <f t="shared" si="521"/>
        <v>69.599999999999994</v>
      </c>
      <c r="AI1128" s="143">
        <f t="shared" si="522"/>
        <v>20</v>
      </c>
      <c r="AJ1128" s="133">
        <f t="shared" si="523"/>
        <v>1</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1</v>
      </c>
      <c r="T1129" s="120"/>
      <c r="U1129" s="121" t="s">
        <v>293</v>
      </c>
      <c r="V1129" s="133">
        <f t="shared" si="517"/>
        <v>1</v>
      </c>
      <c r="W1129" s="133">
        <f>VLOOKUP(U1129,Sheet1!$B$6:$C$45,2,FALSE)*V1129</f>
        <v>0</v>
      </c>
      <c r="X1129" s="141"/>
      <c r="Y1129" s="121" t="s">
        <v>293</v>
      </c>
      <c r="Z1129" s="146">
        <f>VLOOKUP(Takeoffs!Y1129,Sheet1!$B$6:$C$124,2,FALSE)</f>
        <v>0</v>
      </c>
      <c r="AA1129" s="146">
        <f t="shared" si="518"/>
        <v>0</v>
      </c>
      <c r="AB1129" s="143">
        <f t="shared" si="519"/>
        <v>1</v>
      </c>
      <c r="AC1129" s="133">
        <f t="shared" si="520"/>
        <v>1</v>
      </c>
      <c r="AD1129" s="142">
        <v>1</v>
      </c>
      <c r="AE1129" s="141"/>
      <c r="AF1129" s="121" t="s">
        <v>293</v>
      </c>
      <c r="AG1129" s="146">
        <f>VLOOKUP(Takeoffs!AF1129,Sheet1!$B$6:$C$124,2,FALSE)</f>
        <v>0</v>
      </c>
      <c r="AH1129" s="146">
        <f t="shared" si="521"/>
        <v>0</v>
      </c>
      <c r="AI1129" s="143">
        <f t="shared" si="522"/>
        <v>0</v>
      </c>
      <c r="AJ1129" s="133">
        <f t="shared" si="523"/>
        <v>1</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1</v>
      </c>
      <c r="T1130" s="120"/>
      <c r="U1130" s="121" t="s">
        <v>293</v>
      </c>
      <c r="V1130" s="133">
        <f t="shared" si="517"/>
        <v>1</v>
      </c>
      <c r="W1130" s="133">
        <f>VLOOKUP(U1130,Sheet1!$B$6:$C$45,2,FALSE)*V1130</f>
        <v>0</v>
      </c>
      <c r="X1130" s="141"/>
      <c r="Y1130" s="121" t="s">
        <v>293</v>
      </c>
      <c r="Z1130" s="146">
        <f>VLOOKUP(Takeoffs!Y1130,Sheet1!$B$6:$C$124,2,FALSE)</f>
        <v>0</v>
      </c>
      <c r="AA1130" s="146">
        <f t="shared" si="518"/>
        <v>0</v>
      </c>
      <c r="AB1130" s="143">
        <f t="shared" si="519"/>
        <v>1</v>
      </c>
      <c r="AC1130" s="133">
        <f t="shared" si="520"/>
        <v>1</v>
      </c>
      <c r="AD1130" s="142">
        <v>1</v>
      </c>
      <c r="AE1130" s="141"/>
      <c r="AF1130" s="121" t="s">
        <v>293</v>
      </c>
      <c r="AG1130" s="146">
        <f>VLOOKUP(Takeoffs!AF1130,Sheet1!$B$6:$C$124,2,FALSE)</f>
        <v>0</v>
      </c>
      <c r="AH1130" s="146">
        <f t="shared" si="521"/>
        <v>0</v>
      </c>
      <c r="AI1130" s="143">
        <f t="shared" si="522"/>
        <v>0</v>
      </c>
      <c r="AJ1130" s="133">
        <f t="shared" si="523"/>
        <v>1</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1</v>
      </c>
      <c r="T1131" s="120"/>
      <c r="U1131" s="121" t="s">
        <v>293</v>
      </c>
      <c r="V1131" s="133">
        <f t="shared" si="517"/>
        <v>1</v>
      </c>
      <c r="W1131" s="133">
        <f>VLOOKUP(U1131,Sheet1!$B$6:$C$45,2,FALSE)*V1131</f>
        <v>0</v>
      </c>
      <c r="X1131" s="141"/>
      <c r="Y1131" s="122" t="s">
        <v>245</v>
      </c>
      <c r="Z1131" s="146">
        <f>VLOOKUP(Takeoffs!Y1131,Sheet1!$B$6:$C$124,2,FALSE)</f>
        <v>46.463999999999999</v>
      </c>
      <c r="AA1131" s="146">
        <f t="shared" si="518"/>
        <v>46.463999999999999</v>
      </c>
      <c r="AB1131" s="143">
        <f t="shared" si="519"/>
        <v>1</v>
      </c>
      <c r="AC1131" s="133">
        <f t="shared" si="520"/>
        <v>1</v>
      </c>
      <c r="AD1131" s="142">
        <v>1</v>
      </c>
      <c r="AE1131" s="141"/>
      <c r="AF1131" s="121" t="s">
        <v>293</v>
      </c>
      <c r="AG1131" s="146">
        <f>VLOOKUP(Takeoffs!AF1131,Sheet1!$B$6:$C$124,2,FALSE)</f>
        <v>0</v>
      </c>
      <c r="AH1131" s="146">
        <f t="shared" si="521"/>
        <v>0</v>
      </c>
      <c r="AI1131" s="143">
        <f t="shared" si="522"/>
        <v>0</v>
      </c>
      <c r="AJ1131" s="133">
        <f t="shared" si="523"/>
        <v>1</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1</v>
      </c>
      <c r="T1132" s="120"/>
      <c r="U1132" s="121" t="s">
        <v>293</v>
      </c>
      <c r="V1132" s="133">
        <f t="shared" si="517"/>
        <v>1</v>
      </c>
      <c r="W1132" s="133">
        <f>VLOOKUP(U1132,Sheet1!$B$6:$C$45,2,FALSE)*V1132</f>
        <v>0</v>
      </c>
      <c r="X1132" s="141"/>
      <c r="Y1132" s="121" t="s">
        <v>293</v>
      </c>
      <c r="Z1132" s="146">
        <f>VLOOKUP(Takeoffs!Y1132,Sheet1!$B$6:$C$124,2,FALSE)</f>
        <v>0</v>
      </c>
      <c r="AA1132" s="146">
        <f t="shared" si="518"/>
        <v>0</v>
      </c>
      <c r="AB1132" s="143">
        <f t="shared" si="519"/>
        <v>1</v>
      </c>
      <c r="AC1132" s="133">
        <f t="shared" si="520"/>
        <v>1</v>
      </c>
      <c r="AD1132" s="142">
        <v>1</v>
      </c>
      <c r="AE1132" s="141"/>
      <c r="AF1132" s="121" t="s">
        <v>293</v>
      </c>
      <c r="AG1132" s="146">
        <f>VLOOKUP(Takeoffs!AF1132,Sheet1!$B$6:$C$124,2,FALSE)</f>
        <v>0</v>
      </c>
      <c r="AH1132" s="146">
        <f t="shared" si="521"/>
        <v>0</v>
      </c>
      <c r="AI1132" s="143">
        <f t="shared" si="522"/>
        <v>0</v>
      </c>
      <c r="AJ1132" s="133">
        <f t="shared" si="523"/>
        <v>1</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486</v>
      </c>
      <c r="P1133" s="121"/>
      <c r="Q1133" s="121"/>
      <c r="R1133" s="121"/>
      <c r="S1133" s="133">
        <f>M1125</f>
        <v>1</v>
      </c>
      <c r="T1133" s="120"/>
      <c r="U1133" s="121" t="s">
        <v>293</v>
      </c>
      <c r="V1133" s="133">
        <f t="shared" si="517"/>
        <v>1</v>
      </c>
      <c r="W1133" s="133">
        <f>VLOOKUP(U1133,Sheet1!$B$6:$C$45,2,FALSE)*V1133</f>
        <v>0</v>
      </c>
      <c r="X1133" s="141"/>
      <c r="Y1133" s="122" t="s">
        <v>274</v>
      </c>
      <c r="Z1133" s="146">
        <f>VLOOKUP(Takeoffs!Y1133,Sheet1!$B$6:$C$124,2,FALSE)</f>
        <v>360</v>
      </c>
      <c r="AA1133" s="146">
        <f t="shared" si="518"/>
        <v>360</v>
      </c>
      <c r="AB1133" s="143">
        <f t="shared" si="519"/>
        <v>1</v>
      </c>
      <c r="AC1133" s="133">
        <f t="shared" si="520"/>
        <v>1</v>
      </c>
      <c r="AD1133" s="142">
        <v>1</v>
      </c>
      <c r="AE1133" s="141"/>
      <c r="AF1133" s="121" t="s">
        <v>293</v>
      </c>
      <c r="AG1133" s="146">
        <f>VLOOKUP(Takeoffs!AF1133,Sheet1!$B$6:$C$124,2,FALSE)</f>
        <v>0</v>
      </c>
      <c r="AH1133" s="146">
        <f t="shared" si="521"/>
        <v>0</v>
      </c>
      <c r="AI1133" s="143">
        <f t="shared" si="522"/>
        <v>0</v>
      </c>
      <c r="AJ1133" s="133">
        <f t="shared" si="523"/>
        <v>1</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1</v>
      </c>
      <c r="T1134" s="120"/>
      <c r="U1134" s="121" t="s">
        <v>366</v>
      </c>
      <c r="V1134" s="133">
        <f t="shared" si="517"/>
        <v>1</v>
      </c>
      <c r="W1134" s="133">
        <f>VLOOKUP(U1134,Sheet1!$B$6:$C$45,2,FALSE)*V1134</f>
        <v>2</v>
      </c>
      <c r="X1134" s="141"/>
      <c r="Y1134" s="121" t="s">
        <v>293</v>
      </c>
      <c r="Z1134" s="146">
        <f>VLOOKUP(Takeoffs!Y1134,Sheet1!$B$6:$C$124,2,FALSE)</f>
        <v>0</v>
      </c>
      <c r="AA1134" s="146">
        <f t="shared" si="518"/>
        <v>0</v>
      </c>
      <c r="AB1134" s="143">
        <f t="shared" si="519"/>
        <v>1</v>
      </c>
      <c r="AC1134" s="133">
        <f t="shared" si="520"/>
        <v>1</v>
      </c>
      <c r="AD1134" s="142">
        <v>1</v>
      </c>
      <c r="AE1134" s="141"/>
      <c r="AF1134" s="121" t="s">
        <v>293</v>
      </c>
      <c r="AG1134" s="146">
        <f>VLOOKUP(Takeoffs!AF1134,Sheet1!$B$6:$C$124,2,FALSE)</f>
        <v>0</v>
      </c>
      <c r="AH1134" s="146">
        <f t="shared" si="521"/>
        <v>0</v>
      </c>
      <c r="AI1134" s="143">
        <f t="shared" si="522"/>
        <v>0</v>
      </c>
      <c r="AJ1134" s="133">
        <f t="shared" si="523"/>
        <v>1</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1</v>
      </c>
      <c r="T1135" s="120"/>
      <c r="U1135" s="121" t="s">
        <v>293</v>
      </c>
      <c r="V1135" s="133">
        <f t="shared" si="517"/>
        <v>1</v>
      </c>
      <c r="W1135" s="133">
        <f>VLOOKUP(U1135,Sheet1!$B$6:$C$45,2,FALSE)*V1135</f>
        <v>0</v>
      </c>
      <c r="X1135" s="141"/>
      <c r="Y1135" s="121" t="s">
        <v>293</v>
      </c>
      <c r="Z1135" s="146">
        <f>VLOOKUP(Takeoffs!Y1135,Sheet1!$B$6:$C$124,2,FALSE)</f>
        <v>0</v>
      </c>
      <c r="AA1135" s="146">
        <f t="shared" si="518"/>
        <v>0</v>
      </c>
      <c r="AB1135" s="143">
        <f t="shared" si="519"/>
        <v>2</v>
      </c>
      <c r="AC1135" s="133">
        <f t="shared" si="520"/>
        <v>1</v>
      </c>
      <c r="AD1135" s="142">
        <v>2</v>
      </c>
      <c r="AE1135" s="141"/>
      <c r="AF1135" s="121" t="s">
        <v>293</v>
      </c>
      <c r="AG1135" s="146">
        <f>VLOOKUP(Takeoffs!AF1135,Sheet1!$B$6:$C$124,2,FALSE)</f>
        <v>0</v>
      </c>
      <c r="AH1135" s="146">
        <f t="shared" si="521"/>
        <v>0</v>
      </c>
      <c r="AI1135" s="143">
        <f t="shared" si="522"/>
        <v>0</v>
      </c>
      <c r="AJ1135" s="133">
        <f t="shared" si="523"/>
        <v>1</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509</v>
      </c>
      <c r="P1136" s="121"/>
      <c r="Q1136" s="121"/>
      <c r="R1136" s="121"/>
      <c r="S1136" s="133">
        <f>M1125</f>
        <v>1</v>
      </c>
      <c r="T1136" s="120"/>
      <c r="U1136" s="121" t="s">
        <v>293</v>
      </c>
      <c r="V1136" s="133">
        <f t="shared" si="517"/>
        <v>1</v>
      </c>
      <c r="W1136" s="133">
        <f>VLOOKUP(U1136,Sheet1!$B$6:$C$45,2,FALSE)*V1136</f>
        <v>0</v>
      </c>
      <c r="X1136" s="141"/>
      <c r="Y1136" s="121" t="s">
        <v>293</v>
      </c>
      <c r="Z1136" s="146">
        <f>VLOOKUP(Takeoffs!Y1136,Sheet1!$B$6:$C$124,2,FALSE)</f>
        <v>0</v>
      </c>
      <c r="AA1136" s="146">
        <f t="shared" si="518"/>
        <v>0</v>
      </c>
      <c r="AB1136" s="143">
        <f t="shared" si="519"/>
        <v>1</v>
      </c>
      <c r="AC1136" s="133">
        <f t="shared" si="520"/>
        <v>1</v>
      </c>
      <c r="AD1136" s="142">
        <v>1</v>
      </c>
      <c r="AE1136" s="141"/>
      <c r="AF1136" s="121" t="s">
        <v>293</v>
      </c>
      <c r="AG1136" s="146">
        <f>VLOOKUP(Takeoffs!AF1136,Sheet1!$B$6:$C$124,2,FALSE)</f>
        <v>0</v>
      </c>
      <c r="AH1136" s="146">
        <f t="shared" si="521"/>
        <v>0</v>
      </c>
      <c r="AI1136" s="143">
        <f t="shared" si="522"/>
        <v>0</v>
      </c>
      <c r="AJ1136" s="133">
        <f t="shared" si="523"/>
        <v>1</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1</v>
      </c>
      <c r="T1137" s="120"/>
      <c r="U1137" s="121" t="s">
        <v>365</v>
      </c>
      <c r="V1137" s="133">
        <f t="shared" si="517"/>
        <v>1</v>
      </c>
      <c r="W1137" s="133">
        <f>VLOOKUP(U1137,Sheet1!$B$6:$C$45,2,FALSE)*V1137</f>
        <v>1</v>
      </c>
      <c r="X1137" s="141"/>
      <c r="Y1137" s="121" t="s">
        <v>293</v>
      </c>
      <c r="Z1137" s="146">
        <f>VLOOKUP(Takeoffs!Y1137,Sheet1!$B$6:$C$124,2,FALSE)</f>
        <v>0</v>
      </c>
      <c r="AA1137" s="146">
        <f t="shared" si="518"/>
        <v>0</v>
      </c>
      <c r="AB1137" s="143">
        <f t="shared" si="519"/>
        <v>1</v>
      </c>
      <c r="AC1137" s="133">
        <f t="shared" si="520"/>
        <v>1</v>
      </c>
      <c r="AD1137" s="142">
        <v>1</v>
      </c>
      <c r="AE1137" s="141"/>
      <c r="AF1137" s="144" t="s">
        <v>269</v>
      </c>
      <c r="AG1137" s="146">
        <f>VLOOKUP(Takeoffs!AF1137,Sheet1!$B$6:$C$124,2,FALSE)</f>
        <v>1.056</v>
      </c>
      <c r="AH1137" s="146">
        <f t="shared" si="521"/>
        <v>31.68</v>
      </c>
      <c r="AI1137" s="143">
        <f t="shared" si="522"/>
        <v>30</v>
      </c>
      <c r="AJ1137" s="133">
        <f t="shared" si="523"/>
        <v>1</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1</v>
      </c>
      <c r="T1138" s="120"/>
      <c r="U1138" s="121" t="s">
        <v>232</v>
      </c>
      <c r="V1138" s="133">
        <f t="shared" si="517"/>
        <v>1</v>
      </c>
      <c r="W1138" s="133">
        <f>VLOOKUP(U1138,Sheet1!$B$6:$C$45,2,FALSE)*V1138</f>
        <v>1</v>
      </c>
      <c r="X1138" s="141"/>
      <c r="Y1138" s="122" t="s">
        <v>281</v>
      </c>
      <c r="Z1138" s="146">
        <f>VLOOKUP(Takeoffs!Y1138,Sheet1!$B$6:$C$124,2,FALSE)</f>
        <v>109.25999999999999</v>
      </c>
      <c r="AA1138" s="146">
        <f t="shared" si="518"/>
        <v>109.25999999999999</v>
      </c>
      <c r="AB1138" s="143">
        <f t="shared" si="519"/>
        <v>1</v>
      </c>
      <c r="AC1138" s="133">
        <f t="shared" si="520"/>
        <v>1</v>
      </c>
      <c r="AD1138" s="142">
        <v>1</v>
      </c>
      <c r="AE1138" s="141"/>
      <c r="AF1138" s="121" t="s">
        <v>293</v>
      </c>
      <c r="AG1138" s="146">
        <f>VLOOKUP(Takeoffs!AF1138,Sheet1!$B$6:$C$124,2,FALSE)</f>
        <v>0</v>
      </c>
      <c r="AH1138" s="146">
        <f t="shared" si="521"/>
        <v>0</v>
      </c>
      <c r="AI1138" s="143">
        <f t="shared" si="522"/>
        <v>0</v>
      </c>
      <c r="AJ1138" s="133">
        <f t="shared" si="523"/>
        <v>1</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487</v>
      </c>
      <c r="P1139" s="121"/>
      <c r="Q1139" s="121"/>
      <c r="R1139" s="121"/>
      <c r="S1139" s="133">
        <f>M1125</f>
        <v>1</v>
      </c>
      <c r="T1139" s="120"/>
      <c r="U1139" s="121" t="s">
        <v>365</v>
      </c>
      <c r="V1139" s="133">
        <f t="shared" si="517"/>
        <v>1</v>
      </c>
      <c r="W1139" s="133">
        <f>VLOOKUP(U1139,Sheet1!$B$6:$C$45,2,FALSE)*V1139</f>
        <v>1</v>
      </c>
      <c r="X1139" s="141"/>
      <c r="Y1139" s="122" t="s">
        <v>323</v>
      </c>
      <c r="Z1139" s="146">
        <f>VLOOKUP(Takeoffs!Y1139,Sheet1!$B$6:$C$124,2,FALSE)</f>
        <v>60</v>
      </c>
      <c r="AA1139" s="146">
        <f t="shared" si="518"/>
        <v>60</v>
      </c>
      <c r="AB1139" s="143">
        <f t="shared" si="519"/>
        <v>1</v>
      </c>
      <c r="AC1139" s="133">
        <f t="shared" si="520"/>
        <v>1</v>
      </c>
      <c r="AD1139" s="142">
        <v>1</v>
      </c>
      <c r="AE1139" s="141"/>
      <c r="AF1139" s="121" t="s">
        <v>293</v>
      </c>
      <c r="AG1139" s="146">
        <f>VLOOKUP(Takeoffs!AF1139,Sheet1!$B$6:$C$124,2,FALSE)</f>
        <v>0</v>
      </c>
      <c r="AH1139" s="146">
        <f t="shared" si="521"/>
        <v>0</v>
      </c>
      <c r="AI1139" s="143">
        <f t="shared" si="522"/>
        <v>0</v>
      </c>
      <c r="AJ1139" s="133">
        <f t="shared" si="523"/>
        <v>1</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458</v>
      </c>
      <c r="S1140" s="133">
        <f>M1125</f>
        <v>1</v>
      </c>
      <c r="T1140" s="120"/>
      <c r="U1140" s="121" t="s">
        <v>293</v>
      </c>
      <c r="V1140" s="133">
        <f t="shared" si="517"/>
        <v>1</v>
      </c>
      <c r="W1140" s="133">
        <f>VLOOKUP(U1140,Sheet1!$B$6:$C$45,2,FALSE)*V1140</f>
        <v>0</v>
      </c>
      <c r="X1140" s="141"/>
      <c r="Y1140" s="122" t="s">
        <v>280</v>
      </c>
      <c r="Z1140" s="146">
        <f>VLOOKUP(Takeoffs!Y1140,Sheet1!$B$6:$C$124,2,FALSE)</f>
        <v>19.2</v>
      </c>
      <c r="AA1140" s="146">
        <f t="shared" si="518"/>
        <v>19.2</v>
      </c>
      <c r="AB1140" s="143">
        <f t="shared" si="519"/>
        <v>1</v>
      </c>
      <c r="AC1140" s="133">
        <f t="shared" si="520"/>
        <v>1</v>
      </c>
      <c r="AD1140" s="142">
        <v>1</v>
      </c>
      <c r="AE1140" s="141"/>
      <c r="AF1140" s="121" t="s">
        <v>293</v>
      </c>
      <c r="AG1140" s="146">
        <f>VLOOKUP(Takeoffs!AF1140,Sheet1!$B$6:$C$124,2,FALSE)</f>
        <v>0</v>
      </c>
      <c r="AH1140" s="146">
        <f t="shared" si="521"/>
        <v>0</v>
      </c>
      <c r="AI1140" s="143">
        <f t="shared" si="522"/>
        <v>0</v>
      </c>
      <c r="AJ1140" s="133">
        <f t="shared" si="523"/>
        <v>1</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1</v>
      </c>
      <c r="T1141" s="120"/>
      <c r="U1141" s="121" t="s">
        <v>293</v>
      </c>
      <c r="V1141" s="133">
        <f t="shared" si="517"/>
        <v>1</v>
      </c>
      <c r="W1141" s="133">
        <f>VLOOKUP(U1141,Sheet1!$B$6:$C$45,2,FALSE)*V1141</f>
        <v>0</v>
      </c>
      <c r="X1141" s="141"/>
      <c r="Y1141" s="122" t="s">
        <v>280</v>
      </c>
      <c r="Z1141" s="146">
        <f>VLOOKUP(Takeoffs!Y1141,Sheet1!$B$6:$C$124,2,FALSE)</f>
        <v>19.2</v>
      </c>
      <c r="AA1141" s="146">
        <f t="shared" si="518"/>
        <v>19.2</v>
      </c>
      <c r="AB1141" s="143">
        <f t="shared" si="519"/>
        <v>1</v>
      </c>
      <c r="AC1141" s="133">
        <f t="shared" si="520"/>
        <v>1</v>
      </c>
      <c r="AD1141" s="142">
        <v>1</v>
      </c>
      <c r="AE1141" s="141"/>
      <c r="AF1141" s="121" t="s">
        <v>293</v>
      </c>
      <c r="AG1141" s="146">
        <f>VLOOKUP(Takeoffs!AF1141,Sheet1!$B$6:$C$124,2,FALSE)</f>
        <v>0</v>
      </c>
      <c r="AH1141" s="146">
        <f t="shared" si="521"/>
        <v>0</v>
      </c>
      <c r="AI1141" s="143">
        <f t="shared" si="522"/>
        <v>0</v>
      </c>
      <c r="AJ1141" s="133">
        <f t="shared" si="523"/>
        <v>1</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331</v>
      </c>
      <c r="P1142" s="121"/>
      <c r="Q1142" s="121"/>
      <c r="R1142" s="121" t="s">
        <v>305</v>
      </c>
      <c r="S1142" s="133">
        <f>M1125</f>
        <v>1</v>
      </c>
      <c r="T1142" s="120"/>
      <c r="U1142" s="121" t="s">
        <v>293</v>
      </c>
      <c r="V1142" s="133">
        <f t="shared" si="517"/>
        <v>1</v>
      </c>
      <c r="W1142" s="133">
        <f>VLOOKUP(U1142,Sheet1!$B$6:$C$45,2,FALSE)*V1142</f>
        <v>0</v>
      </c>
      <c r="X1142" s="141"/>
      <c r="Y1142" s="122" t="s">
        <v>277</v>
      </c>
      <c r="Z1142" s="146">
        <f>VLOOKUP(Takeoffs!Y1142,Sheet1!$B$6:$C$124,2,FALSE)</f>
        <v>69.540000000000006</v>
      </c>
      <c r="AA1142" s="146">
        <f t="shared" si="518"/>
        <v>69.540000000000006</v>
      </c>
      <c r="AB1142" s="143">
        <f t="shared" si="519"/>
        <v>1</v>
      </c>
      <c r="AC1142" s="133">
        <f t="shared" si="520"/>
        <v>1</v>
      </c>
      <c r="AD1142" s="142">
        <v>1</v>
      </c>
      <c r="AE1142" s="141"/>
      <c r="AF1142" s="121" t="s">
        <v>293</v>
      </c>
      <c r="AG1142" s="146">
        <f>VLOOKUP(Takeoffs!AF1142,Sheet1!$B$6:$C$124,2,FALSE)</f>
        <v>0</v>
      </c>
      <c r="AH1142" s="146">
        <f t="shared" si="521"/>
        <v>0</v>
      </c>
      <c r="AI1142" s="143">
        <f t="shared" si="522"/>
        <v>0</v>
      </c>
      <c r="AJ1142" s="133">
        <f t="shared" si="523"/>
        <v>1</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1</v>
      </c>
      <c r="T1143" s="120"/>
      <c r="U1143" s="121" t="s">
        <v>293</v>
      </c>
      <c r="V1143" s="133">
        <f t="shared" si="517"/>
        <v>1</v>
      </c>
      <c r="W1143" s="133">
        <f>VLOOKUP(U1143,Sheet1!$B$6:$C$45,2,FALSE)*V1143</f>
        <v>0</v>
      </c>
      <c r="X1143" s="141"/>
      <c r="Y1143" s="121" t="s">
        <v>293</v>
      </c>
      <c r="Z1143" s="146">
        <f>VLOOKUP(Takeoffs!Y1143,Sheet1!$B$6:$C$124,2,FALSE)</f>
        <v>0</v>
      </c>
      <c r="AA1143" s="146">
        <f t="shared" si="518"/>
        <v>0</v>
      </c>
      <c r="AB1143" s="143">
        <f t="shared" si="519"/>
        <v>1</v>
      </c>
      <c r="AC1143" s="133">
        <f t="shared" si="520"/>
        <v>1</v>
      </c>
      <c r="AD1143" s="142">
        <v>1</v>
      </c>
      <c r="AE1143" s="141"/>
      <c r="AF1143" s="121" t="s">
        <v>293</v>
      </c>
      <c r="AG1143" s="146">
        <f>VLOOKUP(Takeoffs!AF1143,Sheet1!$B$6:$C$124,2,FALSE)</f>
        <v>0</v>
      </c>
      <c r="AH1143" s="146">
        <f t="shared" si="521"/>
        <v>0</v>
      </c>
      <c r="AI1143" s="143">
        <f t="shared" si="522"/>
        <v>0</v>
      </c>
      <c r="AJ1143" s="133">
        <f t="shared" si="523"/>
        <v>1</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1</v>
      </c>
      <c r="T1144" s="120"/>
      <c r="U1144" s="121" t="s">
        <v>293</v>
      </c>
      <c r="V1144" s="133">
        <f t="shared" si="517"/>
        <v>1</v>
      </c>
      <c r="W1144" s="133">
        <f>VLOOKUP(U1144,Sheet1!$B$6:$C$45,2,FALSE)*V1144</f>
        <v>0</v>
      </c>
      <c r="X1144" s="141"/>
      <c r="Y1144" s="121" t="s">
        <v>293</v>
      </c>
      <c r="Z1144" s="146">
        <f>VLOOKUP(Takeoffs!Y1144,Sheet1!$B$6:$C$124,2,FALSE)</f>
        <v>0</v>
      </c>
      <c r="AA1144" s="146">
        <f t="shared" si="518"/>
        <v>0</v>
      </c>
      <c r="AB1144" s="143">
        <f t="shared" si="519"/>
        <v>1</v>
      </c>
      <c r="AC1144" s="133">
        <f t="shared" si="520"/>
        <v>1</v>
      </c>
      <c r="AD1144" s="142">
        <v>1</v>
      </c>
      <c r="AE1144" s="141"/>
      <c r="AF1144" s="121" t="s">
        <v>293</v>
      </c>
      <c r="AG1144" s="146">
        <f>VLOOKUP(Takeoffs!AF1144,Sheet1!$B$6:$C$124,2,FALSE)</f>
        <v>0</v>
      </c>
      <c r="AH1144" s="146">
        <f t="shared" si="521"/>
        <v>0</v>
      </c>
      <c r="AI1144" s="143">
        <f t="shared" si="522"/>
        <v>0</v>
      </c>
      <c r="AJ1144" s="133">
        <f t="shared" si="523"/>
        <v>1</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410</v>
      </c>
      <c r="P1145" s="121"/>
      <c r="Q1145" s="121"/>
      <c r="R1145" s="121"/>
      <c r="S1145" s="133">
        <f>M1125</f>
        <v>1</v>
      </c>
      <c r="T1145" s="120"/>
      <c r="U1145" s="121" t="s">
        <v>366</v>
      </c>
      <c r="V1145" s="133">
        <f t="shared" si="517"/>
        <v>1</v>
      </c>
      <c r="W1145" s="133">
        <f>VLOOKUP(U1145,Sheet1!$B$6:$C$45,2,FALSE)*V1145</f>
        <v>2</v>
      </c>
      <c r="X1145" s="141"/>
      <c r="Y1145" s="121" t="s">
        <v>293</v>
      </c>
      <c r="Z1145" s="146">
        <f>VLOOKUP(Takeoffs!Y1145,Sheet1!$B$6:$C$124,2,FALSE)</f>
        <v>0</v>
      </c>
      <c r="AA1145" s="146">
        <f t="shared" si="518"/>
        <v>0</v>
      </c>
      <c r="AB1145" s="143">
        <f t="shared" si="519"/>
        <v>1</v>
      </c>
      <c r="AC1145" s="133">
        <f t="shared" si="520"/>
        <v>1</v>
      </c>
      <c r="AD1145" s="142">
        <v>1</v>
      </c>
      <c r="AE1145" s="141"/>
      <c r="AF1145" s="121" t="s">
        <v>293</v>
      </c>
      <c r="AG1145" s="146">
        <f>VLOOKUP(Takeoffs!AF1145,Sheet1!$B$6:$C$124,2,FALSE)</f>
        <v>0</v>
      </c>
      <c r="AH1145" s="146">
        <f t="shared" si="521"/>
        <v>0</v>
      </c>
      <c r="AI1145" s="143">
        <f t="shared" si="522"/>
        <v>0</v>
      </c>
      <c r="AJ1145" s="133">
        <f t="shared" si="523"/>
        <v>1</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379</v>
      </c>
      <c r="L1146" s="128" t="s">
        <v>380</v>
      </c>
      <c r="N1146" s="129"/>
      <c r="O1146" s="130" t="s">
        <v>359</v>
      </c>
      <c r="P1146" s="155">
        <f>V1146+AA1146+AH1146</f>
        <v>1628.384</v>
      </c>
      <c r="Q1146" s="155"/>
      <c r="R1146" s="131"/>
      <c r="S1146" s="130"/>
      <c r="T1146" s="127"/>
      <c r="U1146" s="126" t="s">
        <v>353</v>
      </c>
      <c r="V1146" s="127">
        <f>W1146*80</f>
        <v>800</v>
      </c>
      <c r="W1146" s="147">
        <f>SUM(W1125:W1145)</f>
        <v>10</v>
      </c>
      <c r="X1146" s="148"/>
      <c r="Y1146" s="127" t="s">
        <v>354</v>
      </c>
      <c r="Z1146" s="116"/>
      <c r="AA1146" s="116">
        <f>SUM(AA1125:AA1145)</f>
        <v>727.10400000000004</v>
      </c>
      <c r="AB1146" s="149"/>
      <c r="AC1146" s="149"/>
      <c r="AD1146" s="149"/>
      <c r="AE1146" s="149"/>
      <c r="AF1146" s="127" t="s">
        <v>358</v>
      </c>
      <c r="AG1146" s="116"/>
      <c r="AH1146" s="116">
        <f>SUM(AH1125:AH1145)</f>
        <v>101.28</v>
      </c>
      <c r="AI1146" s="149"/>
      <c r="AJ1146" s="149"/>
      <c r="AK1146" s="149"/>
      <c r="AL1146" s="149"/>
      <c r="AM1146" s="150">
        <f>P1146</f>
        <v>1628.384</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494</v>
      </c>
      <c r="C1147" s="217" t="str">
        <f>N1125</f>
        <v>Chilled Water Precision Cooling Unit</v>
      </c>
      <c r="D1147" s="260" t="s">
        <v>681</v>
      </c>
      <c r="E1147" s="238"/>
      <c r="F1147" s="217"/>
      <c r="G1147" s="217"/>
      <c r="H1147" s="245"/>
      <c r="I1147" s="270">
        <v>1</v>
      </c>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one (1)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1628.384</v>
      </c>
      <c r="L1147" s="234" t="str">
        <f>CONCATENATE(Q1126,Q1127,Q1128,Q1129,Q1130,Q1131,Q1132,Q1133,Q1134,Q1135,Q1136,Q1137,Q1138,Q1139,Q1140,Q1141,Q1142,Q1143,Q1144,Q1145,)</f>
        <v/>
      </c>
      <c r="M1147" s="166" t="s">
        <v>369</v>
      </c>
      <c r="N1147" s="160" t="str">
        <f>N1125</f>
        <v>Chilled Water Precision Cooling Unit</v>
      </c>
      <c r="O1147" s="185" t="s">
        <v>367</v>
      </c>
      <c r="P1147" s="203">
        <f>P1146/M1125</f>
        <v>1628.384</v>
      </c>
      <c r="Q1147" s="195"/>
      <c r="R1147" s="188"/>
      <c r="S1147" s="160"/>
      <c r="T1147" s="161"/>
      <c r="U1147" s="327" t="s">
        <v>368</v>
      </c>
      <c r="V1147" s="327"/>
      <c r="W1147" s="162">
        <f>W1146/M1125</f>
        <v>10</v>
      </c>
      <c r="X1147" s="163"/>
      <c r="Y1147" s="325" t="s">
        <v>367</v>
      </c>
      <c r="Z1147" s="325"/>
      <c r="AA1147" s="164">
        <f>AA1146/M1125</f>
        <v>727.10400000000004</v>
      </c>
      <c r="AB1147" s="161"/>
      <c r="AC1147" s="161"/>
      <c r="AD1147" s="161"/>
      <c r="AE1147" s="161"/>
      <c r="AF1147" s="325" t="s">
        <v>367</v>
      </c>
      <c r="AG1147" s="325"/>
      <c r="AH1147" s="164">
        <f>AH1146/M1125</f>
        <v>101.28</v>
      </c>
      <c r="AI1147" s="161"/>
      <c r="AJ1147" s="161"/>
      <c r="AK1147" s="161"/>
      <c r="AL1147" s="247"/>
      <c r="AM1147" s="257"/>
      <c r="AN1147" s="236">
        <f>K1147*1.25</f>
        <v>2035.48</v>
      </c>
      <c r="AO1147" s="286"/>
      <c r="AP1147" s="284">
        <f t="shared" si="511"/>
        <v>1628.384</v>
      </c>
      <c r="AQ1147" s="281">
        <f t="shared" si="512"/>
        <v>800</v>
      </c>
      <c r="AR1147" s="284">
        <f t="shared" si="513"/>
        <v>727.10400000000004</v>
      </c>
      <c r="AS1147" s="281">
        <f t="shared" si="514"/>
        <v>101.28</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5">
      <c r="A1148" s="262">
        <f>ROW()</f>
        <v>1148</v>
      </c>
      <c r="C1148" s="211"/>
      <c r="D1148" s="211"/>
      <c r="E1148" s="211"/>
      <c r="F1148" s="211"/>
      <c r="G1148" s="211"/>
      <c r="H1148" s="211"/>
      <c r="K1148" s="116" t="s">
        <v>454</v>
      </c>
      <c r="M1148" s="116" t="s">
        <v>107</v>
      </c>
      <c r="N1148" s="116" t="s">
        <v>108</v>
      </c>
      <c r="O1148" s="170" t="s">
        <v>388</v>
      </c>
      <c r="P1148" s="326" t="s">
        <v>377</v>
      </c>
      <c r="Q1148" s="326"/>
      <c r="R1148" s="101" t="s">
        <v>454</v>
      </c>
      <c r="S1148" s="116" t="s">
        <v>0</v>
      </c>
      <c r="T1148" s="118"/>
      <c r="U1148" s="116" t="s">
        <v>288</v>
      </c>
      <c r="V1148" s="116" t="s">
        <v>289</v>
      </c>
      <c r="W1148" s="116" t="s">
        <v>292</v>
      </c>
      <c r="X1148" s="140"/>
      <c r="Y1148" s="116" t="s">
        <v>290</v>
      </c>
      <c r="Z1148" s="116" t="s">
        <v>356</v>
      </c>
      <c r="AA1148" s="116" t="s">
        <v>357</v>
      </c>
      <c r="AB1148" s="116" t="s">
        <v>319</v>
      </c>
      <c r="AC1148" s="116" t="s">
        <v>320</v>
      </c>
      <c r="AD1148" s="116" t="s">
        <v>318</v>
      </c>
      <c r="AE1148" s="140"/>
      <c r="AF1148" s="116" t="s">
        <v>294</v>
      </c>
      <c r="AG1148" s="116" t="s">
        <v>356</v>
      </c>
      <c r="AH1148" s="116" t="s">
        <v>357</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5">
      <c r="A1149" s="262">
        <f>ROW()</f>
        <v>1149</v>
      </c>
      <c r="C1149" s="208"/>
      <c r="D1149" s="208"/>
      <c r="E1149" s="208"/>
      <c r="F1149" s="208"/>
      <c r="G1149" s="208"/>
      <c r="H1149" s="208"/>
      <c r="L1149" s="124" t="str">
        <f>VLOOKUP(M1149,Sheet2!$D$2:$E$1024,2,FALSE)</f>
        <v>one</v>
      </c>
      <c r="M1149" s="121">
        <f>I1171</f>
        <v>1</v>
      </c>
      <c r="N1149" s="132" t="s">
        <v>485</v>
      </c>
      <c r="O1149" s="121" t="s">
        <v>349</v>
      </c>
      <c r="P1149" s="169" t="s">
        <v>381</v>
      </c>
      <c r="Q1149" s="169" t="s">
        <v>377</v>
      </c>
      <c r="R1149" s="169"/>
      <c r="S1149" s="133">
        <f>M1149</f>
        <v>1</v>
      </c>
      <c r="T1149" s="119"/>
      <c r="U1149" s="153" t="s">
        <v>293</v>
      </c>
      <c r="V1149" s="133">
        <f>S1149</f>
        <v>1</v>
      </c>
      <c r="W1149" s="133">
        <f>VLOOKUP(U1149,Sheet1!$B$6:$C$45,2,FALSE)*V1149</f>
        <v>0</v>
      </c>
      <c r="X1149" s="141"/>
      <c r="Y1149" s="121" t="s">
        <v>293</v>
      </c>
      <c r="Z1149" s="146">
        <f>VLOOKUP(Takeoffs!Y1149,Sheet1!$B$6:$C$124,2,FALSE)</f>
        <v>0</v>
      </c>
      <c r="AA1149" s="146">
        <f>Z1149*AB1149</f>
        <v>0</v>
      </c>
      <c r="AB1149" s="143">
        <f>AD1149*AC1149</f>
        <v>1</v>
      </c>
      <c r="AC1149" s="133">
        <f>S1149</f>
        <v>1</v>
      </c>
      <c r="AD1149" s="142">
        <v>1</v>
      </c>
      <c r="AE1149" s="141"/>
      <c r="AF1149" s="121" t="s">
        <v>293</v>
      </c>
      <c r="AG1149" s="146">
        <f>VLOOKUP(Takeoffs!AF1149,Sheet1!$B$6:$C$124,2,FALSE)</f>
        <v>0</v>
      </c>
      <c r="AH1149" s="146">
        <f>AG1149*AI1149</f>
        <v>0</v>
      </c>
      <c r="AI1149" s="143">
        <f>AK1149*AJ1149</f>
        <v>0</v>
      </c>
      <c r="AJ1149" s="133">
        <f>S1149</f>
        <v>1</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413</v>
      </c>
      <c r="P1150" s="121"/>
      <c r="Q1150" s="121"/>
      <c r="R1150" s="121"/>
      <c r="S1150" s="133">
        <f>M1149</f>
        <v>1</v>
      </c>
      <c r="T1150" s="120"/>
      <c r="U1150" s="121" t="s">
        <v>233</v>
      </c>
      <c r="V1150" s="133">
        <f t="shared" ref="V1150:V1169" si="527">S1150</f>
        <v>1</v>
      </c>
      <c r="W1150" s="133">
        <f>VLOOKUP(U1150,Sheet1!$B$6:$C$45,2,FALSE)*V1150</f>
        <v>1</v>
      </c>
      <c r="X1150" s="141"/>
      <c r="Y1150" s="121" t="s">
        <v>293</v>
      </c>
      <c r="Z1150" s="146">
        <f>VLOOKUP(Takeoffs!Y1150,Sheet1!$B$6:$C$124,2,FALSE)</f>
        <v>0</v>
      </c>
      <c r="AA1150" s="146">
        <f t="shared" ref="AA1150:AA1169" si="528">Z1150*AB1150</f>
        <v>0</v>
      </c>
      <c r="AB1150" s="143">
        <f t="shared" ref="AB1150:AB1169" si="529">AD1150*AC1150</f>
        <v>1</v>
      </c>
      <c r="AC1150" s="133">
        <f>S1150</f>
        <v>1</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1</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1</v>
      </c>
      <c r="T1151" s="120"/>
      <c r="U1151" s="121" t="s">
        <v>293</v>
      </c>
      <c r="V1151" s="133">
        <f t="shared" si="527"/>
        <v>1</v>
      </c>
      <c r="W1151" s="133">
        <f>VLOOKUP(U1151,Sheet1!$B$6:$C$45,2,FALSE)*V1151</f>
        <v>0</v>
      </c>
      <c r="X1151" s="141"/>
      <c r="Y1151" s="122" t="s">
        <v>252</v>
      </c>
      <c r="Z1151" s="146">
        <f>VLOOKUP(Takeoffs!Y1151,Sheet1!$B$6:$C$124,2,FALSE)</f>
        <v>43.440000000000005</v>
      </c>
      <c r="AA1151" s="146">
        <f t="shared" si="528"/>
        <v>43.440000000000005</v>
      </c>
      <c r="AB1151" s="143">
        <f t="shared" si="529"/>
        <v>1</v>
      </c>
      <c r="AC1151" s="133">
        <f>S1151</f>
        <v>1</v>
      </c>
      <c r="AD1151" s="142">
        <v>1</v>
      </c>
      <c r="AE1151" s="141"/>
      <c r="AF1151" s="121" t="s">
        <v>293</v>
      </c>
      <c r="AG1151" s="146">
        <f>VLOOKUP(Takeoffs!AF1151,Sheet1!$B$6:$C$124,2,FALSE)</f>
        <v>0</v>
      </c>
      <c r="AH1151" s="146">
        <f t="shared" si="530"/>
        <v>0</v>
      </c>
      <c r="AI1151" s="143">
        <f t="shared" si="531"/>
        <v>0</v>
      </c>
      <c r="AJ1151" s="133">
        <f t="shared" si="532"/>
        <v>1</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508</v>
      </c>
      <c r="P1152" s="121"/>
      <c r="Q1152" s="121"/>
      <c r="R1152" s="121"/>
      <c r="S1152" s="133">
        <f>M1149</f>
        <v>1</v>
      </c>
      <c r="T1152" s="120"/>
      <c r="U1152" s="117" t="s">
        <v>481</v>
      </c>
      <c r="V1152" s="133">
        <f t="shared" si="527"/>
        <v>1</v>
      </c>
      <c r="W1152" s="133">
        <f>VLOOKUP(U1152,Sheet1!$B$6:$C$45,2,FALSE)*V1152</f>
        <v>2</v>
      </c>
      <c r="X1152" s="141"/>
      <c r="Y1152" s="121" t="s">
        <v>293</v>
      </c>
      <c r="Z1152" s="146">
        <f>VLOOKUP(Takeoffs!Y1152,Sheet1!$B$6:$C$124,2,FALSE)</f>
        <v>0</v>
      </c>
      <c r="AA1152" s="146">
        <f t="shared" si="528"/>
        <v>0</v>
      </c>
      <c r="AB1152" s="143">
        <f t="shared" si="529"/>
        <v>1</v>
      </c>
      <c r="AC1152" s="133">
        <f t="shared" ref="AC1152:AC1169" si="534">S1152</f>
        <v>1</v>
      </c>
      <c r="AD1152" s="142">
        <v>1</v>
      </c>
      <c r="AE1152" s="141"/>
      <c r="AF1152" s="122" t="s">
        <v>267</v>
      </c>
      <c r="AG1152" s="146">
        <f>VLOOKUP(Takeoffs!AF1152,Sheet1!$B$6:$C$124,2,FALSE)</f>
        <v>3.48</v>
      </c>
      <c r="AH1152" s="146">
        <f t="shared" si="530"/>
        <v>69.599999999999994</v>
      </c>
      <c r="AI1152" s="143">
        <f t="shared" si="531"/>
        <v>20</v>
      </c>
      <c r="AJ1152" s="133">
        <f t="shared" si="532"/>
        <v>1</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1</v>
      </c>
      <c r="T1153" s="120"/>
      <c r="U1153" s="121" t="s">
        <v>293</v>
      </c>
      <c r="V1153" s="133">
        <f t="shared" si="527"/>
        <v>1</v>
      </c>
      <c r="W1153" s="133">
        <f>VLOOKUP(U1153,Sheet1!$B$6:$C$45,2,FALSE)*V1153</f>
        <v>0</v>
      </c>
      <c r="X1153" s="141"/>
      <c r="Y1153" s="121" t="s">
        <v>293</v>
      </c>
      <c r="Z1153" s="146">
        <f>VLOOKUP(Takeoffs!Y1153,Sheet1!$B$6:$C$124,2,FALSE)</f>
        <v>0</v>
      </c>
      <c r="AA1153" s="146">
        <f t="shared" si="528"/>
        <v>0</v>
      </c>
      <c r="AB1153" s="143">
        <f t="shared" si="529"/>
        <v>1</v>
      </c>
      <c r="AC1153" s="133">
        <f t="shared" si="534"/>
        <v>1</v>
      </c>
      <c r="AD1153" s="142">
        <v>1</v>
      </c>
      <c r="AE1153" s="141"/>
      <c r="AF1153" s="121" t="s">
        <v>293</v>
      </c>
      <c r="AG1153" s="146">
        <f>VLOOKUP(Takeoffs!AF1153,Sheet1!$B$6:$C$124,2,FALSE)</f>
        <v>0</v>
      </c>
      <c r="AH1153" s="146">
        <f t="shared" si="530"/>
        <v>0</v>
      </c>
      <c r="AI1153" s="143">
        <f t="shared" si="531"/>
        <v>0</v>
      </c>
      <c r="AJ1153" s="133">
        <f t="shared" si="532"/>
        <v>1</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1</v>
      </c>
      <c r="T1154" s="120"/>
      <c r="U1154" s="121" t="s">
        <v>293</v>
      </c>
      <c r="V1154" s="133">
        <f t="shared" si="527"/>
        <v>1</v>
      </c>
      <c r="W1154" s="133">
        <f>VLOOKUP(U1154,Sheet1!$B$6:$C$45,2,FALSE)*V1154</f>
        <v>0</v>
      </c>
      <c r="X1154" s="141"/>
      <c r="Y1154" s="121" t="s">
        <v>293</v>
      </c>
      <c r="Z1154" s="146">
        <f>VLOOKUP(Takeoffs!Y1154,Sheet1!$B$6:$C$124,2,FALSE)</f>
        <v>0</v>
      </c>
      <c r="AA1154" s="146">
        <f t="shared" si="528"/>
        <v>0</v>
      </c>
      <c r="AB1154" s="143">
        <f t="shared" si="529"/>
        <v>1</v>
      </c>
      <c r="AC1154" s="133">
        <f t="shared" si="534"/>
        <v>1</v>
      </c>
      <c r="AD1154" s="142">
        <v>1</v>
      </c>
      <c r="AE1154" s="141"/>
      <c r="AF1154" s="121" t="s">
        <v>293</v>
      </c>
      <c r="AG1154" s="146">
        <f>VLOOKUP(Takeoffs!AF1154,Sheet1!$B$6:$C$124,2,FALSE)</f>
        <v>0</v>
      </c>
      <c r="AH1154" s="146">
        <f t="shared" si="530"/>
        <v>0</v>
      </c>
      <c r="AI1154" s="143">
        <f t="shared" si="531"/>
        <v>0</v>
      </c>
      <c r="AJ1154" s="133">
        <f t="shared" si="532"/>
        <v>1</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1</v>
      </c>
      <c r="T1155" s="120"/>
      <c r="U1155" s="121" t="s">
        <v>293</v>
      </c>
      <c r="V1155" s="133">
        <f t="shared" si="527"/>
        <v>1</v>
      </c>
      <c r="W1155" s="133">
        <f>VLOOKUP(U1155,Sheet1!$B$6:$C$45,2,FALSE)*V1155</f>
        <v>0</v>
      </c>
      <c r="X1155" s="141"/>
      <c r="Y1155" s="122" t="s">
        <v>245</v>
      </c>
      <c r="Z1155" s="146">
        <f>VLOOKUP(Takeoffs!Y1155,Sheet1!$B$6:$C$124,2,FALSE)</f>
        <v>46.463999999999999</v>
      </c>
      <c r="AA1155" s="146">
        <f t="shared" si="528"/>
        <v>46.463999999999999</v>
      </c>
      <c r="AB1155" s="143">
        <f t="shared" si="529"/>
        <v>1</v>
      </c>
      <c r="AC1155" s="133">
        <f t="shared" si="534"/>
        <v>1</v>
      </c>
      <c r="AD1155" s="142">
        <v>1</v>
      </c>
      <c r="AE1155" s="141"/>
      <c r="AF1155" s="121" t="s">
        <v>293</v>
      </c>
      <c r="AG1155" s="146">
        <f>VLOOKUP(Takeoffs!AF1155,Sheet1!$B$6:$C$124,2,FALSE)</f>
        <v>0</v>
      </c>
      <c r="AH1155" s="146">
        <f t="shared" si="530"/>
        <v>0</v>
      </c>
      <c r="AI1155" s="143">
        <f t="shared" si="531"/>
        <v>0</v>
      </c>
      <c r="AJ1155" s="133">
        <f t="shared" si="532"/>
        <v>1</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1</v>
      </c>
      <c r="T1156" s="120"/>
      <c r="U1156" s="121" t="s">
        <v>293</v>
      </c>
      <c r="V1156" s="133">
        <f t="shared" si="527"/>
        <v>1</v>
      </c>
      <c r="W1156" s="133">
        <f>VLOOKUP(U1156,Sheet1!$B$6:$C$45,2,FALSE)*V1156</f>
        <v>0</v>
      </c>
      <c r="X1156" s="141"/>
      <c r="Y1156" s="122" t="s">
        <v>278</v>
      </c>
      <c r="Z1156" s="146">
        <f>VLOOKUP(Takeoffs!Y1156,Sheet1!$B$6:$C$124,2,FALSE)</f>
        <v>36</v>
      </c>
      <c r="AA1156" s="146">
        <f t="shared" si="528"/>
        <v>36</v>
      </c>
      <c r="AB1156" s="143">
        <f t="shared" si="529"/>
        <v>1</v>
      </c>
      <c r="AC1156" s="133">
        <f t="shared" si="534"/>
        <v>1</v>
      </c>
      <c r="AD1156" s="142">
        <v>1</v>
      </c>
      <c r="AE1156" s="141"/>
      <c r="AF1156" s="121" t="s">
        <v>293</v>
      </c>
      <c r="AG1156" s="146">
        <f>VLOOKUP(Takeoffs!AF1156,Sheet1!$B$6:$C$124,2,FALSE)</f>
        <v>0</v>
      </c>
      <c r="AH1156" s="146">
        <f t="shared" si="530"/>
        <v>0</v>
      </c>
      <c r="AI1156" s="143">
        <f t="shared" si="531"/>
        <v>0</v>
      </c>
      <c r="AJ1156" s="133">
        <f t="shared" si="532"/>
        <v>1</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486</v>
      </c>
      <c r="P1157" s="121"/>
      <c r="Q1157" s="121"/>
      <c r="R1157" s="121"/>
      <c r="S1157" s="133">
        <f>M1149</f>
        <v>1</v>
      </c>
      <c r="T1157" s="120"/>
      <c r="U1157" s="121" t="s">
        <v>293</v>
      </c>
      <c r="V1157" s="133">
        <f t="shared" si="527"/>
        <v>1</v>
      </c>
      <c r="W1157" s="133">
        <f>VLOOKUP(U1157,Sheet1!$B$6:$C$45,2,FALSE)*V1157</f>
        <v>0</v>
      </c>
      <c r="X1157" s="141"/>
      <c r="Y1157" s="122" t="s">
        <v>274</v>
      </c>
      <c r="Z1157" s="146">
        <f>VLOOKUP(Takeoffs!Y1157,Sheet1!$B$6:$C$124,2,FALSE)</f>
        <v>360</v>
      </c>
      <c r="AA1157" s="146">
        <f t="shared" si="528"/>
        <v>360</v>
      </c>
      <c r="AB1157" s="143">
        <f t="shared" si="529"/>
        <v>1</v>
      </c>
      <c r="AC1157" s="133">
        <f t="shared" si="534"/>
        <v>1</v>
      </c>
      <c r="AD1157" s="142">
        <v>1</v>
      </c>
      <c r="AE1157" s="141"/>
      <c r="AF1157" s="121" t="s">
        <v>293</v>
      </c>
      <c r="AG1157" s="146">
        <f>VLOOKUP(Takeoffs!AF1157,Sheet1!$B$6:$C$124,2,FALSE)</f>
        <v>0</v>
      </c>
      <c r="AH1157" s="146">
        <f t="shared" si="530"/>
        <v>0</v>
      </c>
      <c r="AI1157" s="143">
        <f t="shared" si="531"/>
        <v>0</v>
      </c>
      <c r="AJ1157" s="133">
        <f t="shared" si="532"/>
        <v>1</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1</v>
      </c>
      <c r="T1158" s="120"/>
      <c r="U1158" s="121" t="s">
        <v>366</v>
      </c>
      <c r="V1158" s="133">
        <f t="shared" si="527"/>
        <v>1</v>
      </c>
      <c r="W1158" s="133">
        <f>VLOOKUP(U1158,Sheet1!$B$6:$C$45,2,FALSE)*V1158</f>
        <v>2</v>
      </c>
      <c r="X1158" s="141"/>
      <c r="Y1158" s="121" t="s">
        <v>293</v>
      </c>
      <c r="Z1158" s="146">
        <f>VLOOKUP(Takeoffs!Y1158,Sheet1!$B$6:$C$124,2,FALSE)</f>
        <v>0</v>
      </c>
      <c r="AA1158" s="146">
        <f t="shared" si="528"/>
        <v>0</v>
      </c>
      <c r="AB1158" s="143">
        <f t="shared" si="529"/>
        <v>1</v>
      </c>
      <c r="AC1158" s="133">
        <f t="shared" si="534"/>
        <v>1</v>
      </c>
      <c r="AD1158" s="142">
        <v>1</v>
      </c>
      <c r="AE1158" s="141"/>
      <c r="AF1158" s="121" t="s">
        <v>293</v>
      </c>
      <c r="AG1158" s="146">
        <f>VLOOKUP(Takeoffs!AF1158,Sheet1!$B$6:$C$124,2,FALSE)</f>
        <v>0</v>
      </c>
      <c r="AH1158" s="146">
        <f t="shared" si="530"/>
        <v>0</v>
      </c>
      <c r="AI1158" s="143">
        <f t="shared" si="531"/>
        <v>0</v>
      </c>
      <c r="AJ1158" s="133">
        <f t="shared" si="532"/>
        <v>1</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503</v>
      </c>
      <c r="P1159" s="121"/>
      <c r="Q1159" s="121"/>
      <c r="R1159" s="121"/>
      <c r="S1159" s="133">
        <f>M1149</f>
        <v>1</v>
      </c>
      <c r="T1159" s="120"/>
      <c r="U1159" s="121" t="s">
        <v>293</v>
      </c>
      <c r="V1159" s="133">
        <f t="shared" si="527"/>
        <v>1</v>
      </c>
      <c r="W1159" s="133">
        <f>VLOOKUP(U1159,Sheet1!$B$6:$C$45,2,FALSE)*V1159</f>
        <v>0</v>
      </c>
      <c r="X1159" s="141"/>
      <c r="Y1159" s="121" t="s">
        <v>293</v>
      </c>
      <c r="Z1159" s="146">
        <f>VLOOKUP(Takeoffs!Y1159,Sheet1!$B$6:$C$124,2,FALSE)</f>
        <v>0</v>
      </c>
      <c r="AA1159" s="146">
        <f t="shared" si="528"/>
        <v>0</v>
      </c>
      <c r="AB1159" s="143">
        <f t="shared" si="529"/>
        <v>2</v>
      </c>
      <c r="AC1159" s="133">
        <f t="shared" si="534"/>
        <v>1</v>
      </c>
      <c r="AD1159" s="142">
        <v>2</v>
      </c>
      <c r="AE1159" s="141"/>
      <c r="AF1159" s="121" t="s">
        <v>293</v>
      </c>
      <c r="AG1159" s="146">
        <f>VLOOKUP(Takeoffs!AF1159,Sheet1!$B$6:$C$124,2,FALSE)</f>
        <v>0</v>
      </c>
      <c r="AH1159" s="146">
        <f t="shared" si="530"/>
        <v>0</v>
      </c>
      <c r="AI1159" s="143">
        <f t="shared" si="531"/>
        <v>0</v>
      </c>
      <c r="AJ1159" s="133">
        <f t="shared" si="532"/>
        <v>1</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509</v>
      </c>
      <c r="P1160" s="121"/>
      <c r="Q1160" s="121"/>
      <c r="R1160" s="121"/>
      <c r="S1160" s="133">
        <f>M1149</f>
        <v>1</v>
      </c>
      <c r="T1160" s="120"/>
      <c r="U1160" s="121" t="s">
        <v>293</v>
      </c>
      <c r="V1160" s="133">
        <f t="shared" si="527"/>
        <v>1</v>
      </c>
      <c r="W1160" s="133">
        <f>VLOOKUP(U1160,Sheet1!$B$6:$C$45,2,FALSE)*V1160</f>
        <v>0</v>
      </c>
      <c r="X1160" s="141"/>
      <c r="Y1160" s="121" t="s">
        <v>293</v>
      </c>
      <c r="Z1160" s="146">
        <f>VLOOKUP(Takeoffs!Y1160,Sheet1!$B$6:$C$124,2,FALSE)</f>
        <v>0</v>
      </c>
      <c r="AA1160" s="146">
        <f t="shared" si="528"/>
        <v>0</v>
      </c>
      <c r="AB1160" s="143">
        <f t="shared" si="529"/>
        <v>1</v>
      </c>
      <c r="AC1160" s="133">
        <f t="shared" si="534"/>
        <v>1</v>
      </c>
      <c r="AD1160" s="142">
        <v>1</v>
      </c>
      <c r="AE1160" s="141"/>
      <c r="AF1160" s="121" t="s">
        <v>293</v>
      </c>
      <c r="AG1160" s="146">
        <f>VLOOKUP(Takeoffs!AF1160,Sheet1!$B$6:$C$124,2,FALSE)</f>
        <v>0</v>
      </c>
      <c r="AH1160" s="146">
        <f t="shared" si="530"/>
        <v>0</v>
      </c>
      <c r="AI1160" s="143">
        <f t="shared" si="531"/>
        <v>0</v>
      </c>
      <c r="AJ1160" s="133">
        <f t="shared" si="532"/>
        <v>1</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1</v>
      </c>
      <c r="T1161" s="120"/>
      <c r="U1161" s="121" t="s">
        <v>365</v>
      </c>
      <c r="V1161" s="133">
        <f t="shared" si="527"/>
        <v>1</v>
      </c>
      <c r="W1161" s="133">
        <f>VLOOKUP(U1161,Sheet1!$B$6:$C$45,2,FALSE)*V1161</f>
        <v>1</v>
      </c>
      <c r="X1161" s="141"/>
      <c r="Y1161" s="121" t="s">
        <v>293</v>
      </c>
      <c r="Z1161" s="146">
        <f>VLOOKUP(Takeoffs!Y1161,Sheet1!$B$6:$C$124,2,FALSE)</f>
        <v>0</v>
      </c>
      <c r="AA1161" s="146">
        <f t="shared" si="528"/>
        <v>0</v>
      </c>
      <c r="AB1161" s="143">
        <f t="shared" si="529"/>
        <v>1</v>
      </c>
      <c r="AC1161" s="133">
        <f t="shared" si="534"/>
        <v>1</v>
      </c>
      <c r="AD1161" s="142">
        <v>1</v>
      </c>
      <c r="AE1161" s="141"/>
      <c r="AF1161" s="144" t="s">
        <v>269</v>
      </c>
      <c r="AG1161" s="146">
        <f>VLOOKUP(Takeoffs!AF1161,Sheet1!$B$6:$C$124,2,FALSE)</f>
        <v>1.056</v>
      </c>
      <c r="AH1161" s="146">
        <f t="shared" si="530"/>
        <v>31.68</v>
      </c>
      <c r="AI1161" s="143">
        <f t="shared" si="531"/>
        <v>30</v>
      </c>
      <c r="AJ1161" s="133">
        <f t="shared" si="532"/>
        <v>1</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1</v>
      </c>
      <c r="T1162" s="120"/>
      <c r="U1162" s="121" t="s">
        <v>232</v>
      </c>
      <c r="V1162" s="133">
        <f t="shared" si="527"/>
        <v>1</v>
      </c>
      <c r="W1162" s="133">
        <f>VLOOKUP(U1162,Sheet1!$B$6:$C$45,2,FALSE)*V1162</f>
        <v>1</v>
      </c>
      <c r="X1162" s="141"/>
      <c r="Y1162" s="122" t="s">
        <v>281</v>
      </c>
      <c r="Z1162" s="146">
        <f>VLOOKUP(Takeoffs!Y1162,Sheet1!$B$6:$C$124,2,FALSE)</f>
        <v>109.25999999999999</v>
      </c>
      <c r="AA1162" s="146">
        <f t="shared" si="528"/>
        <v>109.25999999999999</v>
      </c>
      <c r="AB1162" s="143">
        <f t="shared" si="529"/>
        <v>1</v>
      </c>
      <c r="AC1162" s="133">
        <f t="shared" si="534"/>
        <v>1</v>
      </c>
      <c r="AD1162" s="142">
        <v>1</v>
      </c>
      <c r="AE1162" s="141"/>
      <c r="AF1162" s="121" t="s">
        <v>293</v>
      </c>
      <c r="AG1162" s="146">
        <f>VLOOKUP(Takeoffs!AF1162,Sheet1!$B$6:$C$124,2,FALSE)</f>
        <v>0</v>
      </c>
      <c r="AH1162" s="146">
        <f t="shared" si="530"/>
        <v>0</v>
      </c>
      <c r="AI1162" s="143">
        <f t="shared" si="531"/>
        <v>0</v>
      </c>
      <c r="AJ1162" s="133">
        <f t="shared" si="532"/>
        <v>1</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487</v>
      </c>
      <c r="P1163" s="121"/>
      <c r="Q1163" s="121"/>
      <c r="R1163" s="121"/>
      <c r="S1163" s="133">
        <f>M1149</f>
        <v>1</v>
      </c>
      <c r="T1163" s="120"/>
      <c r="U1163" s="121" t="s">
        <v>365</v>
      </c>
      <c r="V1163" s="133">
        <f t="shared" si="527"/>
        <v>1</v>
      </c>
      <c r="W1163" s="133">
        <f>VLOOKUP(U1163,Sheet1!$B$6:$C$45,2,FALSE)*V1163</f>
        <v>1</v>
      </c>
      <c r="X1163" s="141"/>
      <c r="Y1163" s="122" t="s">
        <v>323</v>
      </c>
      <c r="Z1163" s="146">
        <f>VLOOKUP(Takeoffs!Y1163,Sheet1!$B$6:$C$124,2,FALSE)</f>
        <v>60</v>
      </c>
      <c r="AA1163" s="146">
        <f t="shared" si="528"/>
        <v>60</v>
      </c>
      <c r="AB1163" s="143">
        <f t="shared" si="529"/>
        <v>1</v>
      </c>
      <c r="AC1163" s="133">
        <f t="shared" si="534"/>
        <v>1</v>
      </c>
      <c r="AD1163" s="142">
        <v>1</v>
      </c>
      <c r="AE1163" s="141"/>
      <c r="AF1163" s="121" t="s">
        <v>293</v>
      </c>
      <c r="AG1163" s="146">
        <f>VLOOKUP(Takeoffs!AF1163,Sheet1!$B$6:$C$124,2,FALSE)</f>
        <v>0</v>
      </c>
      <c r="AH1163" s="146">
        <f t="shared" si="530"/>
        <v>0</v>
      </c>
      <c r="AI1163" s="143">
        <f t="shared" si="531"/>
        <v>0</v>
      </c>
      <c r="AJ1163" s="133">
        <f t="shared" si="532"/>
        <v>1</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458</v>
      </c>
      <c r="S1164" s="133">
        <f>M1149</f>
        <v>1</v>
      </c>
      <c r="T1164" s="120"/>
      <c r="U1164" s="121" t="s">
        <v>293</v>
      </c>
      <c r="V1164" s="133">
        <f t="shared" si="527"/>
        <v>1</v>
      </c>
      <c r="W1164" s="133">
        <f>VLOOKUP(U1164,Sheet1!$B$6:$C$45,2,FALSE)*V1164</f>
        <v>0</v>
      </c>
      <c r="X1164" s="141"/>
      <c r="Y1164" s="122" t="s">
        <v>280</v>
      </c>
      <c r="Z1164" s="146">
        <f>VLOOKUP(Takeoffs!Y1164,Sheet1!$B$6:$C$124,2,FALSE)</f>
        <v>19.2</v>
      </c>
      <c r="AA1164" s="146">
        <f t="shared" si="528"/>
        <v>19.2</v>
      </c>
      <c r="AB1164" s="143">
        <f t="shared" si="529"/>
        <v>1</v>
      </c>
      <c r="AC1164" s="133">
        <f t="shared" si="534"/>
        <v>1</v>
      </c>
      <c r="AD1164" s="142">
        <v>1</v>
      </c>
      <c r="AE1164" s="141"/>
      <c r="AF1164" s="121" t="s">
        <v>293</v>
      </c>
      <c r="AG1164" s="146">
        <f>VLOOKUP(Takeoffs!AF1164,Sheet1!$B$6:$C$124,2,FALSE)</f>
        <v>0</v>
      </c>
      <c r="AH1164" s="146">
        <f t="shared" si="530"/>
        <v>0</v>
      </c>
      <c r="AI1164" s="143">
        <f t="shared" si="531"/>
        <v>0</v>
      </c>
      <c r="AJ1164" s="133">
        <f t="shared" si="532"/>
        <v>1</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1</v>
      </c>
      <c r="T1165" s="120"/>
      <c r="U1165" s="121" t="s">
        <v>293</v>
      </c>
      <c r="V1165" s="133">
        <f t="shared" si="527"/>
        <v>1</v>
      </c>
      <c r="W1165" s="133">
        <f>VLOOKUP(U1165,Sheet1!$B$6:$C$45,2,FALSE)*V1165</f>
        <v>0</v>
      </c>
      <c r="X1165" s="141"/>
      <c r="Y1165" s="122" t="s">
        <v>280</v>
      </c>
      <c r="Z1165" s="146">
        <f>VLOOKUP(Takeoffs!Y1165,Sheet1!$B$6:$C$124,2,FALSE)</f>
        <v>19.2</v>
      </c>
      <c r="AA1165" s="146">
        <f t="shared" si="528"/>
        <v>19.2</v>
      </c>
      <c r="AB1165" s="143">
        <f t="shared" si="529"/>
        <v>1</v>
      </c>
      <c r="AC1165" s="133">
        <f t="shared" si="534"/>
        <v>1</v>
      </c>
      <c r="AD1165" s="142">
        <v>1</v>
      </c>
      <c r="AE1165" s="141"/>
      <c r="AF1165" s="121" t="s">
        <v>293</v>
      </c>
      <c r="AG1165" s="146">
        <f>VLOOKUP(Takeoffs!AF1165,Sheet1!$B$6:$C$124,2,FALSE)</f>
        <v>0</v>
      </c>
      <c r="AH1165" s="146">
        <f t="shared" si="530"/>
        <v>0</v>
      </c>
      <c r="AI1165" s="143">
        <f t="shared" si="531"/>
        <v>0</v>
      </c>
      <c r="AJ1165" s="133">
        <f t="shared" si="532"/>
        <v>1</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331</v>
      </c>
      <c r="P1166" s="121"/>
      <c r="Q1166" s="121"/>
      <c r="R1166" s="121" t="s">
        <v>305</v>
      </c>
      <c r="S1166" s="133">
        <f>M1149</f>
        <v>1</v>
      </c>
      <c r="T1166" s="120"/>
      <c r="U1166" s="121" t="s">
        <v>293</v>
      </c>
      <c r="V1166" s="133">
        <f t="shared" si="527"/>
        <v>1</v>
      </c>
      <c r="W1166" s="133">
        <f>VLOOKUP(U1166,Sheet1!$B$6:$C$45,2,FALSE)*V1166</f>
        <v>0</v>
      </c>
      <c r="X1166" s="141"/>
      <c r="Y1166" s="122" t="s">
        <v>277</v>
      </c>
      <c r="Z1166" s="146">
        <f>VLOOKUP(Takeoffs!Y1166,Sheet1!$B$6:$C$124,2,FALSE)</f>
        <v>69.540000000000006</v>
      </c>
      <c r="AA1166" s="146">
        <f t="shared" si="528"/>
        <v>69.540000000000006</v>
      </c>
      <c r="AB1166" s="143">
        <f t="shared" si="529"/>
        <v>1</v>
      </c>
      <c r="AC1166" s="133">
        <f t="shared" si="534"/>
        <v>1</v>
      </c>
      <c r="AD1166" s="142">
        <v>1</v>
      </c>
      <c r="AE1166" s="141"/>
      <c r="AF1166" s="121" t="s">
        <v>293</v>
      </c>
      <c r="AG1166" s="146">
        <f>VLOOKUP(Takeoffs!AF1166,Sheet1!$B$6:$C$124,2,FALSE)</f>
        <v>0</v>
      </c>
      <c r="AH1166" s="146">
        <f t="shared" si="530"/>
        <v>0</v>
      </c>
      <c r="AI1166" s="143">
        <f t="shared" si="531"/>
        <v>0</v>
      </c>
      <c r="AJ1166" s="133">
        <f t="shared" si="532"/>
        <v>1</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1</v>
      </c>
      <c r="T1167" s="120"/>
      <c r="U1167" s="121" t="s">
        <v>293</v>
      </c>
      <c r="V1167" s="133">
        <f t="shared" si="527"/>
        <v>1</v>
      </c>
      <c r="W1167" s="133">
        <f>VLOOKUP(U1167,Sheet1!$B$6:$C$45,2,FALSE)*V1167</f>
        <v>0</v>
      </c>
      <c r="X1167" s="141"/>
      <c r="Y1167" s="121" t="s">
        <v>293</v>
      </c>
      <c r="Z1167" s="146">
        <f>VLOOKUP(Takeoffs!Y1167,Sheet1!$B$6:$C$124,2,FALSE)</f>
        <v>0</v>
      </c>
      <c r="AA1167" s="146">
        <f t="shared" si="528"/>
        <v>0</v>
      </c>
      <c r="AB1167" s="143">
        <f t="shared" si="529"/>
        <v>1</v>
      </c>
      <c r="AC1167" s="133">
        <f t="shared" si="534"/>
        <v>1</v>
      </c>
      <c r="AD1167" s="142">
        <v>1</v>
      </c>
      <c r="AE1167" s="141"/>
      <c r="AF1167" s="121" t="s">
        <v>293</v>
      </c>
      <c r="AG1167" s="146">
        <f>VLOOKUP(Takeoffs!AF1167,Sheet1!$B$6:$C$124,2,FALSE)</f>
        <v>0</v>
      </c>
      <c r="AH1167" s="146">
        <f t="shared" si="530"/>
        <v>0</v>
      </c>
      <c r="AI1167" s="143">
        <f t="shared" si="531"/>
        <v>0</v>
      </c>
      <c r="AJ1167" s="133">
        <f t="shared" si="532"/>
        <v>1</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414</v>
      </c>
      <c r="P1168" s="121" t="s">
        <v>382</v>
      </c>
      <c r="Q1168" s="121" t="s">
        <v>386</v>
      </c>
      <c r="R1168" s="121"/>
      <c r="S1168" s="133">
        <f>M1149</f>
        <v>1</v>
      </c>
      <c r="T1168" s="120"/>
      <c r="U1168" s="121" t="s">
        <v>293</v>
      </c>
      <c r="V1168" s="133">
        <f t="shared" si="527"/>
        <v>1</v>
      </c>
      <c r="W1168" s="133">
        <f>VLOOKUP(U1168,Sheet1!$B$6:$C$45,2,FALSE)*V1168</f>
        <v>0</v>
      </c>
      <c r="X1168" s="141"/>
      <c r="Y1168" s="122" t="s">
        <v>324</v>
      </c>
      <c r="Z1168" s="146">
        <f>VLOOKUP(Takeoffs!Y1168,Sheet1!$B$6:$C$124,2,FALSE)</f>
        <v>48</v>
      </c>
      <c r="AA1168" s="146">
        <f t="shared" si="528"/>
        <v>48</v>
      </c>
      <c r="AB1168" s="143">
        <f t="shared" si="529"/>
        <v>1</v>
      </c>
      <c r="AC1168" s="133">
        <f t="shared" si="534"/>
        <v>1</v>
      </c>
      <c r="AD1168" s="142">
        <v>1</v>
      </c>
      <c r="AE1168" s="141"/>
      <c r="AF1168" s="121" t="s">
        <v>293</v>
      </c>
      <c r="AG1168" s="146">
        <f>VLOOKUP(Takeoffs!AF1168,Sheet1!$B$6:$C$124,2,FALSE)</f>
        <v>0</v>
      </c>
      <c r="AH1168" s="146">
        <f t="shared" si="530"/>
        <v>0</v>
      </c>
      <c r="AI1168" s="143">
        <f t="shared" si="531"/>
        <v>0</v>
      </c>
      <c r="AJ1168" s="133">
        <f t="shared" si="532"/>
        <v>1</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410</v>
      </c>
      <c r="P1169" s="121"/>
      <c r="Q1169" s="121"/>
      <c r="R1169" s="121"/>
      <c r="S1169" s="133">
        <f>M1149</f>
        <v>1</v>
      </c>
      <c r="T1169" s="120"/>
      <c r="U1169" s="121" t="s">
        <v>366</v>
      </c>
      <c r="V1169" s="133">
        <f t="shared" si="527"/>
        <v>1</v>
      </c>
      <c r="W1169" s="133">
        <f>VLOOKUP(U1169,Sheet1!$B$6:$C$45,2,FALSE)*V1169</f>
        <v>2</v>
      </c>
      <c r="X1169" s="141"/>
      <c r="Y1169" s="121" t="s">
        <v>293</v>
      </c>
      <c r="Z1169" s="146">
        <f>VLOOKUP(Takeoffs!Y1169,Sheet1!$B$6:$C$124,2,FALSE)</f>
        <v>0</v>
      </c>
      <c r="AA1169" s="146">
        <f t="shared" si="528"/>
        <v>0</v>
      </c>
      <c r="AB1169" s="143">
        <f t="shared" si="529"/>
        <v>1</v>
      </c>
      <c r="AC1169" s="133">
        <f t="shared" si="534"/>
        <v>1</v>
      </c>
      <c r="AD1169" s="142">
        <v>1</v>
      </c>
      <c r="AE1169" s="141"/>
      <c r="AF1169" s="121" t="s">
        <v>293</v>
      </c>
      <c r="AG1169" s="146">
        <f>VLOOKUP(Takeoffs!AF1169,Sheet1!$B$6:$C$124,2,FALSE)</f>
        <v>0</v>
      </c>
      <c r="AH1169" s="146">
        <f t="shared" si="530"/>
        <v>0</v>
      </c>
      <c r="AI1169" s="143">
        <f t="shared" si="531"/>
        <v>0</v>
      </c>
      <c r="AJ1169" s="133">
        <f t="shared" si="532"/>
        <v>1</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379</v>
      </c>
      <c r="L1170" s="128" t="s">
        <v>380</v>
      </c>
      <c r="N1170" s="129"/>
      <c r="O1170" s="130" t="s">
        <v>359</v>
      </c>
      <c r="P1170" s="155">
        <f>V1170+AA1170+AH1170</f>
        <v>1712.384</v>
      </c>
      <c r="Q1170" s="155"/>
      <c r="R1170" s="131"/>
      <c r="S1170" s="130"/>
      <c r="T1170" s="127"/>
      <c r="U1170" s="126" t="s">
        <v>353</v>
      </c>
      <c r="V1170" s="127">
        <f>W1170*80</f>
        <v>800</v>
      </c>
      <c r="W1170" s="147">
        <f>SUM(W1149:W1169)</f>
        <v>10</v>
      </c>
      <c r="X1170" s="148"/>
      <c r="Y1170" s="127" t="s">
        <v>354</v>
      </c>
      <c r="Z1170" s="116"/>
      <c r="AA1170" s="116">
        <f>SUM(AA1149:AA1169)</f>
        <v>811.10400000000004</v>
      </c>
      <c r="AB1170" s="149"/>
      <c r="AC1170" s="149"/>
      <c r="AD1170" s="149"/>
      <c r="AE1170" s="149"/>
      <c r="AF1170" s="127" t="s">
        <v>358</v>
      </c>
      <c r="AG1170" s="116"/>
      <c r="AH1170" s="116">
        <f>SUM(AH1149:AH1169)</f>
        <v>101.28</v>
      </c>
      <c r="AI1170" s="149"/>
      <c r="AJ1170" s="149"/>
      <c r="AK1170" s="149"/>
      <c r="AL1170" s="149"/>
      <c r="AM1170" s="150">
        <f>P1170</f>
        <v>1712.384</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494</v>
      </c>
      <c r="C1171" s="217" t="str">
        <f>N1149</f>
        <v>Chilled Water Fancoil Unit ( single speed)</v>
      </c>
      <c r="D1171" s="260" t="s">
        <v>680</v>
      </c>
      <c r="E1171" s="238"/>
      <c r="F1171" s="217"/>
      <c r="G1171" s="217"/>
      <c r="H1171" s="245"/>
      <c r="I1171" s="270">
        <v>1</v>
      </c>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one (1)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1712.384</v>
      </c>
      <c r="L1171" s="234" t="str">
        <f>CONCATENATE(Q1150,Q1151,Q1152,Q1153,Q1154,Q1155,Q1156,Q1157,Q1158,Q1159,Q1160,Q1161,Q1162,Q1163,Q1164,Q1165,Q1166,Q1167,Q1168,Q1169,)</f>
        <v>fire cabling from FIP.</v>
      </c>
      <c r="M1171" s="166" t="s">
        <v>369</v>
      </c>
      <c r="N1171" s="160" t="str">
        <f>N1149</f>
        <v>Chilled Water Fancoil Unit ( single speed)</v>
      </c>
      <c r="O1171" s="185" t="s">
        <v>367</v>
      </c>
      <c r="P1171" s="203">
        <f>P1170/M1149</f>
        <v>1712.384</v>
      </c>
      <c r="Q1171" s="195"/>
      <c r="R1171" s="188"/>
      <c r="S1171" s="160"/>
      <c r="T1171" s="161"/>
      <c r="U1171" s="327" t="s">
        <v>368</v>
      </c>
      <c r="V1171" s="327"/>
      <c r="W1171" s="162">
        <f>W1170/M1149</f>
        <v>10</v>
      </c>
      <c r="X1171" s="163"/>
      <c r="Y1171" s="325" t="s">
        <v>367</v>
      </c>
      <c r="Z1171" s="325"/>
      <c r="AA1171" s="164">
        <f>AA1170/M1149</f>
        <v>811.10400000000004</v>
      </c>
      <c r="AB1171" s="161"/>
      <c r="AC1171" s="161"/>
      <c r="AD1171" s="161"/>
      <c r="AE1171" s="161"/>
      <c r="AF1171" s="325" t="s">
        <v>367</v>
      </c>
      <c r="AG1171" s="325"/>
      <c r="AH1171" s="164">
        <f>AH1170/M1149</f>
        <v>101.28</v>
      </c>
      <c r="AI1171" s="161"/>
      <c r="AJ1171" s="161"/>
      <c r="AK1171" s="161"/>
      <c r="AL1171" s="247"/>
      <c r="AM1171" s="257"/>
      <c r="AN1171" s="236">
        <f>K1171*1.25</f>
        <v>2140.48</v>
      </c>
      <c r="AO1171" s="286"/>
      <c r="AP1171" s="284">
        <f t="shared" si="511"/>
        <v>1712.384</v>
      </c>
      <c r="AQ1171" s="281">
        <f t="shared" si="512"/>
        <v>800</v>
      </c>
      <c r="AR1171" s="284">
        <f t="shared" si="513"/>
        <v>811.10400000000004</v>
      </c>
      <c r="AS1171" s="281">
        <f t="shared" si="514"/>
        <v>101.28</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494</v>
      </c>
      <c r="D1172" s="261" t="str">
        <f>IF(B1172="Shopping List",IF(ISNUMBER(SEARCH("MSSB",C1172)),"MSSB",IF(ISNUMBER(SEARCH("local",C1172)),"LOCAL","")))</f>
        <v/>
      </c>
      <c r="I1172" s="269">
        <v>1</v>
      </c>
      <c r="J1172" s="261" t="s">
        <v>499</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495</v>
      </c>
      <c r="D1173" s="211"/>
      <c r="E1173" s="218"/>
      <c r="F1173" s="218"/>
      <c r="G1173" s="218"/>
      <c r="H1173" s="218"/>
      <c r="I1173" s="240" t="s">
        <v>0</v>
      </c>
      <c r="J1173" s="116" t="s">
        <v>389</v>
      </c>
      <c r="K1173" s="222" t="s">
        <v>355</v>
      </c>
      <c r="L1173" s="253" t="s">
        <v>390</v>
      </c>
      <c r="M1173" s="116" t="s">
        <v>107</v>
      </c>
      <c r="N1173" s="116" t="s">
        <v>108</v>
      </c>
      <c r="O1173" s="170" t="s">
        <v>388</v>
      </c>
      <c r="P1173" s="326" t="s">
        <v>377</v>
      </c>
      <c r="Q1173" s="326"/>
      <c r="R1173" s="101" t="s">
        <v>454</v>
      </c>
      <c r="S1173" s="116" t="s">
        <v>0</v>
      </c>
      <c r="T1173" s="118"/>
      <c r="U1173" s="116" t="s">
        <v>288</v>
      </c>
      <c r="V1173" s="116" t="s">
        <v>289</v>
      </c>
      <c r="W1173" s="116" t="s">
        <v>292</v>
      </c>
      <c r="X1173" s="140"/>
      <c r="Y1173" s="116" t="s">
        <v>290</v>
      </c>
      <c r="Z1173" s="116" t="s">
        <v>356</v>
      </c>
      <c r="AA1173" s="116" t="s">
        <v>357</v>
      </c>
      <c r="AB1173" s="116" t="s">
        <v>319</v>
      </c>
      <c r="AC1173" s="116" t="s">
        <v>320</v>
      </c>
      <c r="AD1173" s="116" t="s">
        <v>318</v>
      </c>
      <c r="AE1173" s="140"/>
      <c r="AF1173" s="116" t="s">
        <v>294</v>
      </c>
      <c r="AG1173" s="116" t="s">
        <v>356</v>
      </c>
      <c r="AH1173" s="116" t="s">
        <v>357</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one</v>
      </c>
      <c r="M1174" s="121">
        <f>I1196</f>
        <v>1</v>
      </c>
      <c r="N1174" s="132" t="s">
        <v>351</v>
      </c>
      <c r="O1174" s="121" t="s">
        <v>178</v>
      </c>
      <c r="P1174" s="169" t="s">
        <v>381</v>
      </c>
      <c r="Q1174" s="169" t="s">
        <v>377</v>
      </c>
      <c r="R1174" s="169"/>
      <c r="S1174" s="133">
        <f>M1174</f>
        <v>1</v>
      </c>
      <c r="T1174" s="119"/>
      <c r="U1174" s="121" t="s">
        <v>352</v>
      </c>
      <c r="V1174" s="133">
        <f>S1174</f>
        <v>1</v>
      </c>
      <c r="W1174" s="133">
        <f>VLOOKUP(U1174,Sheet1!$B$6:$C$45,2,FALSE)*V1174</f>
        <v>4</v>
      </c>
      <c r="X1174" s="141"/>
      <c r="Y1174" s="121" t="s">
        <v>293</v>
      </c>
      <c r="Z1174" s="146">
        <f>VLOOKUP(Takeoffs!Y1174,Sheet1!$B$6:$C$124,2,FALSE)</f>
        <v>0</v>
      </c>
      <c r="AA1174" s="146">
        <f>Z1174*AB1174</f>
        <v>0</v>
      </c>
      <c r="AB1174" s="143">
        <f>AD1174*AC1174</f>
        <v>1</v>
      </c>
      <c r="AC1174" s="133">
        <f>S1174</f>
        <v>1</v>
      </c>
      <c r="AD1174" s="142">
        <v>1</v>
      </c>
      <c r="AE1174" s="141"/>
      <c r="AF1174" s="121" t="s">
        <v>293</v>
      </c>
      <c r="AG1174" s="146">
        <f>VLOOKUP(Takeoffs!AF1174,Sheet1!$B$6:$C$124,2,FALSE)</f>
        <v>0</v>
      </c>
      <c r="AH1174" s="146">
        <f>AG1174*AI1174</f>
        <v>0</v>
      </c>
      <c r="AI1174" s="143">
        <f>AK1174*AJ1174</f>
        <v>0</v>
      </c>
      <c r="AJ1174" s="133">
        <f>S1174</f>
        <v>1</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1</v>
      </c>
      <c r="T1175" s="120"/>
      <c r="U1175" s="121" t="s">
        <v>293</v>
      </c>
      <c r="V1175" s="133">
        <f t="shared" ref="V1175:V1194" si="542">S1175</f>
        <v>1</v>
      </c>
      <c r="W1175" s="133">
        <f>VLOOKUP(U1175,Sheet1!$B$6:$C$45,2,FALSE)*V1175</f>
        <v>0</v>
      </c>
      <c r="X1175" s="141"/>
      <c r="Y1175" s="122" t="s">
        <v>253</v>
      </c>
      <c r="Z1175" s="146">
        <f>VLOOKUP(Takeoffs!Y1175,Sheet1!$B$6:$C$124,2,FALSE)</f>
        <v>10.139999999999999</v>
      </c>
      <c r="AA1175" s="146">
        <f t="shared" ref="AA1175:AA1194" si="543">Z1175*AB1175</f>
        <v>10.139999999999999</v>
      </c>
      <c r="AB1175" s="143">
        <f t="shared" ref="AB1175:AB1194" si="544">AD1175*AC1175</f>
        <v>1</v>
      </c>
      <c r="AC1175" s="133">
        <f>S1175</f>
        <v>1</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1</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391</v>
      </c>
      <c r="P1176" s="121"/>
      <c r="Q1176" s="121"/>
      <c r="R1176" s="121"/>
      <c r="S1176" s="133">
        <f>M1174</f>
        <v>1</v>
      </c>
      <c r="T1176" s="120"/>
      <c r="U1176" s="121" t="s">
        <v>293</v>
      </c>
      <c r="V1176" s="133">
        <f t="shared" si="542"/>
        <v>1</v>
      </c>
      <c r="W1176" s="133">
        <f>VLOOKUP(U1176,Sheet1!$B$6:$C$45,2,FALSE)*V1176</f>
        <v>0</v>
      </c>
      <c r="X1176" s="141"/>
      <c r="Y1176" s="121" t="s">
        <v>293</v>
      </c>
      <c r="Z1176" s="146">
        <f>VLOOKUP(Takeoffs!Y1176,Sheet1!$B$6:$C$124,2,FALSE)</f>
        <v>0</v>
      </c>
      <c r="AA1176" s="146">
        <f t="shared" si="543"/>
        <v>0</v>
      </c>
      <c r="AB1176" s="143">
        <f t="shared" si="544"/>
        <v>1</v>
      </c>
      <c r="AC1176" s="133">
        <f>S1176</f>
        <v>1</v>
      </c>
      <c r="AD1176" s="142">
        <v>1</v>
      </c>
      <c r="AE1176" s="141"/>
      <c r="AF1176" s="122" t="s">
        <v>268</v>
      </c>
      <c r="AG1176" s="146">
        <f>VLOOKUP(Takeoffs!AF1176,Sheet1!$B$6:$C$124,2,FALSE)</f>
        <v>1.02</v>
      </c>
      <c r="AH1176" s="146">
        <f t="shared" si="545"/>
        <v>20.399999999999999</v>
      </c>
      <c r="AI1176" s="143">
        <f t="shared" si="546"/>
        <v>20</v>
      </c>
      <c r="AJ1176" s="133">
        <f t="shared" si="547"/>
        <v>1</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360</v>
      </c>
      <c r="P1177" s="121"/>
      <c r="Q1177" s="121"/>
      <c r="R1177" s="121"/>
      <c r="S1177" s="133">
        <f>M1174</f>
        <v>1</v>
      </c>
      <c r="T1177" s="120"/>
      <c r="U1177" s="121" t="s">
        <v>293</v>
      </c>
      <c r="V1177" s="133">
        <f t="shared" si="542"/>
        <v>1</v>
      </c>
      <c r="W1177" s="133">
        <f>VLOOKUP(U1177,Sheet1!$B$6:$C$45,2,FALSE)*V1177</f>
        <v>0</v>
      </c>
      <c r="X1177" s="141"/>
      <c r="Y1177" s="121" t="s">
        <v>293</v>
      </c>
      <c r="Z1177" s="146">
        <f>VLOOKUP(Takeoffs!Y1177,Sheet1!$B$6:$C$124,2,FALSE)</f>
        <v>0</v>
      </c>
      <c r="AA1177" s="146">
        <f t="shared" si="543"/>
        <v>0</v>
      </c>
      <c r="AB1177" s="143">
        <f t="shared" si="544"/>
        <v>1</v>
      </c>
      <c r="AC1177" s="133">
        <f t="shared" ref="AC1177:AC1194" si="549">S1177</f>
        <v>1</v>
      </c>
      <c r="AD1177" s="142">
        <v>1</v>
      </c>
      <c r="AE1177" s="141"/>
      <c r="AF1177" s="152" t="s">
        <v>362</v>
      </c>
      <c r="AG1177" s="146">
        <f>VLOOKUP(Takeoffs!AF1177,Sheet1!$B$6:$C$124,2,FALSE)</f>
        <v>2.4</v>
      </c>
      <c r="AH1177" s="146">
        <f t="shared" si="545"/>
        <v>48</v>
      </c>
      <c r="AI1177" s="143">
        <f t="shared" si="546"/>
        <v>20</v>
      </c>
      <c r="AJ1177" s="133">
        <f t="shared" si="547"/>
        <v>1</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361</v>
      </c>
      <c r="P1178" s="121" t="s">
        <v>378</v>
      </c>
      <c r="Q1178" s="121" t="s">
        <v>387</v>
      </c>
      <c r="R1178" s="121"/>
      <c r="S1178" s="133">
        <f>M1174</f>
        <v>1</v>
      </c>
      <c r="T1178" s="120"/>
      <c r="U1178" s="121" t="s">
        <v>293</v>
      </c>
      <c r="V1178" s="133">
        <f t="shared" si="542"/>
        <v>1</v>
      </c>
      <c r="W1178" s="133">
        <f>VLOOKUP(U1178,Sheet1!$B$6:$C$45,2,FALSE)*V1178</f>
        <v>0</v>
      </c>
      <c r="X1178" s="141"/>
      <c r="Y1178" s="121" t="s">
        <v>293</v>
      </c>
      <c r="Z1178" s="146">
        <f>VLOOKUP(Takeoffs!Y1178,Sheet1!$B$6:$C$124,2,FALSE)</f>
        <v>0</v>
      </c>
      <c r="AA1178" s="146">
        <f t="shared" si="543"/>
        <v>0</v>
      </c>
      <c r="AB1178" s="143">
        <f t="shared" si="544"/>
        <v>1</v>
      </c>
      <c r="AC1178" s="133">
        <f t="shared" si="549"/>
        <v>1</v>
      </c>
      <c r="AD1178" s="142">
        <v>1</v>
      </c>
      <c r="AE1178" s="141"/>
      <c r="AF1178" s="121" t="s">
        <v>293</v>
      </c>
      <c r="AG1178" s="146">
        <f>VLOOKUP(Takeoffs!AF1178,Sheet1!$B$6:$C$124,2,FALSE)</f>
        <v>0</v>
      </c>
      <c r="AH1178" s="146">
        <f t="shared" si="545"/>
        <v>0</v>
      </c>
      <c r="AI1178" s="143">
        <f t="shared" si="546"/>
        <v>0</v>
      </c>
      <c r="AJ1178" s="133">
        <f t="shared" si="547"/>
        <v>1</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1</v>
      </c>
      <c r="T1179" s="120"/>
      <c r="U1179" s="121" t="s">
        <v>293</v>
      </c>
      <c r="V1179" s="133">
        <f t="shared" si="542"/>
        <v>1</v>
      </c>
      <c r="W1179" s="133">
        <f>VLOOKUP(U1179,Sheet1!$B$6:$C$45,2,FALSE)*V1179</f>
        <v>0</v>
      </c>
      <c r="X1179" s="141"/>
      <c r="Y1179" s="121" t="s">
        <v>293</v>
      </c>
      <c r="Z1179" s="146">
        <f>VLOOKUP(Takeoffs!Y1179,Sheet1!$B$6:$C$124,2,FALSE)</f>
        <v>0</v>
      </c>
      <c r="AA1179" s="146">
        <f t="shared" si="543"/>
        <v>0</v>
      </c>
      <c r="AB1179" s="143">
        <f t="shared" si="544"/>
        <v>1</v>
      </c>
      <c r="AC1179" s="133">
        <f t="shared" si="549"/>
        <v>1</v>
      </c>
      <c r="AD1179" s="142">
        <v>1</v>
      </c>
      <c r="AE1179" s="141"/>
      <c r="AF1179" s="121" t="s">
        <v>293</v>
      </c>
      <c r="AG1179" s="146">
        <f>VLOOKUP(Takeoffs!AF1179,Sheet1!$B$6:$C$124,2,FALSE)</f>
        <v>0</v>
      </c>
      <c r="AH1179" s="146">
        <f t="shared" si="545"/>
        <v>0</v>
      </c>
      <c r="AI1179" s="143">
        <f t="shared" si="546"/>
        <v>0</v>
      </c>
      <c r="AJ1179" s="133">
        <f t="shared" si="547"/>
        <v>1</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1</v>
      </c>
      <c r="T1180" s="120"/>
      <c r="U1180" s="121" t="s">
        <v>293</v>
      </c>
      <c r="V1180" s="133">
        <f t="shared" si="542"/>
        <v>1</v>
      </c>
      <c r="W1180" s="133">
        <f>VLOOKUP(U1180,Sheet1!$B$6:$C$45,2,FALSE)*V1180</f>
        <v>0</v>
      </c>
      <c r="X1180" s="141"/>
      <c r="Y1180" s="121" t="s">
        <v>293</v>
      </c>
      <c r="Z1180" s="146">
        <f>VLOOKUP(Takeoffs!Y1180,Sheet1!$B$6:$C$124,2,FALSE)</f>
        <v>0</v>
      </c>
      <c r="AA1180" s="146">
        <f t="shared" si="543"/>
        <v>0</v>
      </c>
      <c r="AB1180" s="143">
        <f t="shared" si="544"/>
        <v>1</v>
      </c>
      <c r="AC1180" s="133">
        <f t="shared" si="549"/>
        <v>1</v>
      </c>
      <c r="AD1180" s="142">
        <v>1</v>
      </c>
      <c r="AE1180" s="141"/>
      <c r="AF1180" s="121" t="s">
        <v>293</v>
      </c>
      <c r="AG1180" s="146">
        <f>VLOOKUP(Takeoffs!AF1180,Sheet1!$B$6:$C$124,2,FALSE)</f>
        <v>0</v>
      </c>
      <c r="AH1180" s="146">
        <f t="shared" si="545"/>
        <v>0</v>
      </c>
      <c r="AI1180" s="143">
        <f t="shared" si="546"/>
        <v>0</v>
      </c>
      <c r="AJ1180" s="133">
        <f t="shared" si="547"/>
        <v>1</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1</v>
      </c>
      <c r="T1181" s="120"/>
      <c r="U1181" s="121" t="s">
        <v>293</v>
      </c>
      <c r="V1181" s="133">
        <f t="shared" si="542"/>
        <v>1</v>
      </c>
      <c r="W1181" s="133">
        <f>VLOOKUP(U1181,Sheet1!$B$6:$C$45,2,FALSE)*V1181</f>
        <v>0</v>
      </c>
      <c r="X1181" s="141"/>
      <c r="Y1181" s="121" t="s">
        <v>293</v>
      </c>
      <c r="Z1181" s="146">
        <f>VLOOKUP(Takeoffs!Y1181,Sheet1!$B$6:$C$124,2,FALSE)</f>
        <v>0</v>
      </c>
      <c r="AA1181" s="146">
        <f t="shared" si="543"/>
        <v>0</v>
      </c>
      <c r="AB1181" s="143">
        <f t="shared" si="544"/>
        <v>1</v>
      </c>
      <c r="AC1181" s="133">
        <f t="shared" si="549"/>
        <v>1</v>
      </c>
      <c r="AD1181" s="142">
        <v>1</v>
      </c>
      <c r="AE1181" s="141"/>
      <c r="AF1181" s="121" t="s">
        <v>293</v>
      </c>
      <c r="AG1181" s="146">
        <f>VLOOKUP(Takeoffs!AF1181,Sheet1!$B$6:$C$124,2,FALSE)</f>
        <v>0</v>
      </c>
      <c r="AH1181" s="146">
        <f t="shared" si="545"/>
        <v>0</v>
      </c>
      <c r="AI1181" s="143">
        <f t="shared" si="546"/>
        <v>0</v>
      </c>
      <c r="AJ1181" s="133">
        <f t="shared" si="547"/>
        <v>1</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1</v>
      </c>
      <c r="T1182" s="120"/>
      <c r="U1182" s="121" t="s">
        <v>293</v>
      </c>
      <c r="V1182" s="133">
        <f t="shared" si="542"/>
        <v>1</v>
      </c>
      <c r="W1182" s="133">
        <f>VLOOKUP(U1182,Sheet1!$B$6:$C$45,2,FALSE)*V1182</f>
        <v>0</v>
      </c>
      <c r="X1182" s="141"/>
      <c r="Y1182" s="121" t="s">
        <v>293</v>
      </c>
      <c r="Z1182" s="146">
        <f>VLOOKUP(Takeoffs!Y1182,Sheet1!$B$6:$C$124,2,FALSE)</f>
        <v>0</v>
      </c>
      <c r="AA1182" s="146">
        <f t="shared" si="543"/>
        <v>0</v>
      </c>
      <c r="AB1182" s="143">
        <f t="shared" si="544"/>
        <v>1</v>
      </c>
      <c r="AC1182" s="133">
        <f t="shared" si="549"/>
        <v>1</v>
      </c>
      <c r="AD1182" s="142">
        <v>1</v>
      </c>
      <c r="AE1182" s="141"/>
      <c r="AF1182" s="121" t="s">
        <v>293</v>
      </c>
      <c r="AG1182" s="146">
        <f>VLOOKUP(Takeoffs!AF1182,Sheet1!$B$6:$C$124,2,FALSE)</f>
        <v>0</v>
      </c>
      <c r="AH1182" s="146">
        <f t="shared" si="545"/>
        <v>0</v>
      </c>
      <c r="AI1182" s="143">
        <f t="shared" si="546"/>
        <v>0</v>
      </c>
      <c r="AJ1182" s="133">
        <f t="shared" si="547"/>
        <v>1</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1</v>
      </c>
      <c r="T1183" s="120"/>
      <c r="U1183" s="121" t="s">
        <v>293</v>
      </c>
      <c r="V1183" s="133">
        <f t="shared" si="542"/>
        <v>1</v>
      </c>
      <c r="W1183" s="133">
        <f>VLOOKUP(U1183,Sheet1!$B$6:$C$45,2,FALSE)*V1183</f>
        <v>0</v>
      </c>
      <c r="X1183" s="141"/>
      <c r="Y1183" s="121" t="s">
        <v>293</v>
      </c>
      <c r="Z1183" s="146">
        <f>VLOOKUP(Takeoffs!Y1183,Sheet1!$B$6:$C$124,2,FALSE)</f>
        <v>0</v>
      </c>
      <c r="AA1183" s="146">
        <f t="shared" si="543"/>
        <v>0</v>
      </c>
      <c r="AB1183" s="143">
        <f t="shared" si="544"/>
        <v>1</v>
      </c>
      <c r="AC1183" s="133">
        <f t="shared" si="549"/>
        <v>1</v>
      </c>
      <c r="AD1183" s="142">
        <v>1</v>
      </c>
      <c r="AE1183" s="141"/>
      <c r="AF1183" s="121" t="s">
        <v>293</v>
      </c>
      <c r="AG1183" s="146">
        <f>VLOOKUP(Takeoffs!AF1183,Sheet1!$B$6:$C$124,2,FALSE)</f>
        <v>0</v>
      </c>
      <c r="AH1183" s="146">
        <f t="shared" si="545"/>
        <v>0</v>
      </c>
      <c r="AI1183" s="143">
        <f t="shared" si="546"/>
        <v>0</v>
      </c>
      <c r="AJ1183" s="133">
        <f t="shared" si="547"/>
        <v>1</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1</v>
      </c>
      <c r="T1184" s="120"/>
      <c r="U1184" s="121" t="s">
        <v>293</v>
      </c>
      <c r="V1184" s="133">
        <f t="shared" si="542"/>
        <v>1</v>
      </c>
      <c r="W1184" s="133">
        <f>VLOOKUP(U1184,Sheet1!$B$6:$C$45,2,FALSE)*V1184</f>
        <v>0</v>
      </c>
      <c r="X1184" s="141"/>
      <c r="Y1184" s="121" t="s">
        <v>293</v>
      </c>
      <c r="Z1184" s="146">
        <f>VLOOKUP(Takeoffs!Y1184,Sheet1!$B$6:$C$124,2,FALSE)</f>
        <v>0</v>
      </c>
      <c r="AA1184" s="146">
        <f t="shared" si="543"/>
        <v>0</v>
      </c>
      <c r="AB1184" s="143">
        <f t="shared" si="544"/>
        <v>1</v>
      </c>
      <c r="AC1184" s="133">
        <f t="shared" si="549"/>
        <v>1</v>
      </c>
      <c r="AD1184" s="142">
        <v>1</v>
      </c>
      <c r="AE1184" s="141"/>
      <c r="AF1184" s="121" t="s">
        <v>293</v>
      </c>
      <c r="AG1184" s="146">
        <f>VLOOKUP(Takeoffs!AF1184,Sheet1!$B$6:$C$124,2,FALSE)</f>
        <v>0</v>
      </c>
      <c r="AH1184" s="146">
        <f t="shared" si="545"/>
        <v>0</v>
      </c>
      <c r="AI1184" s="143">
        <f t="shared" si="546"/>
        <v>0</v>
      </c>
      <c r="AJ1184" s="133">
        <f t="shared" si="547"/>
        <v>1</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1</v>
      </c>
      <c r="T1185" s="120"/>
      <c r="U1185" s="121" t="s">
        <v>293</v>
      </c>
      <c r="V1185" s="133">
        <f t="shared" si="542"/>
        <v>1</v>
      </c>
      <c r="W1185" s="133">
        <f>VLOOKUP(U1185,Sheet1!$B$6:$C$45,2,FALSE)*V1185</f>
        <v>0</v>
      </c>
      <c r="X1185" s="141"/>
      <c r="Y1185" s="121" t="s">
        <v>293</v>
      </c>
      <c r="Z1185" s="146">
        <f>VLOOKUP(Takeoffs!Y1185,Sheet1!$B$6:$C$124,2,FALSE)</f>
        <v>0</v>
      </c>
      <c r="AA1185" s="146">
        <f t="shared" si="543"/>
        <v>0</v>
      </c>
      <c r="AB1185" s="143">
        <f t="shared" si="544"/>
        <v>1</v>
      </c>
      <c r="AC1185" s="133">
        <f t="shared" si="549"/>
        <v>1</v>
      </c>
      <c r="AD1185" s="142">
        <v>1</v>
      </c>
      <c r="AE1185" s="141"/>
      <c r="AF1185" s="121" t="s">
        <v>293</v>
      </c>
      <c r="AG1185" s="146">
        <f>VLOOKUP(Takeoffs!AF1185,Sheet1!$B$6:$C$124,2,FALSE)</f>
        <v>0</v>
      </c>
      <c r="AH1185" s="146">
        <f t="shared" si="545"/>
        <v>0</v>
      </c>
      <c r="AI1185" s="143">
        <f t="shared" si="546"/>
        <v>0</v>
      </c>
      <c r="AJ1185" s="133">
        <f t="shared" si="547"/>
        <v>1</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1</v>
      </c>
      <c r="T1186" s="120"/>
      <c r="U1186" s="121" t="s">
        <v>293</v>
      </c>
      <c r="V1186" s="133">
        <f t="shared" si="542"/>
        <v>1</v>
      </c>
      <c r="W1186" s="133">
        <f>VLOOKUP(U1186,Sheet1!$B$6:$C$45,2,FALSE)*V1186</f>
        <v>0</v>
      </c>
      <c r="X1186" s="141"/>
      <c r="Y1186" s="121" t="s">
        <v>293</v>
      </c>
      <c r="Z1186" s="146">
        <f>VLOOKUP(Takeoffs!Y1186,Sheet1!$B$6:$C$124,2,FALSE)</f>
        <v>0</v>
      </c>
      <c r="AA1186" s="146">
        <f t="shared" si="543"/>
        <v>0</v>
      </c>
      <c r="AB1186" s="143">
        <f t="shared" si="544"/>
        <v>1</v>
      </c>
      <c r="AC1186" s="133">
        <f t="shared" si="549"/>
        <v>1</v>
      </c>
      <c r="AD1186" s="142">
        <v>1</v>
      </c>
      <c r="AE1186" s="141"/>
      <c r="AF1186" s="121" t="s">
        <v>293</v>
      </c>
      <c r="AG1186" s="146">
        <f>VLOOKUP(Takeoffs!AF1186,Sheet1!$B$6:$C$124,2,FALSE)</f>
        <v>0</v>
      </c>
      <c r="AH1186" s="146">
        <f t="shared" si="545"/>
        <v>0</v>
      </c>
      <c r="AI1186" s="143">
        <f t="shared" si="546"/>
        <v>0</v>
      </c>
      <c r="AJ1186" s="133">
        <f t="shared" si="547"/>
        <v>1</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1</v>
      </c>
      <c r="T1187" s="120"/>
      <c r="U1187" s="121" t="s">
        <v>293</v>
      </c>
      <c r="V1187" s="133">
        <f t="shared" si="542"/>
        <v>1</v>
      </c>
      <c r="W1187" s="133">
        <f>VLOOKUP(U1187,Sheet1!$B$6:$C$45,2,FALSE)*V1187</f>
        <v>0</v>
      </c>
      <c r="X1187" s="141"/>
      <c r="Y1187" s="121" t="s">
        <v>293</v>
      </c>
      <c r="Z1187" s="146">
        <f>VLOOKUP(Takeoffs!Y1187,Sheet1!$B$6:$C$124,2,FALSE)</f>
        <v>0</v>
      </c>
      <c r="AA1187" s="146">
        <f t="shared" si="543"/>
        <v>0</v>
      </c>
      <c r="AB1187" s="143">
        <f t="shared" si="544"/>
        <v>1</v>
      </c>
      <c r="AC1187" s="133">
        <f t="shared" si="549"/>
        <v>1</v>
      </c>
      <c r="AD1187" s="142">
        <v>1</v>
      </c>
      <c r="AE1187" s="141"/>
      <c r="AF1187" s="121" t="s">
        <v>293</v>
      </c>
      <c r="AG1187" s="146">
        <f>VLOOKUP(Takeoffs!AF1187,Sheet1!$B$6:$C$124,2,FALSE)</f>
        <v>0</v>
      </c>
      <c r="AH1187" s="146">
        <f t="shared" si="545"/>
        <v>0</v>
      </c>
      <c r="AI1187" s="143">
        <f t="shared" si="546"/>
        <v>0</v>
      </c>
      <c r="AJ1187" s="133">
        <f t="shared" si="547"/>
        <v>1</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1</v>
      </c>
      <c r="T1188" s="120"/>
      <c r="U1188" s="121" t="s">
        <v>293</v>
      </c>
      <c r="V1188" s="133">
        <f t="shared" si="542"/>
        <v>1</v>
      </c>
      <c r="W1188" s="133">
        <f>VLOOKUP(U1188,Sheet1!$B$6:$C$45,2,FALSE)*V1188</f>
        <v>0</v>
      </c>
      <c r="X1188" s="141"/>
      <c r="Y1188" s="121" t="s">
        <v>293</v>
      </c>
      <c r="Z1188" s="146">
        <f>VLOOKUP(Takeoffs!Y1188,Sheet1!$B$6:$C$124,2,FALSE)</f>
        <v>0</v>
      </c>
      <c r="AA1188" s="146">
        <f t="shared" si="543"/>
        <v>0</v>
      </c>
      <c r="AB1188" s="143">
        <f t="shared" si="544"/>
        <v>1</v>
      </c>
      <c r="AC1188" s="133">
        <f t="shared" si="549"/>
        <v>1</v>
      </c>
      <c r="AD1188" s="142">
        <v>1</v>
      </c>
      <c r="AE1188" s="141"/>
      <c r="AF1188" s="121" t="s">
        <v>293</v>
      </c>
      <c r="AG1188" s="146">
        <f>VLOOKUP(Takeoffs!AF1188,Sheet1!$B$6:$C$124,2,FALSE)</f>
        <v>0</v>
      </c>
      <c r="AH1188" s="146">
        <f t="shared" si="545"/>
        <v>0</v>
      </c>
      <c r="AI1188" s="143">
        <f t="shared" si="546"/>
        <v>0</v>
      </c>
      <c r="AJ1188" s="133">
        <f t="shared" si="547"/>
        <v>1</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1</v>
      </c>
      <c r="T1189" s="120"/>
      <c r="U1189" s="121" t="s">
        <v>293</v>
      </c>
      <c r="V1189" s="133">
        <f t="shared" si="542"/>
        <v>1</v>
      </c>
      <c r="W1189" s="133">
        <f>VLOOKUP(U1189,Sheet1!$B$6:$C$45,2,FALSE)*V1189</f>
        <v>0</v>
      </c>
      <c r="X1189" s="141"/>
      <c r="Y1189" s="121" t="s">
        <v>293</v>
      </c>
      <c r="Z1189" s="146">
        <f>VLOOKUP(Takeoffs!Y1189,Sheet1!$B$6:$C$124,2,FALSE)</f>
        <v>0</v>
      </c>
      <c r="AA1189" s="146">
        <f t="shared" si="543"/>
        <v>0</v>
      </c>
      <c r="AB1189" s="143">
        <f t="shared" si="544"/>
        <v>1</v>
      </c>
      <c r="AC1189" s="133">
        <f t="shared" si="549"/>
        <v>1</v>
      </c>
      <c r="AD1189" s="142">
        <v>1</v>
      </c>
      <c r="AE1189" s="141"/>
      <c r="AF1189" s="121" t="s">
        <v>293</v>
      </c>
      <c r="AG1189" s="146">
        <f>VLOOKUP(Takeoffs!AF1189,Sheet1!$B$6:$C$124,2,FALSE)</f>
        <v>0</v>
      </c>
      <c r="AH1189" s="146">
        <f t="shared" si="545"/>
        <v>0</v>
      </c>
      <c r="AI1189" s="143">
        <f t="shared" si="546"/>
        <v>0</v>
      </c>
      <c r="AJ1189" s="133">
        <f t="shared" si="547"/>
        <v>1</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1</v>
      </c>
      <c r="T1190" s="120"/>
      <c r="U1190" s="121" t="s">
        <v>293</v>
      </c>
      <c r="V1190" s="133">
        <f t="shared" si="542"/>
        <v>1</v>
      </c>
      <c r="W1190" s="133">
        <f>VLOOKUP(U1190,Sheet1!$B$6:$C$45,2,FALSE)*V1190</f>
        <v>0</v>
      </c>
      <c r="X1190" s="141"/>
      <c r="Y1190" s="121" t="s">
        <v>293</v>
      </c>
      <c r="Z1190" s="146">
        <f>VLOOKUP(Takeoffs!Y1190,Sheet1!$B$6:$C$124,2,FALSE)</f>
        <v>0</v>
      </c>
      <c r="AA1190" s="146">
        <f t="shared" si="543"/>
        <v>0</v>
      </c>
      <c r="AB1190" s="143">
        <f t="shared" si="544"/>
        <v>1</v>
      </c>
      <c r="AC1190" s="133">
        <f t="shared" si="549"/>
        <v>1</v>
      </c>
      <c r="AD1190" s="142">
        <v>1</v>
      </c>
      <c r="AE1190" s="141"/>
      <c r="AF1190" s="121" t="s">
        <v>293</v>
      </c>
      <c r="AG1190" s="146">
        <f>VLOOKUP(Takeoffs!AF1190,Sheet1!$B$6:$C$124,2,FALSE)</f>
        <v>0</v>
      </c>
      <c r="AH1190" s="146">
        <f t="shared" si="545"/>
        <v>0</v>
      </c>
      <c r="AI1190" s="143">
        <f t="shared" si="546"/>
        <v>0</v>
      </c>
      <c r="AJ1190" s="133">
        <f t="shared" si="547"/>
        <v>1</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1</v>
      </c>
      <c r="T1191" s="120"/>
      <c r="U1191" s="121" t="s">
        <v>293</v>
      </c>
      <c r="V1191" s="133">
        <f t="shared" si="542"/>
        <v>1</v>
      </c>
      <c r="W1191" s="133">
        <f>VLOOKUP(U1191,Sheet1!$B$6:$C$45,2,FALSE)*V1191</f>
        <v>0</v>
      </c>
      <c r="X1191" s="141"/>
      <c r="Y1191" s="121" t="s">
        <v>293</v>
      </c>
      <c r="Z1191" s="146">
        <f>VLOOKUP(Takeoffs!Y1191,Sheet1!$B$6:$C$124,2,FALSE)</f>
        <v>0</v>
      </c>
      <c r="AA1191" s="146">
        <f t="shared" si="543"/>
        <v>0</v>
      </c>
      <c r="AB1191" s="143">
        <f t="shared" si="544"/>
        <v>1</v>
      </c>
      <c r="AC1191" s="133">
        <f t="shared" si="549"/>
        <v>1</v>
      </c>
      <c r="AD1191" s="142">
        <v>1</v>
      </c>
      <c r="AE1191" s="141"/>
      <c r="AF1191" s="121" t="s">
        <v>293</v>
      </c>
      <c r="AG1191" s="146">
        <f>VLOOKUP(Takeoffs!AF1191,Sheet1!$B$6:$C$124,2,FALSE)</f>
        <v>0</v>
      </c>
      <c r="AH1191" s="146">
        <f t="shared" si="545"/>
        <v>0</v>
      </c>
      <c r="AI1191" s="143">
        <f t="shared" si="546"/>
        <v>0</v>
      </c>
      <c r="AJ1191" s="133">
        <f t="shared" si="547"/>
        <v>1</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1</v>
      </c>
      <c r="T1192" s="120"/>
      <c r="U1192" s="121" t="s">
        <v>293</v>
      </c>
      <c r="V1192" s="133">
        <f t="shared" si="542"/>
        <v>1</v>
      </c>
      <c r="W1192" s="133">
        <f>VLOOKUP(U1192,Sheet1!$B$6:$C$45,2,FALSE)*V1192</f>
        <v>0</v>
      </c>
      <c r="X1192" s="141"/>
      <c r="Y1192" s="121" t="s">
        <v>293</v>
      </c>
      <c r="Z1192" s="146">
        <f>VLOOKUP(Takeoffs!Y1192,Sheet1!$B$6:$C$124,2,FALSE)</f>
        <v>0</v>
      </c>
      <c r="AA1192" s="146">
        <f t="shared" si="543"/>
        <v>0</v>
      </c>
      <c r="AB1192" s="143">
        <f t="shared" si="544"/>
        <v>1</v>
      </c>
      <c r="AC1192" s="133">
        <f t="shared" si="549"/>
        <v>1</v>
      </c>
      <c r="AD1192" s="142">
        <v>1</v>
      </c>
      <c r="AE1192" s="141"/>
      <c r="AF1192" s="121" t="s">
        <v>293</v>
      </c>
      <c r="AG1192" s="146">
        <f>VLOOKUP(Takeoffs!AF1192,Sheet1!$B$6:$C$124,2,FALSE)</f>
        <v>0</v>
      </c>
      <c r="AH1192" s="146">
        <f t="shared" si="545"/>
        <v>0</v>
      </c>
      <c r="AI1192" s="143">
        <f t="shared" si="546"/>
        <v>0</v>
      </c>
      <c r="AJ1192" s="133">
        <f t="shared" si="547"/>
        <v>1</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1</v>
      </c>
      <c r="T1193" s="120"/>
      <c r="U1193" s="121" t="s">
        <v>293</v>
      </c>
      <c r="V1193" s="133">
        <f t="shared" si="542"/>
        <v>1</v>
      </c>
      <c r="W1193" s="133">
        <f>VLOOKUP(U1193,Sheet1!$B$6:$C$45,2,FALSE)*V1193</f>
        <v>0</v>
      </c>
      <c r="X1193" s="141"/>
      <c r="Y1193" s="121" t="s">
        <v>293</v>
      </c>
      <c r="Z1193" s="146">
        <f>VLOOKUP(Takeoffs!Y1193,Sheet1!$B$6:$C$124,2,FALSE)</f>
        <v>0</v>
      </c>
      <c r="AA1193" s="146">
        <f t="shared" si="543"/>
        <v>0</v>
      </c>
      <c r="AB1193" s="143">
        <f t="shared" si="544"/>
        <v>1</v>
      </c>
      <c r="AC1193" s="133">
        <f t="shared" si="549"/>
        <v>1</v>
      </c>
      <c r="AD1193" s="142">
        <v>1</v>
      </c>
      <c r="AE1193" s="141"/>
      <c r="AF1193" s="121" t="s">
        <v>293</v>
      </c>
      <c r="AG1193" s="146">
        <f>VLOOKUP(Takeoffs!AF1193,Sheet1!$B$6:$C$124,2,FALSE)</f>
        <v>0</v>
      </c>
      <c r="AH1193" s="146">
        <f t="shared" si="545"/>
        <v>0</v>
      </c>
      <c r="AI1193" s="143">
        <f t="shared" si="546"/>
        <v>0</v>
      </c>
      <c r="AJ1193" s="133">
        <f t="shared" si="547"/>
        <v>1</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1</v>
      </c>
      <c r="T1194" s="120"/>
      <c r="U1194" s="121" t="s">
        <v>293</v>
      </c>
      <c r="V1194" s="133">
        <f t="shared" si="542"/>
        <v>1</v>
      </c>
      <c r="W1194" s="133">
        <f>VLOOKUP(U1194,Sheet1!$B$6:$C$45,2,FALSE)*V1194</f>
        <v>0</v>
      </c>
      <c r="X1194" s="141"/>
      <c r="Y1194" s="121" t="s">
        <v>293</v>
      </c>
      <c r="Z1194" s="146">
        <f>VLOOKUP(Takeoffs!Y1194,Sheet1!$B$6:$C$124,2,FALSE)</f>
        <v>0</v>
      </c>
      <c r="AA1194" s="146">
        <f t="shared" si="543"/>
        <v>0</v>
      </c>
      <c r="AB1194" s="143">
        <f t="shared" si="544"/>
        <v>1</v>
      </c>
      <c r="AC1194" s="133">
        <f t="shared" si="549"/>
        <v>1</v>
      </c>
      <c r="AD1194" s="142">
        <v>1</v>
      </c>
      <c r="AE1194" s="141"/>
      <c r="AF1194" s="121" t="s">
        <v>293</v>
      </c>
      <c r="AG1194" s="146">
        <f>VLOOKUP(Takeoffs!AF1194,Sheet1!$B$6:$C$124,2,FALSE)</f>
        <v>0</v>
      </c>
      <c r="AH1194" s="146">
        <f t="shared" si="545"/>
        <v>0</v>
      </c>
      <c r="AI1194" s="143">
        <f t="shared" si="546"/>
        <v>0</v>
      </c>
      <c r="AJ1194" s="133">
        <f t="shared" si="547"/>
        <v>1</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379</v>
      </c>
      <c r="L1195" s="128" t="s">
        <v>380</v>
      </c>
      <c r="N1195" s="129"/>
      <c r="O1195" s="154" t="s">
        <v>359</v>
      </c>
      <c r="P1195" s="155">
        <f>V1195+AA1195+AH1195</f>
        <v>398.53999999999996</v>
      </c>
      <c r="Q1195" s="155"/>
      <c r="R1195" s="155"/>
      <c r="S1195" s="154"/>
      <c r="T1195" s="156"/>
      <c r="U1195" s="157" t="s">
        <v>353</v>
      </c>
      <c r="V1195" s="156">
        <f>W1195*80</f>
        <v>320</v>
      </c>
      <c r="W1195" s="158">
        <f>SUM(W1174:W1194)</f>
        <v>4</v>
      </c>
      <c r="X1195" s="159"/>
      <c r="Y1195" s="156" t="s">
        <v>354</v>
      </c>
      <c r="Z1195" s="116"/>
      <c r="AA1195" s="116">
        <f>SUM(AA1174:AA1194)</f>
        <v>10.139999999999999</v>
      </c>
      <c r="AB1195" s="149"/>
      <c r="AC1195" s="149"/>
      <c r="AD1195" s="149"/>
      <c r="AE1195" s="149"/>
      <c r="AF1195" s="156" t="s">
        <v>358</v>
      </c>
      <c r="AG1195" s="116"/>
      <c r="AH1195" s="116">
        <f>SUM(AH1174:AH1194)</f>
        <v>68.400000000000006</v>
      </c>
      <c r="AI1195" s="149"/>
      <c r="AJ1195" s="149"/>
      <c r="AK1195" s="149"/>
      <c r="AL1195" s="149"/>
      <c r="AM1195" s="150">
        <f>P1195</f>
        <v>398.53999999999996</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494</v>
      </c>
      <c r="C1196" s="217" t="str">
        <f>N1174</f>
        <v>installation of VRF central controller</v>
      </c>
      <c r="D1196" s="260" t="s">
        <v>680</v>
      </c>
      <c r="E1196" s="238"/>
      <c r="F1196" s="217"/>
      <c r="G1196" s="217"/>
      <c r="H1196" s="245"/>
      <c r="I1196" s="270">
        <v>1</v>
      </c>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398.53999999999996</v>
      </c>
      <c r="L1196" s="234" t="str">
        <f>CONCATENATE(Q1175,Q1176,Q1177,Q1178,Q1179,Q1180,Q1181,Q1182,Q1183,Q1184,Q1185,Q1186,Q1187,Q1188,Q1189,Q1190,Q1191,Q1192,Q1193,Q1194,)</f>
        <v>VRF central controller supply and commissioning.</v>
      </c>
      <c r="M1196" s="166" t="s">
        <v>369</v>
      </c>
      <c r="N1196" s="160" t="str">
        <f>N1174</f>
        <v>installation of VRF central controller</v>
      </c>
      <c r="O1196" s="160" t="s">
        <v>367</v>
      </c>
      <c r="P1196" s="171">
        <f>P1195/M1174</f>
        <v>398.53999999999996</v>
      </c>
      <c r="Q1196" s="161"/>
      <c r="R1196" s="161"/>
      <c r="S1196" s="160"/>
      <c r="T1196" s="161"/>
      <c r="U1196" s="327" t="s">
        <v>368</v>
      </c>
      <c r="V1196" s="327"/>
      <c r="W1196" s="162">
        <f>W1195/M1174</f>
        <v>4</v>
      </c>
      <c r="X1196" s="163"/>
      <c r="Y1196" s="325" t="s">
        <v>367</v>
      </c>
      <c r="Z1196" s="325"/>
      <c r="AA1196" s="164">
        <f>AA1195/M1174</f>
        <v>10.139999999999999</v>
      </c>
      <c r="AB1196" s="161"/>
      <c r="AC1196" s="161"/>
      <c r="AD1196" s="161"/>
      <c r="AE1196" s="161"/>
      <c r="AF1196" s="325" t="s">
        <v>367</v>
      </c>
      <c r="AG1196" s="325"/>
      <c r="AH1196" s="164">
        <f>AH1195/M1174</f>
        <v>68.400000000000006</v>
      </c>
      <c r="AI1196" s="161"/>
      <c r="AJ1196" s="161"/>
      <c r="AK1196" s="161"/>
      <c r="AL1196" s="247"/>
      <c r="AM1196" s="257"/>
      <c r="AN1196" s="236">
        <f>K1196*1.25</f>
        <v>498.17499999999995</v>
      </c>
      <c r="AO1196" s="286"/>
      <c r="AP1196" s="284">
        <f t="shared" si="537"/>
        <v>398.53999999999996</v>
      </c>
      <c r="AQ1196" s="281">
        <f t="shared" si="538"/>
        <v>320</v>
      </c>
      <c r="AR1196" s="284">
        <f t="shared" si="539"/>
        <v>10.139999999999999</v>
      </c>
      <c r="AS1196" s="281">
        <f t="shared" si="540"/>
        <v>68.400000000000006</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454</v>
      </c>
      <c r="M1197" s="116" t="s">
        <v>107</v>
      </c>
      <c r="N1197" s="116" t="s">
        <v>108</v>
      </c>
      <c r="O1197" s="170" t="s">
        <v>388</v>
      </c>
      <c r="P1197" s="326" t="s">
        <v>377</v>
      </c>
      <c r="Q1197" s="326"/>
      <c r="R1197" s="101" t="s">
        <v>454</v>
      </c>
      <c r="S1197" s="116" t="s">
        <v>0</v>
      </c>
      <c r="T1197" s="118"/>
      <c r="U1197" s="116" t="s">
        <v>288</v>
      </c>
      <c r="V1197" s="116" t="s">
        <v>289</v>
      </c>
      <c r="W1197" s="116" t="s">
        <v>292</v>
      </c>
      <c r="X1197" s="140"/>
      <c r="Y1197" s="116" t="s">
        <v>290</v>
      </c>
      <c r="Z1197" s="116" t="s">
        <v>356</v>
      </c>
      <c r="AA1197" s="116" t="s">
        <v>357</v>
      </c>
      <c r="AB1197" s="116" t="s">
        <v>319</v>
      </c>
      <c r="AC1197" s="116" t="s">
        <v>320</v>
      </c>
      <c r="AD1197" s="116" t="s">
        <v>318</v>
      </c>
      <c r="AE1197" s="140"/>
      <c r="AF1197" s="116" t="s">
        <v>294</v>
      </c>
      <c r="AG1197" s="116" t="s">
        <v>356</v>
      </c>
      <c r="AH1197" s="116" t="s">
        <v>357</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one</v>
      </c>
      <c r="M1198" s="121">
        <f>I1220</f>
        <v>1</v>
      </c>
      <c r="N1198" s="132" t="s">
        <v>577</v>
      </c>
      <c r="O1198" s="121" t="s">
        <v>133</v>
      </c>
      <c r="P1198" s="169" t="s">
        <v>381</v>
      </c>
      <c r="Q1198" s="169" t="s">
        <v>377</v>
      </c>
      <c r="R1198" s="169"/>
      <c r="S1198" s="133">
        <f>M1198</f>
        <v>1</v>
      </c>
      <c r="T1198" s="119"/>
      <c r="U1198" s="121" t="s">
        <v>293</v>
      </c>
      <c r="V1198" s="133">
        <f>S1198</f>
        <v>1</v>
      </c>
      <c r="W1198" s="133">
        <f>VLOOKUP(U1198,Sheet1!$B$6:$C$45,2,FALSE)*V1198</f>
        <v>0</v>
      </c>
      <c r="X1198" s="141"/>
      <c r="Y1198" s="121" t="s">
        <v>293</v>
      </c>
      <c r="Z1198" s="146">
        <f>VLOOKUP(Takeoffs!Y1198,Sheet1!$B$6:$C$124,2,FALSE)</f>
        <v>0</v>
      </c>
      <c r="AA1198" s="146">
        <f>Z1198*AB1198</f>
        <v>0</v>
      </c>
      <c r="AB1198" s="143">
        <f>AD1198*AC1198</f>
        <v>1</v>
      </c>
      <c r="AC1198" s="133">
        <f>S1198</f>
        <v>1</v>
      </c>
      <c r="AD1198" s="142">
        <v>1</v>
      </c>
      <c r="AE1198" s="141"/>
      <c r="AF1198" s="121" t="s">
        <v>293</v>
      </c>
      <c r="AG1198" s="146">
        <f>VLOOKUP(Takeoffs!AF1198,Sheet1!$B$6:$C$124,2,FALSE)</f>
        <v>0</v>
      </c>
      <c r="AH1198" s="146">
        <f>AG1198*AI1198</f>
        <v>0</v>
      </c>
      <c r="AI1198" s="143">
        <f>AK1198*AJ1198</f>
        <v>0</v>
      </c>
      <c r="AJ1198" s="133">
        <f>S1198</f>
        <v>1</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1</v>
      </c>
      <c r="T1199" s="120"/>
      <c r="U1199" s="121" t="s">
        <v>293</v>
      </c>
      <c r="V1199" s="133">
        <f t="shared" ref="V1199:V1218" si="552">S1199</f>
        <v>1</v>
      </c>
      <c r="W1199" s="133">
        <f>VLOOKUP(U1199,Sheet1!$B$6:$C$45,2,FALSE)*V1199</f>
        <v>0</v>
      </c>
      <c r="X1199" s="141"/>
      <c r="Y1199" s="135" t="s">
        <v>250</v>
      </c>
      <c r="Z1199" s="146">
        <f>VLOOKUP(Takeoffs!Y1199,Sheet1!$B$6:$C$124,2,FALSE)</f>
        <v>43.440000000000005</v>
      </c>
      <c r="AA1199" s="146">
        <f t="shared" ref="AA1199:AA1218" si="553">Z1199*AB1199</f>
        <v>43.440000000000005</v>
      </c>
      <c r="AB1199" s="143">
        <f t="shared" ref="AB1199:AB1218" si="554">AD1199*AC1199</f>
        <v>1</v>
      </c>
      <c r="AC1199" s="133">
        <f t="shared" ref="AC1199:AC1218" si="555">S1199</f>
        <v>1</v>
      </c>
      <c r="AD1199" s="142">
        <v>1</v>
      </c>
      <c r="AE1199" s="141"/>
      <c r="AF1199" s="152" t="s">
        <v>267</v>
      </c>
      <c r="AG1199" s="146">
        <f>VLOOKUP(Takeoffs!AF1199,Sheet1!$B$6:$C$124,2,FALSE)</f>
        <v>3.48</v>
      </c>
      <c r="AH1199" s="146">
        <f t="shared" ref="AH1199:AH1218" si="556">AG1199*AI1199</f>
        <v>69.599999999999994</v>
      </c>
      <c r="AI1199" s="143">
        <f t="shared" ref="AI1199:AI1218" si="557">AK1199*AJ1199</f>
        <v>20</v>
      </c>
      <c r="AJ1199" s="133">
        <f t="shared" ref="AJ1199:AJ1218" si="558">S1199</f>
        <v>1</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578</v>
      </c>
      <c r="P1200" s="121"/>
      <c r="Q1200" s="121"/>
      <c r="R1200" s="121"/>
      <c r="S1200" s="133">
        <f>M1198</f>
        <v>1</v>
      </c>
      <c r="T1200" s="120"/>
      <c r="U1200" s="117" t="s">
        <v>298</v>
      </c>
      <c r="V1200" s="133">
        <f t="shared" si="552"/>
        <v>1</v>
      </c>
      <c r="W1200" s="133">
        <f>VLOOKUP(U1200,Sheet1!$B$6:$C$45,2,FALSE)*V1200</f>
        <v>2</v>
      </c>
      <c r="X1200" s="141"/>
      <c r="Y1200" s="121" t="s">
        <v>293</v>
      </c>
      <c r="Z1200" s="146">
        <f>VLOOKUP(Takeoffs!Y1200,Sheet1!$B$6:$C$124,2,FALSE)</f>
        <v>0</v>
      </c>
      <c r="AA1200" s="146">
        <f t="shared" si="553"/>
        <v>0</v>
      </c>
      <c r="AB1200" s="143">
        <f t="shared" si="554"/>
        <v>1</v>
      </c>
      <c r="AC1200" s="133">
        <f t="shared" si="555"/>
        <v>1</v>
      </c>
      <c r="AD1200" s="142">
        <v>1</v>
      </c>
      <c r="AE1200" s="141"/>
      <c r="AF1200" s="121" t="s">
        <v>293</v>
      </c>
      <c r="AG1200" s="146">
        <f>VLOOKUP(Takeoffs!AF1200,Sheet1!$B$6:$C$124,2,FALSE)</f>
        <v>0</v>
      </c>
      <c r="AH1200" s="146">
        <f t="shared" si="556"/>
        <v>0</v>
      </c>
      <c r="AI1200" s="143">
        <f t="shared" si="557"/>
        <v>0</v>
      </c>
      <c r="AJ1200" s="133">
        <f t="shared" si="558"/>
        <v>1</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408</v>
      </c>
      <c r="P1201" s="121"/>
      <c r="Q1201" s="121"/>
      <c r="R1201" s="121"/>
      <c r="S1201" s="133">
        <f>M1198</f>
        <v>1</v>
      </c>
      <c r="T1201" s="120"/>
      <c r="U1201" s="121" t="s">
        <v>293</v>
      </c>
      <c r="V1201" s="133">
        <f t="shared" si="552"/>
        <v>1</v>
      </c>
      <c r="W1201" s="133">
        <f>VLOOKUP(U1201,Sheet1!$B$6:$C$45,2,FALSE)*V1201</f>
        <v>0</v>
      </c>
      <c r="X1201" s="141"/>
      <c r="Y1201" s="135" t="s">
        <v>245</v>
      </c>
      <c r="Z1201" s="146">
        <f>VLOOKUP(Takeoffs!Y1201,Sheet1!$B$6:$C$124,2,FALSE)</f>
        <v>46.463999999999999</v>
      </c>
      <c r="AA1201" s="146">
        <f t="shared" si="553"/>
        <v>46.463999999999999</v>
      </c>
      <c r="AB1201" s="143">
        <f t="shared" si="554"/>
        <v>1</v>
      </c>
      <c r="AC1201" s="133">
        <f t="shared" si="555"/>
        <v>1</v>
      </c>
      <c r="AD1201" s="142">
        <v>1</v>
      </c>
      <c r="AE1201" s="141"/>
      <c r="AF1201" s="121" t="s">
        <v>293</v>
      </c>
      <c r="AG1201" s="146">
        <f>VLOOKUP(Takeoffs!AF1201,Sheet1!$B$6:$C$124,2,FALSE)</f>
        <v>0</v>
      </c>
      <c r="AH1201" s="146">
        <f t="shared" si="556"/>
        <v>0</v>
      </c>
      <c r="AI1201" s="143">
        <f t="shared" si="557"/>
        <v>0</v>
      </c>
      <c r="AJ1201" s="133">
        <f t="shared" si="558"/>
        <v>1</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1</v>
      </c>
      <c r="T1202" s="120"/>
      <c r="U1202" s="121" t="s">
        <v>293</v>
      </c>
      <c r="V1202" s="133">
        <f t="shared" si="552"/>
        <v>1</v>
      </c>
      <c r="W1202" s="133">
        <f>VLOOKUP(U1202,Sheet1!$B$6:$C$45,2,FALSE)*V1202</f>
        <v>0</v>
      </c>
      <c r="X1202" s="141"/>
      <c r="Y1202" s="121" t="s">
        <v>293</v>
      </c>
      <c r="Z1202" s="146">
        <f>VLOOKUP(Takeoffs!Y1202,Sheet1!$B$6:$C$124,2,FALSE)</f>
        <v>0</v>
      </c>
      <c r="AA1202" s="146">
        <f t="shared" si="553"/>
        <v>0</v>
      </c>
      <c r="AB1202" s="143">
        <f t="shared" si="554"/>
        <v>1</v>
      </c>
      <c r="AC1202" s="133">
        <f t="shared" si="555"/>
        <v>1</v>
      </c>
      <c r="AD1202" s="142">
        <v>1</v>
      </c>
      <c r="AE1202" s="141"/>
      <c r="AF1202" s="121" t="s">
        <v>293</v>
      </c>
      <c r="AG1202" s="146">
        <f>VLOOKUP(Takeoffs!AF1202,Sheet1!$B$6:$C$124,2,FALSE)</f>
        <v>0</v>
      </c>
      <c r="AH1202" s="146">
        <f t="shared" si="556"/>
        <v>0</v>
      </c>
      <c r="AI1202" s="143">
        <f t="shared" si="557"/>
        <v>0</v>
      </c>
      <c r="AJ1202" s="133">
        <f t="shared" si="558"/>
        <v>1</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1</v>
      </c>
      <c r="T1203" s="120"/>
      <c r="U1203" s="121" t="s">
        <v>293</v>
      </c>
      <c r="V1203" s="133">
        <f t="shared" si="552"/>
        <v>1</v>
      </c>
      <c r="W1203" s="133">
        <f>VLOOKUP(U1203,Sheet1!$B$6:$C$45,2,FALSE)*V1203</f>
        <v>0</v>
      </c>
      <c r="X1203" s="141"/>
      <c r="Y1203" s="121" t="s">
        <v>293</v>
      </c>
      <c r="Z1203" s="146">
        <f>VLOOKUP(Takeoffs!Y1203,Sheet1!$B$6:$C$124,2,FALSE)</f>
        <v>0</v>
      </c>
      <c r="AA1203" s="146">
        <f t="shared" si="553"/>
        <v>0</v>
      </c>
      <c r="AB1203" s="143">
        <f t="shared" si="554"/>
        <v>1</v>
      </c>
      <c r="AC1203" s="133">
        <f t="shared" si="555"/>
        <v>1</v>
      </c>
      <c r="AD1203" s="142">
        <v>1</v>
      </c>
      <c r="AE1203" s="141"/>
      <c r="AF1203" s="121" t="s">
        <v>293</v>
      </c>
      <c r="AG1203" s="146">
        <f>VLOOKUP(Takeoffs!AF1203,Sheet1!$B$6:$C$124,2,FALSE)</f>
        <v>0</v>
      </c>
      <c r="AH1203" s="146">
        <f t="shared" si="556"/>
        <v>0</v>
      </c>
      <c r="AI1203" s="143">
        <f t="shared" si="557"/>
        <v>0</v>
      </c>
      <c r="AJ1203" s="133">
        <f t="shared" si="558"/>
        <v>1</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1</v>
      </c>
      <c r="T1204" s="120"/>
      <c r="U1204" s="121" t="s">
        <v>293</v>
      </c>
      <c r="V1204" s="133">
        <f t="shared" si="552"/>
        <v>1</v>
      </c>
      <c r="W1204" s="133">
        <f>VLOOKUP(U1204,Sheet1!$B$6:$C$45,2,FALSE)*V1204</f>
        <v>0</v>
      </c>
      <c r="X1204" s="141"/>
      <c r="Y1204" s="121" t="s">
        <v>293</v>
      </c>
      <c r="Z1204" s="146">
        <f>VLOOKUP(Takeoffs!Y1204,Sheet1!$B$6:$C$124,2,FALSE)</f>
        <v>0</v>
      </c>
      <c r="AA1204" s="146">
        <f t="shared" si="553"/>
        <v>0</v>
      </c>
      <c r="AB1204" s="143">
        <f t="shared" si="554"/>
        <v>1</v>
      </c>
      <c r="AC1204" s="133">
        <f t="shared" si="555"/>
        <v>1</v>
      </c>
      <c r="AD1204" s="142">
        <v>1</v>
      </c>
      <c r="AE1204" s="141"/>
      <c r="AF1204" s="121" t="s">
        <v>293</v>
      </c>
      <c r="AG1204" s="146">
        <f>VLOOKUP(Takeoffs!AF1204,Sheet1!$B$6:$C$124,2,FALSE)</f>
        <v>0</v>
      </c>
      <c r="AH1204" s="146">
        <f t="shared" si="556"/>
        <v>0</v>
      </c>
      <c r="AI1204" s="143">
        <f t="shared" si="557"/>
        <v>0</v>
      </c>
      <c r="AJ1204" s="133">
        <f t="shared" si="558"/>
        <v>1</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1</v>
      </c>
      <c r="T1205" s="120"/>
      <c r="U1205" s="121" t="s">
        <v>293</v>
      </c>
      <c r="V1205" s="133">
        <f t="shared" si="552"/>
        <v>1</v>
      </c>
      <c r="W1205" s="133">
        <f>VLOOKUP(U1205,Sheet1!$B$6:$C$45,2,FALSE)*V1205</f>
        <v>0</v>
      </c>
      <c r="X1205" s="141"/>
      <c r="Y1205" s="121" t="s">
        <v>293</v>
      </c>
      <c r="Z1205" s="146">
        <f>VLOOKUP(Takeoffs!Y1205,Sheet1!$B$6:$C$124,2,FALSE)</f>
        <v>0</v>
      </c>
      <c r="AA1205" s="146">
        <f t="shared" si="553"/>
        <v>0</v>
      </c>
      <c r="AB1205" s="143">
        <f t="shared" si="554"/>
        <v>1</v>
      </c>
      <c r="AC1205" s="133">
        <f t="shared" si="555"/>
        <v>1</v>
      </c>
      <c r="AD1205" s="142">
        <v>1</v>
      </c>
      <c r="AE1205" s="141"/>
      <c r="AF1205" s="121" t="s">
        <v>293</v>
      </c>
      <c r="AG1205" s="146">
        <f>VLOOKUP(Takeoffs!AF1205,Sheet1!$B$6:$C$124,2,FALSE)</f>
        <v>0</v>
      </c>
      <c r="AH1205" s="146">
        <f t="shared" si="556"/>
        <v>0</v>
      </c>
      <c r="AI1205" s="143">
        <f t="shared" si="557"/>
        <v>0</v>
      </c>
      <c r="AJ1205" s="133">
        <f t="shared" si="558"/>
        <v>1</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1</v>
      </c>
      <c r="T1206" s="120"/>
      <c r="U1206" s="121" t="s">
        <v>293</v>
      </c>
      <c r="V1206" s="133">
        <f t="shared" si="552"/>
        <v>1</v>
      </c>
      <c r="W1206" s="133">
        <f>VLOOKUP(U1206,Sheet1!$B$6:$C$45,2,FALSE)*V1206</f>
        <v>0</v>
      </c>
      <c r="X1206" s="141"/>
      <c r="Y1206" s="121" t="s">
        <v>293</v>
      </c>
      <c r="Z1206" s="146">
        <f>VLOOKUP(Takeoffs!Y1206,Sheet1!$B$6:$C$124,2,FALSE)</f>
        <v>0</v>
      </c>
      <c r="AA1206" s="146">
        <f t="shared" si="553"/>
        <v>0</v>
      </c>
      <c r="AB1206" s="143">
        <f t="shared" si="554"/>
        <v>1</v>
      </c>
      <c r="AC1206" s="133">
        <f t="shared" si="555"/>
        <v>1</v>
      </c>
      <c r="AD1206" s="142">
        <v>1</v>
      </c>
      <c r="AE1206" s="141"/>
      <c r="AF1206" s="121" t="s">
        <v>293</v>
      </c>
      <c r="AG1206" s="146">
        <f>VLOOKUP(Takeoffs!AF1206,Sheet1!$B$6:$C$124,2,FALSE)</f>
        <v>0</v>
      </c>
      <c r="AH1206" s="146">
        <f t="shared" si="556"/>
        <v>0</v>
      </c>
      <c r="AI1206" s="143">
        <f t="shared" si="557"/>
        <v>0</v>
      </c>
      <c r="AJ1206" s="133">
        <f t="shared" si="558"/>
        <v>1</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1</v>
      </c>
      <c r="T1207" s="120"/>
      <c r="U1207" s="121" t="s">
        <v>293</v>
      </c>
      <c r="V1207" s="133">
        <f t="shared" si="552"/>
        <v>1</v>
      </c>
      <c r="W1207" s="133">
        <f>VLOOKUP(U1207,Sheet1!$B$6:$C$45,2,FALSE)*V1207</f>
        <v>0</v>
      </c>
      <c r="X1207" s="141"/>
      <c r="Y1207" s="121" t="s">
        <v>293</v>
      </c>
      <c r="Z1207" s="146">
        <f>VLOOKUP(Takeoffs!Y1207,Sheet1!$B$6:$C$124,2,FALSE)</f>
        <v>0</v>
      </c>
      <c r="AA1207" s="146">
        <f t="shared" si="553"/>
        <v>0</v>
      </c>
      <c r="AB1207" s="143">
        <f t="shared" si="554"/>
        <v>1</v>
      </c>
      <c r="AC1207" s="133">
        <f t="shared" si="555"/>
        <v>1</v>
      </c>
      <c r="AD1207" s="142">
        <v>1</v>
      </c>
      <c r="AE1207" s="141"/>
      <c r="AF1207" s="121" t="s">
        <v>293</v>
      </c>
      <c r="AG1207" s="146">
        <f>VLOOKUP(Takeoffs!AF1207,Sheet1!$B$6:$C$124,2,FALSE)</f>
        <v>0</v>
      </c>
      <c r="AH1207" s="146">
        <f t="shared" si="556"/>
        <v>0</v>
      </c>
      <c r="AI1207" s="143">
        <f t="shared" si="557"/>
        <v>0</v>
      </c>
      <c r="AJ1207" s="133">
        <f t="shared" si="558"/>
        <v>1</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1</v>
      </c>
      <c r="T1208" s="120"/>
      <c r="U1208" s="121" t="s">
        <v>293</v>
      </c>
      <c r="V1208" s="133">
        <f t="shared" si="552"/>
        <v>1</v>
      </c>
      <c r="W1208" s="133">
        <f>VLOOKUP(U1208,Sheet1!$B$6:$C$45,2,FALSE)*V1208</f>
        <v>0</v>
      </c>
      <c r="X1208" s="141"/>
      <c r="Y1208" s="121" t="s">
        <v>293</v>
      </c>
      <c r="Z1208" s="146">
        <f>VLOOKUP(Takeoffs!Y1208,Sheet1!$B$6:$C$124,2,FALSE)</f>
        <v>0</v>
      </c>
      <c r="AA1208" s="146">
        <f t="shared" si="553"/>
        <v>0</v>
      </c>
      <c r="AB1208" s="143">
        <f t="shared" si="554"/>
        <v>1</v>
      </c>
      <c r="AC1208" s="133">
        <f t="shared" si="555"/>
        <v>1</v>
      </c>
      <c r="AD1208" s="142">
        <v>1</v>
      </c>
      <c r="AE1208" s="141"/>
      <c r="AF1208" s="121" t="s">
        <v>293</v>
      </c>
      <c r="AG1208" s="146">
        <f>VLOOKUP(Takeoffs!AF1208,Sheet1!$B$6:$C$124,2,FALSE)</f>
        <v>0</v>
      </c>
      <c r="AH1208" s="146">
        <f t="shared" si="556"/>
        <v>0</v>
      </c>
      <c r="AI1208" s="143">
        <f t="shared" si="557"/>
        <v>0</v>
      </c>
      <c r="AJ1208" s="133">
        <f t="shared" si="558"/>
        <v>1</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1</v>
      </c>
      <c r="T1209" s="120"/>
      <c r="U1209" s="121" t="s">
        <v>293</v>
      </c>
      <c r="V1209" s="133">
        <f t="shared" si="552"/>
        <v>1</v>
      </c>
      <c r="W1209" s="133">
        <f>VLOOKUP(U1209,Sheet1!$B$6:$C$45,2,FALSE)*V1209</f>
        <v>0</v>
      </c>
      <c r="X1209" s="141"/>
      <c r="Y1209" s="121" t="s">
        <v>293</v>
      </c>
      <c r="Z1209" s="146">
        <f>VLOOKUP(Takeoffs!Y1209,Sheet1!$B$6:$C$124,2,FALSE)</f>
        <v>0</v>
      </c>
      <c r="AA1209" s="146">
        <f t="shared" si="553"/>
        <v>0</v>
      </c>
      <c r="AB1209" s="143">
        <f t="shared" si="554"/>
        <v>1</v>
      </c>
      <c r="AC1209" s="133">
        <f t="shared" si="555"/>
        <v>1</v>
      </c>
      <c r="AD1209" s="142">
        <v>1</v>
      </c>
      <c r="AE1209" s="141"/>
      <c r="AF1209" s="121" t="s">
        <v>293</v>
      </c>
      <c r="AG1209" s="146">
        <f>VLOOKUP(Takeoffs!AF1209,Sheet1!$B$6:$C$124,2,FALSE)</f>
        <v>0</v>
      </c>
      <c r="AH1209" s="146">
        <f t="shared" si="556"/>
        <v>0</v>
      </c>
      <c r="AI1209" s="143">
        <f t="shared" si="557"/>
        <v>0</v>
      </c>
      <c r="AJ1209" s="133">
        <f t="shared" si="558"/>
        <v>1</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1</v>
      </c>
      <c r="T1210" s="120"/>
      <c r="U1210" s="121" t="s">
        <v>293</v>
      </c>
      <c r="V1210" s="133">
        <f t="shared" si="552"/>
        <v>1</v>
      </c>
      <c r="W1210" s="133">
        <f>VLOOKUP(U1210,Sheet1!$B$6:$C$45,2,FALSE)*V1210</f>
        <v>0</v>
      </c>
      <c r="X1210" s="141"/>
      <c r="Y1210" s="121" t="s">
        <v>293</v>
      </c>
      <c r="Z1210" s="146">
        <f>VLOOKUP(Takeoffs!Y1210,Sheet1!$B$6:$C$124,2,FALSE)</f>
        <v>0</v>
      </c>
      <c r="AA1210" s="146">
        <f t="shared" si="553"/>
        <v>0</v>
      </c>
      <c r="AB1210" s="143">
        <f t="shared" si="554"/>
        <v>1</v>
      </c>
      <c r="AC1210" s="133">
        <f t="shared" si="555"/>
        <v>1</v>
      </c>
      <c r="AD1210" s="142">
        <v>1</v>
      </c>
      <c r="AE1210" s="141"/>
      <c r="AF1210" s="121" t="s">
        <v>293</v>
      </c>
      <c r="AG1210" s="146">
        <f>VLOOKUP(Takeoffs!AF1210,Sheet1!$B$6:$C$124,2,FALSE)</f>
        <v>0</v>
      </c>
      <c r="AH1210" s="146">
        <f t="shared" si="556"/>
        <v>0</v>
      </c>
      <c r="AI1210" s="143">
        <f t="shared" si="557"/>
        <v>0</v>
      </c>
      <c r="AJ1210" s="133">
        <f t="shared" si="558"/>
        <v>1</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1</v>
      </c>
      <c r="T1211" s="120"/>
      <c r="U1211" s="121" t="s">
        <v>293</v>
      </c>
      <c r="V1211" s="133">
        <f t="shared" si="552"/>
        <v>1</v>
      </c>
      <c r="W1211" s="133">
        <f>VLOOKUP(U1211,Sheet1!$B$6:$C$45,2,FALSE)*V1211</f>
        <v>0</v>
      </c>
      <c r="X1211" s="141"/>
      <c r="Y1211" s="121" t="s">
        <v>293</v>
      </c>
      <c r="Z1211" s="146">
        <f>VLOOKUP(Takeoffs!Y1211,Sheet1!$B$6:$C$124,2,FALSE)</f>
        <v>0</v>
      </c>
      <c r="AA1211" s="146">
        <f t="shared" si="553"/>
        <v>0</v>
      </c>
      <c r="AB1211" s="143">
        <f t="shared" si="554"/>
        <v>1</v>
      </c>
      <c r="AC1211" s="133">
        <f t="shared" si="555"/>
        <v>1</v>
      </c>
      <c r="AD1211" s="142">
        <v>1</v>
      </c>
      <c r="AE1211" s="141"/>
      <c r="AF1211" s="121" t="s">
        <v>293</v>
      </c>
      <c r="AG1211" s="146">
        <f>VLOOKUP(Takeoffs!AF1211,Sheet1!$B$6:$C$124,2,FALSE)</f>
        <v>0</v>
      </c>
      <c r="AH1211" s="146">
        <f t="shared" si="556"/>
        <v>0</v>
      </c>
      <c r="AI1211" s="143">
        <f t="shared" si="557"/>
        <v>0</v>
      </c>
      <c r="AJ1211" s="133">
        <f t="shared" si="558"/>
        <v>1</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1</v>
      </c>
      <c r="T1212" s="120"/>
      <c r="U1212" s="121" t="s">
        <v>293</v>
      </c>
      <c r="V1212" s="133">
        <f t="shared" si="552"/>
        <v>1</v>
      </c>
      <c r="W1212" s="133">
        <f>VLOOKUP(U1212,Sheet1!$B$6:$C$45,2,FALSE)*V1212</f>
        <v>0</v>
      </c>
      <c r="X1212" s="141"/>
      <c r="Y1212" s="121" t="s">
        <v>293</v>
      </c>
      <c r="Z1212" s="146">
        <f>VLOOKUP(Takeoffs!Y1212,Sheet1!$B$6:$C$124,2,FALSE)</f>
        <v>0</v>
      </c>
      <c r="AA1212" s="146">
        <f t="shared" si="553"/>
        <v>0</v>
      </c>
      <c r="AB1212" s="143">
        <f t="shared" si="554"/>
        <v>1</v>
      </c>
      <c r="AC1212" s="133">
        <f t="shared" si="555"/>
        <v>1</v>
      </c>
      <c r="AD1212" s="142">
        <v>1</v>
      </c>
      <c r="AE1212" s="141"/>
      <c r="AF1212" s="121" t="s">
        <v>293</v>
      </c>
      <c r="AG1212" s="146">
        <f>VLOOKUP(Takeoffs!AF1212,Sheet1!$B$6:$C$124,2,FALSE)</f>
        <v>0</v>
      </c>
      <c r="AH1212" s="146">
        <f t="shared" si="556"/>
        <v>0</v>
      </c>
      <c r="AI1212" s="143">
        <f t="shared" si="557"/>
        <v>0</v>
      </c>
      <c r="AJ1212" s="133">
        <f t="shared" si="558"/>
        <v>1</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1</v>
      </c>
      <c r="T1213" s="120"/>
      <c r="U1213" s="121" t="s">
        <v>293</v>
      </c>
      <c r="V1213" s="133">
        <f t="shared" si="552"/>
        <v>1</v>
      </c>
      <c r="W1213" s="133">
        <f>VLOOKUP(U1213,Sheet1!$B$6:$C$45,2,FALSE)*V1213</f>
        <v>0</v>
      </c>
      <c r="X1213" s="141"/>
      <c r="Y1213" s="121" t="s">
        <v>293</v>
      </c>
      <c r="Z1213" s="146">
        <f>VLOOKUP(Takeoffs!Y1213,Sheet1!$B$6:$C$124,2,FALSE)</f>
        <v>0</v>
      </c>
      <c r="AA1213" s="146">
        <f t="shared" si="553"/>
        <v>0</v>
      </c>
      <c r="AB1213" s="143">
        <f t="shared" si="554"/>
        <v>1</v>
      </c>
      <c r="AC1213" s="133">
        <f t="shared" si="555"/>
        <v>1</v>
      </c>
      <c r="AD1213" s="142">
        <v>1</v>
      </c>
      <c r="AE1213" s="141"/>
      <c r="AF1213" s="121" t="s">
        <v>293</v>
      </c>
      <c r="AG1213" s="146">
        <f>VLOOKUP(Takeoffs!AF1213,Sheet1!$B$6:$C$124,2,FALSE)</f>
        <v>0</v>
      </c>
      <c r="AH1213" s="146">
        <f t="shared" si="556"/>
        <v>0</v>
      </c>
      <c r="AI1213" s="143">
        <f t="shared" si="557"/>
        <v>0</v>
      </c>
      <c r="AJ1213" s="133">
        <f t="shared" si="558"/>
        <v>1</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1</v>
      </c>
      <c r="T1214" s="120"/>
      <c r="U1214" s="121" t="s">
        <v>293</v>
      </c>
      <c r="V1214" s="133">
        <f t="shared" si="552"/>
        <v>1</v>
      </c>
      <c r="W1214" s="133">
        <f>VLOOKUP(U1214,Sheet1!$B$6:$C$45,2,FALSE)*V1214</f>
        <v>0</v>
      </c>
      <c r="X1214" s="141"/>
      <c r="Y1214" s="121" t="s">
        <v>293</v>
      </c>
      <c r="Z1214" s="146">
        <f>VLOOKUP(Takeoffs!Y1214,Sheet1!$B$6:$C$124,2,FALSE)</f>
        <v>0</v>
      </c>
      <c r="AA1214" s="146">
        <f t="shared" si="553"/>
        <v>0</v>
      </c>
      <c r="AB1214" s="143">
        <f t="shared" si="554"/>
        <v>1</v>
      </c>
      <c r="AC1214" s="133">
        <f t="shared" si="555"/>
        <v>1</v>
      </c>
      <c r="AD1214" s="142">
        <v>1</v>
      </c>
      <c r="AE1214" s="141"/>
      <c r="AF1214" s="121" t="s">
        <v>293</v>
      </c>
      <c r="AG1214" s="146">
        <f>VLOOKUP(Takeoffs!AF1214,Sheet1!$B$6:$C$124,2,FALSE)</f>
        <v>0</v>
      </c>
      <c r="AH1214" s="146">
        <f t="shared" si="556"/>
        <v>0</v>
      </c>
      <c r="AI1214" s="143">
        <f t="shared" si="557"/>
        <v>0</v>
      </c>
      <c r="AJ1214" s="133">
        <f t="shared" si="558"/>
        <v>1</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1</v>
      </c>
      <c r="T1215" s="120"/>
      <c r="U1215" s="121" t="s">
        <v>293</v>
      </c>
      <c r="V1215" s="133">
        <f t="shared" si="552"/>
        <v>1</v>
      </c>
      <c r="W1215" s="133">
        <f>VLOOKUP(U1215,Sheet1!$B$6:$C$45,2,FALSE)*V1215</f>
        <v>0</v>
      </c>
      <c r="X1215" s="141"/>
      <c r="Y1215" s="121" t="s">
        <v>293</v>
      </c>
      <c r="Z1215" s="146">
        <f>VLOOKUP(Takeoffs!Y1215,Sheet1!$B$6:$C$124,2,FALSE)</f>
        <v>0</v>
      </c>
      <c r="AA1215" s="146">
        <f t="shared" si="553"/>
        <v>0</v>
      </c>
      <c r="AB1215" s="143">
        <f t="shared" si="554"/>
        <v>1</v>
      </c>
      <c r="AC1215" s="133">
        <f t="shared" si="555"/>
        <v>1</v>
      </c>
      <c r="AD1215" s="142">
        <v>1</v>
      </c>
      <c r="AE1215" s="141"/>
      <c r="AF1215" s="121" t="s">
        <v>293</v>
      </c>
      <c r="AG1215" s="146">
        <f>VLOOKUP(Takeoffs!AF1215,Sheet1!$B$6:$C$124,2,FALSE)</f>
        <v>0</v>
      </c>
      <c r="AH1215" s="146">
        <f t="shared" si="556"/>
        <v>0</v>
      </c>
      <c r="AI1215" s="143">
        <f t="shared" si="557"/>
        <v>0</v>
      </c>
      <c r="AJ1215" s="133">
        <f t="shared" si="558"/>
        <v>1</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1</v>
      </c>
      <c r="T1216" s="120"/>
      <c r="U1216" s="121" t="s">
        <v>293</v>
      </c>
      <c r="V1216" s="133">
        <f t="shared" si="552"/>
        <v>1</v>
      </c>
      <c r="W1216" s="133">
        <f>VLOOKUP(U1216,Sheet1!$B$6:$C$45,2,FALSE)*V1216</f>
        <v>0</v>
      </c>
      <c r="X1216" s="141"/>
      <c r="Y1216" s="121" t="s">
        <v>293</v>
      </c>
      <c r="Z1216" s="146">
        <f>VLOOKUP(Takeoffs!Y1216,Sheet1!$B$6:$C$124,2,FALSE)</f>
        <v>0</v>
      </c>
      <c r="AA1216" s="146">
        <f t="shared" si="553"/>
        <v>0</v>
      </c>
      <c r="AB1216" s="143">
        <f t="shared" si="554"/>
        <v>1</v>
      </c>
      <c r="AC1216" s="133">
        <f t="shared" si="555"/>
        <v>1</v>
      </c>
      <c r="AD1216" s="142">
        <v>1</v>
      </c>
      <c r="AE1216" s="141"/>
      <c r="AF1216" s="121" t="s">
        <v>293</v>
      </c>
      <c r="AG1216" s="146">
        <f>VLOOKUP(Takeoffs!AF1216,Sheet1!$B$6:$C$124,2,FALSE)</f>
        <v>0</v>
      </c>
      <c r="AH1216" s="146">
        <f t="shared" si="556"/>
        <v>0</v>
      </c>
      <c r="AI1216" s="143">
        <f t="shared" si="557"/>
        <v>0</v>
      </c>
      <c r="AJ1216" s="133">
        <f t="shared" si="558"/>
        <v>1</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1</v>
      </c>
      <c r="T1217" s="120"/>
      <c r="U1217" s="121" t="s">
        <v>293</v>
      </c>
      <c r="V1217" s="133">
        <f t="shared" si="552"/>
        <v>1</v>
      </c>
      <c r="W1217" s="133">
        <f>VLOOKUP(U1217,Sheet1!$B$6:$C$45,2,FALSE)*V1217</f>
        <v>0</v>
      </c>
      <c r="X1217" s="141"/>
      <c r="Y1217" s="121" t="s">
        <v>293</v>
      </c>
      <c r="Z1217" s="146">
        <f>VLOOKUP(Takeoffs!Y1217,Sheet1!$B$6:$C$124,2,FALSE)</f>
        <v>0</v>
      </c>
      <c r="AA1217" s="146">
        <f t="shared" si="553"/>
        <v>0</v>
      </c>
      <c r="AB1217" s="143">
        <f t="shared" si="554"/>
        <v>1</v>
      </c>
      <c r="AC1217" s="133">
        <f t="shared" si="555"/>
        <v>1</v>
      </c>
      <c r="AD1217" s="142">
        <v>1</v>
      </c>
      <c r="AE1217" s="141"/>
      <c r="AF1217" s="121" t="s">
        <v>293</v>
      </c>
      <c r="AG1217" s="146">
        <f>VLOOKUP(Takeoffs!AF1217,Sheet1!$B$6:$C$124,2,FALSE)</f>
        <v>0</v>
      </c>
      <c r="AH1217" s="146">
        <f t="shared" si="556"/>
        <v>0</v>
      </c>
      <c r="AI1217" s="143">
        <f t="shared" si="557"/>
        <v>0</v>
      </c>
      <c r="AJ1217" s="133">
        <f t="shared" si="558"/>
        <v>1</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1</v>
      </c>
      <c r="T1218" s="120"/>
      <c r="U1218" s="121" t="s">
        <v>293</v>
      </c>
      <c r="V1218" s="133">
        <f t="shared" si="552"/>
        <v>1</v>
      </c>
      <c r="W1218" s="133">
        <f>VLOOKUP(U1218,Sheet1!$B$6:$C$45,2,FALSE)*V1218</f>
        <v>0</v>
      </c>
      <c r="X1218" s="141"/>
      <c r="Y1218" s="121" t="s">
        <v>293</v>
      </c>
      <c r="Z1218" s="146">
        <f>VLOOKUP(Takeoffs!Y1218,Sheet1!$B$6:$C$124,2,FALSE)</f>
        <v>0</v>
      </c>
      <c r="AA1218" s="146">
        <f t="shared" si="553"/>
        <v>0</v>
      </c>
      <c r="AB1218" s="143">
        <f t="shared" si="554"/>
        <v>1</v>
      </c>
      <c r="AC1218" s="133">
        <f t="shared" si="555"/>
        <v>1</v>
      </c>
      <c r="AD1218" s="142">
        <v>1</v>
      </c>
      <c r="AE1218" s="141"/>
      <c r="AF1218" s="121" t="s">
        <v>293</v>
      </c>
      <c r="AG1218" s="146">
        <f>VLOOKUP(Takeoffs!AF1218,Sheet1!$B$6:$C$124,2,FALSE)</f>
        <v>0</v>
      </c>
      <c r="AH1218" s="146">
        <f t="shared" si="556"/>
        <v>0</v>
      </c>
      <c r="AI1218" s="143">
        <f t="shared" si="557"/>
        <v>0</v>
      </c>
      <c r="AJ1218" s="133">
        <f t="shared" si="558"/>
        <v>1</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379</v>
      </c>
      <c r="L1219" s="128" t="s">
        <v>380</v>
      </c>
      <c r="N1219" s="129"/>
      <c r="O1219" s="130" t="s">
        <v>359</v>
      </c>
      <c r="P1219" s="82">
        <f>V1219+AA1219+AH1219</f>
        <v>319.50400000000002</v>
      </c>
      <c r="Q1219" s="131"/>
      <c r="R1219" s="131"/>
      <c r="S1219" s="130"/>
      <c r="T1219" s="127"/>
      <c r="U1219" s="126" t="s">
        <v>353</v>
      </c>
      <c r="V1219" s="127">
        <f>W1219*80</f>
        <v>160</v>
      </c>
      <c r="W1219" s="147">
        <f>SUM(W1198:W1218)</f>
        <v>2</v>
      </c>
      <c r="X1219" s="148"/>
      <c r="Y1219" s="127" t="s">
        <v>354</v>
      </c>
      <c r="Z1219" s="116"/>
      <c r="AA1219" s="116">
        <f>SUM(AA1198:AA1218)</f>
        <v>89.903999999999996</v>
      </c>
      <c r="AB1219" s="149"/>
      <c r="AC1219" s="149"/>
      <c r="AD1219" s="149"/>
      <c r="AE1219" s="149"/>
      <c r="AF1219" s="127" t="s">
        <v>358</v>
      </c>
      <c r="AG1219" s="116"/>
      <c r="AH1219" s="116">
        <f>SUM(AH1198:AH1218)</f>
        <v>69.599999999999994</v>
      </c>
      <c r="AI1219" s="149"/>
      <c r="AJ1219" s="149"/>
      <c r="AK1219" s="149"/>
      <c r="AL1219" s="149"/>
      <c r="AM1219" s="150">
        <f>P1219</f>
        <v>319.50400000000002</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494</v>
      </c>
      <c r="C1220" s="217" t="str">
        <f>N1198</f>
        <v>MSSB powered VRF outdoor units</v>
      </c>
      <c r="D1220" s="260" t="str">
        <f>IF(B1220="Shopping List",IF(ISNUMBER(SEARCH("MSSB",C1220)),"MSSB",IF(ISNUMBER(SEARCH("local",C1220)),"LOCAL","")))</f>
        <v>MSSB</v>
      </c>
      <c r="E1220" s="238"/>
      <c r="F1220" s="217"/>
      <c r="G1220" s="217"/>
      <c r="H1220" s="245"/>
      <c r="I1220" s="270">
        <v>1</v>
      </c>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one (1) MSSB powered VRF outdoor units. This includes supply and install of CB, cabling from MSSB to CU, and local isolator. </v>
      </c>
      <c r="K1220" s="246">
        <f>P1219</f>
        <v>319.50400000000002</v>
      </c>
      <c r="L1220" s="234" t="str">
        <f>CONCATENATE(Q1199,Q1200,Q1201,Q1202,Q1203,Q1204,Q1205,Q1206,Q1207,Q1208,Q1209,Q1210,Q1211,Q1212,Q1213,Q1214,Q1215,Q1216,Q1217,Q1218,)</f>
        <v/>
      </c>
      <c r="M1220" s="166" t="s">
        <v>369</v>
      </c>
      <c r="N1220" s="160" t="str">
        <f>N1198</f>
        <v>MSSB powered VRF outdoor units</v>
      </c>
      <c r="O1220" s="160" t="s">
        <v>367</v>
      </c>
      <c r="P1220" s="161">
        <f>P1219/M1198</f>
        <v>319.50400000000002</v>
      </c>
      <c r="Q1220" s="161"/>
      <c r="R1220" s="161"/>
      <c r="S1220" s="160"/>
      <c r="T1220" s="161"/>
      <c r="U1220" s="327" t="s">
        <v>368</v>
      </c>
      <c r="V1220" s="327"/>
      <c r="W1220" s="162">
        <f>W1219/M1198</f>
        <v>2</v>
      </c>
      <c r="X1220" s="163"/>
      <c r="Y1220" s="325" t="s">
        <v>367</v>
      </c>
      <c r="Z1220" s="325"/>
      <c r="AA1220" s="164">
        <f>AA1219/M1198</f>
        <v>89.903999999999996</v>
      </c>
      <c r="AB1220" s="161"/>
      <c r="AC1220" s="161"/>
      <c r="AD1220" s="161"/>
      <c r="AE1220" s="161"/>
      <c r="AF1220" s="325" t="s">
        <v>367</v>
      </c>
      <c r="AG1220" s="325"/>
      <c r="AH1220" s="164">
        <f>AH1219/M1198</f>
        <v>69.599999999999994</v>
      </c>
      <c r="AI1220" s="161"/>
      <c r="AJ1220" s="161"/>
      <c r="AK1220" s="161"/>
      <c r="AL1220" s="247"/>
      <c r="AM1220" s="257"/>
      <c r="AN1220" s="236">
        <f>K1220*1.25</f>
        <v>399.38</v>
      </c>
      <c r="AO1220" s="286"/>
      <c r="AP1220" s="284">
        <f t="shared" si="537"/>
        <v>319.50400000000002</v>
      </c>
      <c r="AQ1220" s="281">
        <f t="shared" si="538"/>
        <v>160</v>
      </c>
      <c r="AR1220" s="284">
        <f t="shared" si="539"/>
        <v>89.903999999999996</v>
      </c>
      <c r="AS1220" s="281">
        <f t="shared" si="540"/>
        <v>69.599999999999994</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454</v>
      </c>
      <c r="M1221" s="2" t="s">
        <v>107</v>
      </c>
      <c r="N1221" s="2" t="s">
        <v>108</v>
      </c>
      <c r="O1221" s="97" t="s">
        <v>388</v>
      </c>
      <c r="P1221" s="326" t="s">
        <v>377</v>
      </c>
      <c r="Q1221" s="326"/>
      <c r="R1221" s="101" t="s">
        <v>454</v>
      </c>
      <c r="S1221" s="2" t="s">
        <v>0</v>
      </c>
      <c r="T1221" s="9"/>
      <c r="U1221" s="2" t="s">
        <v>288</v>
      </c>
      <c r="V1221" s="2" t="s">
        <v>289</v>
      </c>
      <c r="W1221" s="2" t="s">
        <v>292</v>
      </c>
      <c r="X1221" s="58"/>
      <c r="Y1221" s="2" t="s">
        <v>290</v>
      </c>
      <c r="Z1221" s="2" t="s">
        <v>356</v>
      </c>
      <c r="AA1221" s="2" t="s">
        <v>357</v>
      </c>
      <c r="AB1221" s="2" t="s">
        <v>319</v>
      </c>
      <c r="AC1221" s="2" t="s">
        <v>320</v>
      </c>
      <c r="AD1221" s="2" t="s">
        <v>318</v>
      </c>
      <c r="AE1221" s="58"/>
      <c r="AF1221" s="2" t="s">
        <v>294</v>
      </c>
      <c r="AG1221" s="2" t="s">
        <v>356</v>
      </c>
      <c r="AH1221" s="2" t="s">
        <v>357</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one</v>
      </c>
      <c r="M1222" s="121">
        <f>I1244</f>
        <v>1</v>
      </c>
      <c r="N1222" s="27" t="s">
        <v>638</v>
      </c>
      <c r="O1222" s="12" t="s">
        <v>133</v>
      </c>
      <c r="P1222" s="96" t="s">
        <v>381</v>
      </c>
      <c r="Q1222" s="96" t="s">
        <v>377</v>
      </c>
      <c r="R1222" s="96"/>
      <c r="S1222" s="28">
        <f>M1222</f>
        <v>1</v>
      </c>
      <c r="T1222" s="10"/>
      <c r="U1222" s="12" t="s">
        <v>293</v>
      </c>
      <c r="V1222" s="28">
        <f>S1222</f>
        <v>1</v>
      </c>
      <c r="W1222" s="28">
        <f>VLOOKUP(U1222,Sheet1!$B$6:$C$45,2,FALSE)*V1222</f>
        <v>0</v>
      </c>
      <c r="X1222" s="59"/>
      <c r="Y1222" s="12" t="s">
        <v>293</v>
      </c>
      <c r="Z1222" s="68">
        <f>VLOOKUP(Takeoffs!Y1222,Sheet1!$B$6:$C$124,2,FALSE)</f>
        <v>0</v>
      </c>
      <c r="AA1222" s="68">
        <f>Z1222*AB1222</f>
        <v>0</v>
      </c>
      <c r="AB1222" s="63">
        <f>AD1222*AC1222</f>
        <v>1</v>
      </c>
      <c r="AC1222" s="28">
        <f>S1222</f>
        <v>1</v>
      </c>
      <c r="AD1222" s="61">
        <v>1</v>
      </c>
      <c r="AE1222" s="59"/>
      <c r="AF1222" s="12" t="s">
        <v>293</v>
      </c>
      <c r="AG1222" s="68">
        <f>VLOOKUP(Takeoffs!AF1222,Sheet1!$B$6:$C$124,2,FALSE)</f>
        <v>0</v>
      </c>
      <c r="AH1222" s="68">
        <f>AG1222*AI1222</f>
        <v>0</v>
      </c>
      <c r="AI1222" s="63">
        <f>AK1222*AJ1222</f>
        <v>0</v>
      </c>
      <c r="AJ1222" s="28">
        <f>S1222</f>
        <v>1</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448</v>
      </c>
      <c r="P1223" s="12" t="s">
        <v>446</v>
      </c>
      <c r="Q1223" s="12" t="s">
        <v>447</v>
      </c>
      <c r="R1223" s="12"/>
      <c r="S1223" s="28">
        <f>M1222</f>
        <v>1</v>
      </c>
      <c r="T1223" s="11"/>
      <c r="U1223" s="12" t="s">
        <v>303</v>
      </c>
      <c r="V1223" s="28">
        <f t="shared" ref="V1223:V1242" si="561">S1223</f>
        <v>1</v>
      </c>
      <c r="W1223" s="28">
        <f>VLOOKUP(U1223,Sheet1!$B$6:$C$45,2,FALSE)*V1223</f>
        <v>0.5</v>
      </c>
      <c r="X1223" s="59"/>
      <c r="Y1223" s="12" t="s">
        <v>293</v>
      </c>
      <c r="Z1223" s="68">
        <f>VLOOKUP(Takeoffs!Y1223,Sheet1!$B$6:$C$124,2,FALSE)</f>
        <v>0</v>
      </c>
      <c r="AA1223" s="68">
        <f t="shared" ref="AA1223:AA1242" si="562">Z1223*AB1223</f>
        <v>0</v>
      </c>
      <c r="AB1223" s="63">
        <f t="shared" ref="AB1223:AB1242" si="563">AD1223*AC1223</f>
        <v>1</v>
      </c>
      <c r="AC1223" s="28">
        <f>S1223</f>
        <v>1</v>
      </c>
      <c r="AD1223" s="61">
        <v>1</v>
      </c>
      <c r="AE1223" s="59"/>
      <c r="AF1223" s="73" t="s">
        <v>267</v>
      </c>
      <c r="AG1223" s="68">
        <f>VLOOKUP(Takeoffs!AF1223,Sheet1!$B$6:$C$124,2,FALSE)</f>
        <v>3.48</v>
      </c>
      <c r="AH1223" s="68">
        <f t="shared" ref="AH1223:AH1242" si="564">AG1223*AI1223</f>
        <v>3.48</v>
      </c>
      <c r="AI1223" s="63">
        <f t="shared" ref="AI1223:AI1242" si="565">AK1223*AJ1223</f>
        <v>1</v>
      </c>
      <c r="AJ1223" s="28">
        <f t="shared" ref="AJ1223:AJ1242" si="566">S1223</f>
        <v>1</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1</v>
      </c>
      <c r="T1224" s="11"/>
      <c r="U1224" s="12" t="s">
        <v>293</v>
      </c>
      <c r="V1224" s="28">
        <f t="shared" si="561"/>
        <v>1</v>
      </c>
      <c r="W1224" s="28">
        <f>VLOOKUP(U1224,Sheet1!$B$6:$C$45,2,FALSE)*V1224</f>
        <v>0</v>
      </c>
      <c r="X1224" s="59"/>
      <c r="Y1224" s="12" t="s">
        <v>293</v>
      </c>
      <c r="Z1224" s="68">
        <f>VLOOKUP(Takeoffs!Y1224,Sheet1!$B$6:$C$124,2,FALSE)</f>
        <v>0</v>
      </c>
      <c r="AA1224" s="68">
        <f t="shared" si="562"/>
        <v>0</v>
      </c>
      <c r="AB1224" s="63">
        <f t="shared" si="563"/>
        <v>1</v>
      </c>
      <c r="AC1224" s="28">
        <f>S1224</f>
        <v>1</v>
      </c>
      <c r="AD1224" s="61">
        <v>1</v>
      </c>
      <c r="AE1224" s="59"/>
      <c r="AF1224" s="12" t="s">
        <v>293</v>
      </c>
      <c r="AG1224" s="68">
        <f>VLOOKUP(Takeoffs!AF1224,Sheet1!$B$6:$C$124,2,FALSE)</f>
        <v>0</v>
      </c>
      <c r="AH1224" s="68">
        <f t="shared" si="564"/>
        <v>0</v>
      </c>
      <c r="AI1224" s="63">
        <f t="shared" si="565"/>
        <v>0</v>
      </c>
      <c r="AJ1224" s="28">
        <f t="shared" si="566"/>
        <v>1</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1</v>
      </c>
      <c r="T1225" s="11"/>
      <c r="U1225" s="12" t="s">
        <v>293</v>
      </c>
      <c r="V1225" s="28">
        <f t="shared" si="561"/>
        <v>1</v>
      </c>
      <c r="W1225" s="28">
        <f>VLOOKUP(U1225,Sheet1!$B$6:$C$45,2,FALSE)*V1225</f>
        <v>0</v>
      </c>
      <c r="X1225" s="59"/>
      <c r="Y1225" s="12" t="s">
        <v>293</v>
      </c>
      <c r="Z1225" s="68">
        <f>VLOOKUP(Takeoffs!Y1225,Sheet1!$B$6:$C$124,2,FALSE)</f>
        <v>0</v>
      </c>
      <c r="AA1225" s="68">
        <f t="shared" si="562"/>
        <v>0</v>
      </c>
      <c r="AB1225" s="63">
        <f t="shared" si="563"/>
        <v>1</v>
      </c>
      <c r="AC1225" s="28">
        <f t="shared" ref="AC1225:AC1242" si="569">S1225</f>
        <v>1</v>
      </c>
      <c r="AD1225" s="61">
        <v>1</v>
      </c>
      <c r="AE1225" s="59"/>
      <c r="AF1225" s="12" t="s">
        <v>293</v>
      </c>
      <c r="AG1225" s="68">
        <f>VLOOKUP(Takeoffs!AF1225,Sheet1!$B$6:$C$124,2,FALSE)</f>
        <v>0</v>
      </c>
      <c r="AH1225" s="68">
        <f t="shared" si="564"/>
        <v>0</v>
      </c>
      <c r="AI1225" s="63">
        <f t="shared" si="565"/>
        <v>0</v>
      </c>
      <c r="AJ1225" s="28">
        <f t="shared" si="566"/>
        <v>1</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1</v>
      </c>
      <c r="T1226" s="11"/>
      <c r="U1226" s="12" t="s">
        <v>293</v>
      </c>
      <c r="V1226" s="28">
        <f t="shared" si="561"/>
        <v>1</v>
      </c>
      <c r="W1226" s="28">
        <f>VLOOKUP(U1226,Sheet1!$B$6:$C$45,2,FALSE)*V1226</f>
        <v>0</v>
      </c>
      <c r="X1226" s="59"/>
      <c r="Y1226" s="12" t="s">
        <v>293</v>
      </c>
      <c r="Z1226" s="68">
        <f>VLOOKUP(Takeoffs!Y1226,Sheet1!$B$6:$C$124,2,FALSE)</f>
        <v>0</v>
      </c>
      <c r="AA1226" s="68">
        <f t="shared" si="562"/>
        <v>0</v>
      </c>
      <c r="AB1226" s="63">
        <f t="shared" si="563"/>
        <v>1</v>
      </c>
      <c r="AC1226" s="28">
        <f t="shared" si="569"/>
        <v>1</v>
      </c>
      <c r="AD1226" s="61">
        <v>1</v>
      </c>
      <c r="AE1226" s="59"/>
      <c r="AF1226" s="12" t="s">
        <v>293</v>
      </c>
      <c r="AG1226" s="68">
        <f>VLOOKUP(Takeoffs!AF1226,Sheet1!$B$6:$C$124,2,FALSE)</f>
        <v>0</v>
      </c>
      <c r="AH1226" s="68">
        <f t="shared" si="564"/>
        <v>0</v>
      </c>
      <c r="AI1226" s="63">
        <f t="shared" si="565"/>
        <v>0</v>
      </c>
      <c r="AJ1226" s="28">
        <f t="shared" si="566"/>
        <v>1</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1</v>
      </c>
      <c r="T1227" s="11"/>
      <c r="U1227" s="12" t="s">
        <v>293</v>
      </c>
      <c r="V1227" s="28">
        <f t="shared" si="561"/>
        <v>1</v>
      </c>
      <c r="W1227" s="28">
        <f>VLOOKUP(U1227,Sheet1!$B$6:$C$45,2,FALSE)*V1227</f>
        <v>0</v>
      </c>
      <c r="X1227" s="59"/>
      <c r="Y1227" s="12" t="s">
        <v>293</v>
      </c>
      <c r="Z1227" s="68">
        <f>VLOOKUP(Takeoffs!Y1227,Sheet1!$B$6:$C$124,2,FALSE)</f>
        <v>0</v>
      </c>
      <c r="AA1227" s="68">
        <f t="shared" si="562"/>
        <v>0</v>
      </c>
      <c r="AB1227" s="63">
        <f t="shared" si="563"/>
        <v>1</v>
      </c>
      <c r="AC1227" s="28">
        <f t="shared" si="569"/>
        <v>1</v>
      </c>
      <c r="AD1227" s="61">
        <v>1</v>
      </c>
      <c r="AE1227" s="59"/>
      <c r="AF1227" s="12" t="s">
        <v>293</v>
      </c>
      <c r="AG1227" s="68">
        <f>VLOOKUP(Takeoffs!AF1227,Sheet1!$B$6:$C$124,2,FALSE)</f>
        <v>0</v>
      </c>
      <c r="AH1227" s="68">
        <f t="shared" si="564"/>
        <v>0</v>
      </c>
      <c r="AI1227" s="63">
        <f t="shared" si="565"/>
        <v>0</v>
      </c>
      <c r="AJ1227" s="28">
        <f t="shared" si="566"/>
        <v>1</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1</v>
      </c>
      <c r="T1228" s="11"/>
      <c r="U1228" s="12" t="s">
        <v>293</v>
      </c>
      <c r="V1228" s="28">
        <f t="shared" si="561"/>
        <v>1</v>
      </c>
      <c r="W1228" s="28">
        <f>VLOOKUP(U1228,Sheet1!$B$6:$C$45,2,FALSE)*V1228</f>
        <v>0</v>
      </c>
      <c r="X1228" s="59"/>
      <c r="Y1228" s="12" t="s">
        <v>293</v>
      </c>
      <c r="Z1228" s="68">
        <f>VLOOKUP(Takeoffs!Y1228,Sheet1!$B$6:$C$124,2,FALSE)</f>
        <v>0</v>
      </c>
      <c r="AA1228" s="68">
        <f t="shared" si="562"/>
        <v>0</v>
      </c>
      <c r="AB1228" s="63">
        <f t="shared" si="563"/>
        <v>1</v>
      </c>
      <c r="AC1228" s="28">
        <f t="shared" si="569"/>
        <v>1</v>
      </c>
      <c r="AD1228" s="61">
        <v>1</v>
      </c>
      <c r="AE1228" s="59"/>
      <c r="AF1228" s="12" t="s">
        <v>293</v>
      </c>
      <c r="AG1228" s="68">
        <f>VLOOKUP(Takeoffs!AF1228,Sheet1!$B$6:$C$124,2,FALSE)</f>
        <v>0</v>
      </c>
      <c r="AH1228" s="68">
        <f t="shared" si="564"/>
        <v>0</v>
      </c>
      <c r="AI1228" s="63">
        <f t="shared" si="565"/>
        <v>0</v>
      </c>
      <c r="AJ1228" s="28">
        <f t="shared" si="566"/>
        <v>1</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1</v>
      </c>
      <c r="T1229" s="11"/>
      <c r="U1229" s="12" t="s">
        <v>293</v>
      </c>
      <c r="V1229" s="28">
        <f t="shared" si="561"/>
        <v>1</v>
      </c>
      <c r="W1229" s="28">
        <f>VLOOKUP(U1229,Sheet1!$B$6:$C$45,2,FALSE)*V1229</f>
        <v>0</v>
      </c>
      <c r="X1229" s="59"/>
      <c r="Y1229" s="12" t="s">
        <v>293</v>
      </c>
      <c r="Z1229" s="68">
        <f>VLOOKUP(Takeoffs!Y1229,Sheet1!$B$6:$C$124,2,FALSE)</f>
        <v>0</v>
      </c>
      <c r="AA1229" s="68">
        <f t="shared" si="562"/>
        <v>0</v>
      </c>
      <c r="AB1229" s="63">
        <f t="shared" si="563"/>
        <v>1</v>
      </c>
      <c r="AC1229" s="28">
        <f t="shared" si="569"/>
        <v>1</v>
      </c>
      <c r="AD1229" s="61">
        <v>1</v>
      </c>
      <c r="AE1229" s="59"/>
      <c r="AF1229" s="12" t="s">
        <v>293</v>
      </c>
      <c r="AG1229" s="68">
        <f>VLOOKUP(Takeoffs!AF1229,Sheet1!$B$6:$C$124,2,FALSE)</f>
        <v>0</v>
      </c>
      <c r="AH1229" s="68">
        <f t="shared" si="564"/>
        <v>0</v>
      </c>
      <c r="AI1229" s="63">
        <f t="shared" si="565"/>
        <v>0</v>
      </c>
      <c r="AJ1229" s="28">
        <f t="shared" si="566"/>
        <v>1</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1</v>
      </c>
      <c r="T1230" s="11"/>
      <c r="U1230" s="12" t="s">
        <v>293</v>
      </c>
      <c r="V1230" s="28">
        <f t="shared" si="561"/>
        <v>1</v>
      </c>
      <c r="W1230" s="28">
        <f>VLOOKUP(U1230,Sheet1!$B$6:$C$45,2,FALSE)*V1230</f>
        <v>0</v>
      </c>
      <c r="X1230" s="59"/>
      <c r="Y1230" s="12" t="s">
        <v>293</v>
      </c>
      <c r="Z1230" s="68">
        <f>VLOOKUP(Takeoffs!Y1230,Sheet1!$B$6:$C$124,2,FALSE)</f>
        <v>0</v>
      </c>
      <c r="AA1230" s="68">
        <f t="shared" si="562"/>
        <v>0</v>
      </c>
      <c r="AB1230" s="63">
        <f t="shared" si="563"/>
        <v>1</v>
      </c>
      <c r="AC1230" s="28">
        <f t="shared" si="569"/>
        <v>1</v>
      </c>
      <c r="AD1230" s="61">
        <v>1</v>
      </c>
      <c r="AE1230" s="59"/>
      <c r="AF1230" s="12" t="s">
        <v>293</v>
      </c>
      <c r="AG1230" s="68">
        <f>VLOOKUP(Takeoffs!AF1230,Sheet1!$B$6:$C$124,2,FALSE)</f>
        <v>0</v>
      </c>
      <c r="AH1230" s="68">
        <f t="shared" si="564"/>
        <v>0</v>
      </c>
      <c r="AI1230" s="63">
        <f t="shared" si="565"/>
        <v>0</v>
      </c>
      <c r="AJ1230" s="28">
        <f t="shared" si="566"/>
        <v>1</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1</v>
      </c>
      <c r="T1231" s="11"/>
      <c r="U1231" s="12" t="s">
        <v>293</v>
      </c>
      <c r="V1231" s="28">
        <f t="shared" si="561"/>
        <v>1</v>
      </c>
      <c r="W1231" s="28">
        <f>VLOOKUP(U1231,Sheet1!$B$6:$C$45,2,FALSE)*V1231</f>
        <v>0</v>
      </c>
      <c r="X1231" s="59"/>
      <c r="Y1231" s="12" t="s">
        <v>293</v>
      </c>
      <c r="Z1231" s="68">
        <f>VLOOKUP(Takeoffs!Y1231,Sheet1!$B$6:$C$124,2,FALSE)</f>
        <v>0</v>
      </c>
      <c r="AA1231" s="68">
        <f t="shared" si="562"/>
        <v>0</v>
      </c>
      <c r="AB1231" s="63">
        <f t="shared" si="563"/>
        <v>1</v>
      </c>
      <c r="AC1231" s="28">
        <f t="shared" si="569"/>
        <v>1</v>
      </c>
      <c r="AD1231" s="61">
        <v>1</v>
      </c>
      <c r="AE1231" s="59"/>
      <c r="AF1231" s="12" t="s">
        <v>293</v>
      </c>
      <c r="AG1231" s="68">
        <f>VLOOKUP(Takeoffs!AF1231,Sheet1!$B$6:$C$124,2,FALSE)</f>
        <v>0</v>
      </c>
      <c r="AH1231" s="68">
        <f t="shared" si="564"/>
        <v>0</v>
      </c>
      <c r="AI1231" s="63">
        <f t="shared" si="565"/>
        <v>0</v>
      </c>
      <c r="AJ1231" s="28">
        <f t="shared" si="566"/>
        <v>1</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1</v>
      </c>
      <c r="T1232" s="11"/>
      <c r="U1232" s="12" t="s">
        <v>293</v>
      </c>
      <c r="V1232" s="28">
        <f t="shared" si="561"/>
        <v>1</v>
      </c>
      <c r="W1232" s="28">
        <f>VLOOKUP(U1232,Sheet1!$B$6:$C$45,2,FALSE)*V1232</f>
        <v>0</v>
      </c>
      <c r="X1232" s="59"/>
      <c r="Y1232" s="12" t="s">
        <v>293</v>
      </c>
      <c r="Z1232" s="68">
        <f>VLOOKUP(Takeoffs!Y1232,Sheet1!$B$6:$C$124,2,FALSE)</f>
        <v>0</v>
      </c>
      <c r="AA1232" s="68">
        <f t="shared" si="562"/>
        <v>0</v>
      </c>
      <c r="AB1232" s="63">
        <f t="shared" si="563"/>
        <v>1</v>
      </c>
      <c r="AC1232" s="28">
        <f t="shared" si="569"/>
        <v>1</v>
      </c>
      <c r="AD1232" s="61">
        <v>1</v>
      </c>
      <c r="AE1232" s="59"/>
      <c r="AF1232" s="12" t="s">
        <v>293</v>
      </c>
      <c r="AG1232" s="68">
        <f>VLOOKUP(Takeoffs!AF1232,Sheet1!$B$6:$C$124,2,FALSE)</f>
        <v>0</v>
      </c>
      <c r="AH1232" s="68">
        <f t="shared" si="564"/>
        <v>0</v>
      </c>
      <c r="AI1232" s="63">
        <f t="shared" si="565"/>
        <v>0</v>
      </c>
      <c r="AJ1232" s="28">
        <f t="shared" si="566"/>
        <v>1</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1</v>
      </c>
      <c r="T1233" s="11"/>
      <c r="U1233" s="12" t="s">
        <v>293</v>
      </c>
      <c r="V1233" s="28">
        <f t="shared" si="561"/>
        <v>1</v>
      </c>
      <c r="W1233" s="28">
        <f>VLOOKUP(U1233,Sheet1!$B$6:$C$45,2,FALSE)*V1233</f>
        <v>0</v>
      </c>
      <c r="X1233" s="59"/>
      <c r="Y1233" s="12" t="s">
        <v>293</v>
      </c>
      <c r="Z1233" s="68">
        <f>VLOOKUP(Takeoffs!Y1233,Sheet1!$B$6:$C$124,2,FALSE)</f>
        <v>0</v>
      </c>
      <c r="AA1233" s="68">
        <f t="shared" si="562"/>
        <v>0</v>
      </c>
      <c r="AB1233" s="63">
        <f t="shared" si="563"/>
        <v>1</v>
      </c>
      <c r="AC1233" s="28">
        <f t="shared" si="569"/>
        <v>1</v>
      </c>
      <c r="AD1233" s="61">
        <v>1</v>
      </c>
      <c r="AE1233" s="59"/>
      <c r="AF1233" s="12" t="s">
        <v>293</v>
      </c>
      <c r="AG1233" s="68">
        <f>VLOOKUP(Takeoffs!AF1233,Sheet1!$B$6:$C$124,2,FALSE)</f>
        <v>0</v>
      </c>
      <c r="AH1233" s="68">
        <f t="shared" si="564"/>
        <v>0</v>
      </c>
      <c r="AI1233" s="63">
        <f t="shared" si="565"/>
        <v>0</v>
      </c>
      <c r="AJ1233" s="28">
        <f t="shared" si="566"/>
        <v>1</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1</v>
      </c>
      <c r="T1234" s="11"/>
      <c r="U1234" s="12" t="s">
        <v>293</v>
      </c>
      <c r="V1234" s="28">
        <f t="shared" si="561"/>
        <v>1</v>
      </c>
      <c r="W1234" s="28">
        <f>VLOOKUP(U1234,Sheet1!$B$6:$C$45,2,FALSE)*V1234</f>
        <v>0</v>
      </c>
      <c r="X1234" s="59"/>
      <c r="Y1234" s="12" t="s">
        <v>293</v>
      </c>
      <c r="Z1234" s="68">
        <f>VLOOKUP(Takeoffs!Y1234,Sheet1!$B$6:$C$124,2,FALSE)</f>
        <v>0</v>
      </c>
      <c r="AA1234" s="68">
        <f t="shared" si="562"/>
        <v>0</v>
      </c>
      <c r="AB1234" s="63">
        <f t="shared" si="563"/>
        <v>1</v>
      </c>
      <c r="AC1234" s="28">
        <f t="shared" si="569"/>
        <v>1</v>
      </c>
      <c r="AD1234" s="61">
        <v>1</v>
      </c>
      <c r="AE1234" s="59"/>
      <c r="AF1234" s="12" t="s">
        <v>293</v>
      </c>
      <c r="AG1234" s="68">
        <f>VLOOKUP(Takeoffs!AF1234,Sheet1!$B$6:$C$124,2,FALSE)</f>
        <v>0</v>
      </c>
      <c r="AH1234" s="68">
        <f t="shared" si="564"/>
        <v>0</v>
      </c>
      <c r="AI1234" s="63">
        <f t="shared" si="565"/>
        <v>0</v>
      </c>
      <c r="AJ1234" s="28">
        <f t="shared" si="566"/>
        <v>1</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1</v>
      </c>
      <c r="T1235" s="11"/>
      <c r="U1235" s="12" t="s">
        <v>293</v>
      </c>
      <c r="V1235" s="28">
        <f t="shared" si="561"/>
        <v>1</v>
      </c>
      <c r="W1235" s="28">
        <f>VLOOKUP(U1235,Sheet1!$B$6:$C$45,2,FALSE)*V1235</f>
        <v>0</v>
      </c>
      <c r="X1235" s="59"/>
      <c r="Y1235" s="12" t="s">
        <v>293</v>
      </c>
      <c r="Z1235" s="68">
        <f>VLOOKUP(Takeoffs!Y1235,Sheet1!$B$6:$C$124,2,FALSE)</f>
        <v>0</v>
      </c>
      <c r="AA1235" s="68">
        <f t="shared" si="562"/>
        <v>0</v>
      </c>
      <c r="AB1235" s="63">
        <f t="shared" si="563"/>
        <v>1</v>
      </c>
      <c r="AC1235" s="28">
        <f t="shared" si="569"/>
        <v>1</v>
      </c>
      <c r="AD1235" s="61">
        <v>1</v>
      </c>
      <c r="AE1235" s="59"/>
      <c r="AF1235" s="12" t="s">
        <v>293</v>
      </c>
      <c r="AG1235" s="68">
        <f>VLOOKUP(Takeoffs!AF1235,Sheet1!$B$6:$C$124,2,FALSE)</f>
        <v>0</v>
      </c>
      <c r="AH1235" s="68">
        <f t="shared" si="564"/>
        <v>0</v>
      </c>
      <c r="AI1235" s="63">
        <f t="shared" si="565"/>
        <v>0</v>
      </c>
      <c r="AJ1235" s="28">
        <f t="shared" si="566"/>
        <v>1</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1</v>
      </c>
      <c r="T1236" s="11"/>
      <c r="U1236" s="12" t="s">
        <v>293</v>
      </c>
      <c r="V1236" s="28">
        <f t="shared" si="561"/>
        <v>1</v>
      </c>
      <c r="W1236" s="28">
        <f>VLOOKUP(U1236,Sheet1!$B$6:$C$45,2,FALSE)*V1236</f>
        <v>0</v>
      </c>
      <c r="X1236" s="59"/>
      <c r="Y1236" s="12" t="s">
        <v>293</v>
      </c>
      <c r="Z1236" s="68">
        <f>VLOOKUP(Takeoffs!Y1236,Sheet1!$B$6:$C$124,2,FALSE)</f>
        <v>0</v>
      </c>
      <c r="AA1236" s="68">
        <f t="shared" si="562"/>
        <v>0</v>
      </c>
      <c r="AB1236" s="63">
        <f t="shared" si="563"/>
        <v>1</v>
      </c>
      <c r="AC1236" s="28">
        <f t="shared" si="569"/>
        <v>1</v>
      </c>
      <c r="AD1236" s="61">
        <v>1</v>
      </c>
      <c r="AE1236" s="59"/>
      <c r="AF1236" s="12" t="s">
        <v>293</v>
      </c>
      <c r="AG1236" s="68">
        <f>VLOOKUP(Takeoffs!AF1236,Sheet1!$B$6:$C$124,2,FALSE)</f>
        <v>0</v>
      </c>
      <c r="AH1236" s="68">
        <f t="shared" si="564"/>
        <v>0</v>
      </c>
      <c r="AI1236" s="63">
        <f t="shared" si="565"/>
        <v>0</v>
      </c>
      <c r="AJ1236" s="28">
        <f t="shared" si="566"/>
        <v>1</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1</v>
      </c>
      <c r="T1237" s="11"/>
      <c r="U1237" s="12" t="s">
        <v>293</v>
      </c>
      <c r="V1237" s="28">
        <f t="shared" si="561"/>
        <v>1</v>
      </c>
      <c r="W1237" s="28">
        <f>VLOOKUP(U1237,Sheet1!$B$6:$C$45,2,FALSE)*V1237</f>
        <v>0</v>
      </c>
      <c r="X1237" s="59"/>
      <c r="Y1237" s="12" t="s">
        <v>293</v>
      </c>
      <c r="Z1237" s="68">
        <f>VLOOKUP(Takeoffs!Y1237,Sheet1!$B$6:$C$124,2,FALSE)</f>
        <v>0</v>
      </c>
      <c r="AA1237" s="68">
        <f t="shared" si="562"/>
        <v>0</v>
      </c>
      <c r="AB1237" s="63">
        <f t="shared" si="563"/>
        <v>1</v>
      </c>
      <c r="AC1237" s="28">
        <f t="shared" si="569"/>
        <v>1</v>
      </c>
      <c r="AD1237" s="61">
        <v>1</v>
      </c>
      <c r="AE1237" s="59"/>
      <c r="AF1237" s="12" t="s">
        <v>293</v>
      </c>
      <c r="AG1237" s="68">
        <f>VLOOKUP(Takeoffs!AF1237,Sheet1!$B$6:$C$124,2,FALSE)</f>
        <v>0</v>
      </c>
      <c r="AH1237" s="68">
        <f t="shared" si="564"/>
        <v>0</v>
      </c>
      <c r="AI1237" s="63">
        <f t="shared" si="565"/>
        <v>0</v>
      </c>
      <c r="AJ1237" s="28">
        <f t="shared" si="566"/>
        <v>1</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1</v>
      </c>
      <c r="T1238" s="11"/>
      <c r="U1238" s="12" t="s">
        <v>293</v>
      </c>
      <c r="V1238" s="28">
        <f t="shared" si="561"/>
        <v>1</v>
      </c>
      <c r="W1238" s="28">
        <f>VLOOKUP(U1238,Sheet1!$B$6:$C$45,2,FALSE)*V1238</f>
        <v>0</v>
      </c>
      <c r="X1238" s="59"/>
      <c r="Y1238" s="12" t="s">
        <v>293</v>
      </c>
      <c r="Z1238" s="68">
        <f>VLOOKUP(Takeoffs!Y1238,Sheet1!$B$6:$C$124,2,FALSE)</f>
        <v>0</v>
      </c>
      <c r="AA1238" s="68">
        <f t="shared" si="562"/>
        <v>0</v>
      </c>
      <c r="AB1238" s="63">
        <f t="shared" si="563"/>
        <v>1</v>
      </c>
      <c r="AC1238" s="28">
        <f t="shared" si="569"/>
        <v>1</v>
      </c>
      <c r="AD1238" s="61">
        <v>1</v>
      </c>
      <c r="AE1238" s="59"/>
      <c r="AF1238" s="12" t="s">
        <v>293</v>
      </c>
      <c r="AG1238" s="68">
        <f>VLOOKUP(Takeoffs!AF1238,Sheet1!$B$6:$C$124,2,FALSE)</f>
        <v>0</v>
      </c>
      <c r="AH1238" s="68">
        <f t="shared" si="564"/>
        <v>0</v>
      </c>
      <c r="AI1238" s="63">
        <f t="shared" si="565"/>
        <v>0</v>
      </c>
      <c r="AJ1238" s="28">
        <f t="shared" si="566"/>
        <v>1</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1</v>
      </c>
      <c r="T1239" s="11"/>
      <c r="U1239" s="12" t="s">
        <v>293</v>
      </c>
      <c r="V1239" s="28">
        <f t="shared" si="561"/>
        <v>1</v>
      </c>
      <c r="W1239" s="28">
        <f>VLOOKUP(U1239,Sheet1!$B$6:$C$45,2,FALSE)*V1239</f>
        <v>0</v>
      </c>
      <c r="X1239" s="59"/>
      <c r="Y1239" s="12" t="s">
        <v>293</v>
      </c>
      <c r="Z1239" s="68">
        <f>VLOOKUP(Takeoffs!Y1239,Sheet1!$B$6:$C$124,2,FALSE)</f>
        <v>0</v>
      </c>
      <c r="AA1239" s="68">
        <f t="shared" si="562"/>
        <v>0</v>
      </c>
      <c r="AB1239" s="63">
        <f t="shared" si="563"/>
        <v>1</v>
      </c>
      <c r="AC1239" s="28">
        <f t="shared" si="569"/>
        <v>1</v>
      </c>
      <c r="AD1239" s="61">
        <v>1</v>
      </c>
      <c r="AE1239" s="59"/>
      <c r="AF1239" s="12" t="s">
        <v>293</v>
      </c>
      <c r="AG1239" s="68">
        <f>VLOOKUP(Takeoffs!AF1239,Sheet1!$B$6:$C$124,2,FALSE)</f>
        <v>0</v>
      </c>
      <c r="AH1239" s="68">
        <f t="shared" si="564"/>
        <v>0</v>
      </c>
      <c r="AI1239" s="63">
        <f t="shared" si="565"/>
        <v>0</v>
      </c>
      <c r="AJ1239" s="28">
        <f t="shared" si="566"/>
        <v>1</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1</v>
      </c>
      <c r="T1240" s="11"/>
      <c r="U1240" s="12" t="s">
        <v>293</v>
      </c>
      <c r="V1240" s="28">
        <f t="shared" si="561"/>
        <v>1</v>
      </c>
      <c r="W1240" s="28">
        <f>VLOOKUP(U1240,Sheet1!$B$6:$C$45,2,FALSE)*V1240</f>
        <v>0</v>
      </c>
      <c r="X1240" s="59"/>
      <c r="Y1240" s="12" t="s">
        <v>293</v>
      </c>
      <c r="Z1240" s="68">
        <f>VLOOKUP(Takeoffs!Y1240,Sheet1!$B$6:$C$124,2,FALSE)</f>
        <v>0</v>
      </c>
      <c r="AA1240" s="68">
        <f t="shared" si="562"/>
        <v>0</v>
      </c>
      <c r="AB1240" s="63">
        <f t="shared" si="563"/>
        <v>1</v>
      </c>
      <c r="AC1240" s="28">
        <f t="shared" si="569"/>
        <v>1</v>
      </c>
      <c r="AD1240" s="61">
        <v>1</v>
      </c>
      <c r="AE1240" s="59"/>
      <c r="AF1240" s="12" t="s">
        <v>293</v>
      </c>
      <c r="AG1240" s="68">
        <f>VLOOKUP(Takeoffs!AF1240,Sheet1!$B$6:$C$124,2,FALSE)</f>
        <v>0</v>
      </c>
      <c r="AH1240" s="68">
        <f t="shared" si="564"/>
        <v>0</v>
      </c>
      <c r="AI1240" s="63">
        <f t="shared" si="565"/>
        <v>0</v>
      </c>
      <c r="AJ1240" s="28">
        <f t="shared" si="566"/>
        <v>1</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1</v>
      </c>
      <c r="T1241" s="11"/>
      <c r="U1241" s="12" t="s">
        <v>293</v>
      </c>
      <c r="V1241" s="28">
        <f t="shared" si="561"/>
        <v>1</v>
      </c>
      <c r="W1241" s="28">
        <f>VLOOKUP(U1241,Sheet1!$B$6:$C$45,2,FALSE)*V1241</f>
        <v>0</v>
      </c>
      <c r="X1241" s="59"/>
      <c r="Y1241" s="12" t="s">
        <v>293</v>
      </c>
      <c r="Z1241" s="68">
        <f>VLOOKUP(Takeoffs!Y1241,Sheet1!$B$6:$C$124,2,FALSE)</f>
        <v>0</v>
      </c>
      <c r="AA1241" s="68">
        <f t="shared" si="562"/>
        <v>0</v>
      </c>
      <c r="AB1241" s="63">
        <f t="shared" si="563"/>
        <v>1</v>
      </c>
      <c r="AC1241" s="28">
        <f t="shared" si="569"/>
        <v>1</v>
      </c>
      <c r="AD1241" s="61">
        <v>1</v>
      </c>
      <c r="AE1241" s="59"/>
      <c r="AF1241" s="12" t="s">
        <v>293</v>
      </c>
      <c r="AG1241" s="68">
        <f>VLOOKUP(Takeoffs!AF1241,Sheet1!$B$6:$C$124,2,FALSE)</f>
        <v>0</v>
      </c>
      <c r="AH1241" s="68">
        <f t="shared" si="564"/>
        <v>0</v>
      </c>
      <c r="AI1241" s="63">
        <f t="shared" si="565"/>
        <v>0</v>
      </c>
      <c r="AJ1241" s="28">
        <f t="shared" si="566"/>
        <v>1</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1</v>
      </c>
      <c r="T1242" s="11"/>
      <c r="U1242" s="12" t="s">
        <v>293</v>
      </c>
      <c r="V1242" s="28">
        <f t="shared" si="561"/>
        <v>1</v>
      </c>
      <c r="W1242" s="28">
        <f>VLOOKUP(U1242,Sheet1!$B$6:$C$45,2,FALSE)*V1242</f>
        <v>0</v>
      </c>
      <c r="X1242" s="59"/>
      <c r="Y1242" s="12" t="s">
        <v>293</v>
      </c>
      <c r="Z1242" s="68">
        <f>VLOOKUP(Takeoffs!Y1242,Sheet1!$B$6:$C$124,2,FALSE)</f>
        <v>0</v>
      </c>
      <c r="AA1242" s="68">
        <f t="shared" si="562"/>
        <v>0</v>
      </c>
      <c r="AB1242" s="63">
        <f t="shared" si="563"/>
        <v>1</v>
      </c>
      <c r="AC1242" s="28">
        <f t="shared" si="569"/>
        <v>1</v>
      </c>
      <c r="AD1242" s="61">
        <v>1</v>
      </c>
      <c r="AE1242" s="59"/>
      <c r="AF1242" s="12" t="s">
        <v>293</v>
      </c>
      <c r="AG1242" s="68">
        <f>VLOOKUP(Takeoffs!AF1242,Sheet1!$B$6:$C$124,2,FALSE)</f>
        <v>0</v>
      </c>
      <c r="AH1242" s="68">
        <f t="shared" si="564"/>
        <v>0</v>
      </c>
      <c r="AI1242" s="63">
        <f t="shared" si="565"/>
        <v>0</v>
      </c>
      <c r="AJ1242" s="28">
        <f t="shared" si="566"/>
        <v>1</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379</v>
      </c>
      <c r="L1243" s="21" t="s">
        <v>380</v>
      </c>
      <c r="N1243" s="22"/>
      <c r="O1243" s="23" t="s">
        <v>359</v>
      </c>
      <c r="P1243" s="82">
        <f>V1243+AA1243+AH1243</f>
        <v>43.48</v>
      </c>
      <c r="Q1243" s="24"/>
      <c r="R1243" s="24"/>
      <c r="S1243" s="23"/>
      <c r="T1243" s="20"/>
      <c r="U1243" s="19" t="s">
        <v>353</v>
      </c>
      <c r="V1243" s="20">
        <f>W1243*80</f>
        <v>40</v>
      </c>
      <c r="W1243" s="69">
        <f>SUM(W1222:W1242)</f>
        <v>0.5</v>
      </c>
      <c r="X1243" s="70"/>
      <c r="Y1243" s="20" t="s">
        <v>354</v>
      </c>
      <c r="Z1243" s="2"/>
      <c r="AA1243" s="2">
        <f>SUM(AA1222:AA1242)</f>
        <v>0</v>
      </c>
      <c r="AB1243" s="71"/>
      <c r="AC1243" s="71"/>
      <c r="AD1243" s="71"/>
      <c r="AE1243" s="71"/>
      <c r="AF1243" s="20" t="s">
        <v>358</v>
      </c>
      <c r="AG1243" s="2"/>
      <c r="AH1243" s="2">
        <f>SUM(AH1222:AH1242)</f>
        <v>3.48</v>
      </c>
      <c r="AI1243" s="71"/>
      <c r="AJ1243" s="71"/>
      <c r="AK1243" s="71"/>
      <c r="AL1243" s="71"/>
      <c r="AM1243" s="150">
        <f>P1243</f>
        <v>43.48</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494</v>
      </c>
      <c r="C1244" s="217" t="str">
        <f>N1222</f>
        <v>VRF outdoor units</v>
      </c>
      <c r="D1244" s="260" t="s">
        <v>682</v>
      </c>
      <c r="E1244" s="238"/>
      <c r="F1244" s="217"/>
      <c r="G1244" s="217"/>
      <c r="H1244" s="245"/>
      <c r="I1244" s="270">
        <v>1</v>
      </c>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one (1) VRF outdoor units. This includes supply and install of cabling from electricians isolator to unit. Coordination Note: - Builder's Electrician : Please refer to our exclusions relating to local power supply and isolator for apartment condenser units. </v>
      </c>
      <c r="K1244" s="246">
        <f>P1243</f>
        <v>43.48</v>
      </c>
      <c r="L1244" s="234" t="str">
        <f>CONCATENATE(Q1223,Q1224,Q1225,Q1226,Q1227,Q1228,Q1229,Q1230,Q1231,Q1232,Q1233,Q1234,Q1235,Q1236,Q1237,Q1238,Q1239,Q1240,Q1241,Q1242,)</f>
        <v xml:space="preserve">local power supply and isolator for apartment condenser units. </v>
      </c>
      <c r="M1244" s="91" t="s">
        <v>369</v>
      </c>
      <c r="N1244" s="83" t="str">
        <f>N1222</f>
        <v>VRF outdoor units</v>
      </c>
      <c r="O1244" s="83" t="s">
        <v>367</v>
      </c>
      <c r="P1244" s="84">
        <f>P1243/M1222</f>
        <v>43.48</v>
      </c>
      <c r="Q1244" s="84"/>
      <c r="R1244" s="84"/>
      <c r="S1244" s="83"/>
      <c r="T1244" s="84"/>
      <c r="U1244" s="327" t="s">
        <v>368</v>
      </c>
      <c r="V1244" s="327"/>
      <c r="W1244" s="85">
        <f>W1243/M1222</f>
        <v>0.5</v>
      </c>
      <c r="X1244" s="86"/>
      <c r="Y1244" s="325" t="s">
        <v>367</v>
      </c>
      <c r="Z1244" s="325"/>
      <c r="AA1244" s="87">
        <f>AA1243/M1222</f>
        <v>0</v>
      </c>
      <c r="AB1244" s="84"/>
      <c r="AC1244" s="84"/>
      <c r="AD1244" s="84"/>
      <c r="AE1244" s="84"/>
      <c r="AF1244" s="325" t="s">
        <v>367</v>
      </c>
      <c r="AG1244" s="325"/>
      <c r="AH1244" s="87">
        <f>AH1243/M1222</f>
        <v>3.48</v>
      </c>
      <c r="AI1244" s="84"/>
      <c r="AJ1244" s="84"/>
      <c r="AK1244" s="84"/>
      <c r="AL1244" s="247"/>
      <c r="AM1244" s="257"/>
      <c r="AN1244" s="236">
        <f>K1244*1.25</f>
        <v>54.349999999999994</v>
      </c>
      <c r="AO1244" s="286"/>
      <c r="AP1244" s="284">
        <f t="shared" si="570"/>
        <v>43.48</v>
      </c>
      <c r="AQ1244" s="281">
        <f t="shared" si="571"/>
        <v>40</v>
      </c>
      <c r="AR1244" s="284">
        <f t="shared" si="572"/>
        <v>0</v>
      </c>
      <c r="AS1244" s="281">
        <f t="shared" si="573"/>
        <v>3.48</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454</v>
      </c>
      <c r="M1245" s="116" t="s">
        <v>299</v>
      </c>
      <c r="N1245" s="116" t="s">
        <v>108</v>
      </c>
      <c r="O1245" s="170" t="s">
        <v>388</v>
      </c>
      <c r="P1245" s="326" t="s">
        <v>377</v>
      </c>
      <c r="Q1245" s="326"/>
      <c r="R1245" s="101" t="s">
        <v>454</v>
      </c>
      <c r="S1245" s="116" t="s">
        <v>0</v>
      </c>
      <c r="T1245" s="118"/>
      <c r="U1245" s="116" t="s">
        <v>288</v>
      </c>
      <c r="V1245" s="116" t="s">
        <v>289</v>
      </c>
      <c r="W1245" s="116" t="s">
        <v>292</v>
      </c>
      <c r="X1245" s="140"/>
      <c r="Y1245" s="116" t="s">
        <v>290</v>
      </c>
      <c r="Z1245" s="116" t="s">
        <v>356</v>
      </c>
      <c r="AA1245" s="116" t="s">
        <v>357</v>
      </c>
      <c r="AB1245" s="116" t="s">
        <v>319</v>
      </c>
      <c r="AC1245" s="116" t="s">
        <v>320</v>
      </c>
      <c r="AD1245" s="116" t="s">
        <v>318</v>
      </c>
      <c r="AE1245" s="140"/>
      <c r="AF1245" s="116" t="s">
        <v>294</v>
      </c>
      <c r="AG1245" s="116" t="s">
        <v>356</v>
      </c>
      <c r="AH1245" s="116" t="s">
        <v>357</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one</v>
      </c>
      <c r="M1246" s="121">
        <f>I1268</f>
        <v>1</v>
      </c>
      <c r="N1246" s="132" t="s">
        <v>595</v>
      </c>
      <c r="O1246" s="121" t="s">
        <v>138</v>
      </c>
      <c r="P1246" s="169" t="s">
        <v>381</v>
      </c>
      <c r="Q1246" s="169" t="s">
        <v>377</v>
      </c>
      <c r="R1246" s="169"/>
      <c r="S1246" s="133">
        <f>M1246</f>
        <v>1</v>
      </c>
      <c r="T1246" s="119"/>
      <c r="U1246" s="121" t="s">
        <v>293</v>
      </c>
      <c r="V1246" s="133">
        <f>S1246</f>
        <v>1</v>
      </c>
      <c r="W1246" s="133">
        <f>VLOOKUP(U1246,Sheet1!$B$6:$C$45,2,FALSE)*V1246</f>
        <v>0</v>
      </c>
      <c r="X1246" s="141"/>
      <c r="Y1246" s="121" t="s">
        <v>293</v>
      </c>
      <c r="Z1246" s="146">
        <f>VLOOKUP(Takeoffs!Y1246,Sheet1!$B$6:$C$124,2,FALSE)</f>
        <v>0</v>
      </c>
      <c r="AA1246" s="146">
        <f>Z1246*AB1246</f>
        <v>0</v>
      </c>
      <c r="AB1246" s="143">
        <f>AD1246*AC1246</f>
        <v>1</v>
      </c>
      <c r="AC1246" s="133">
        <f>S1246</f>
        <v>1</v>
      </c>
      <c r="AD1246" s="142">
        <v>1</v>
      </c>
      <c r="AE1246" s="141"/>
      <c r="AF1246" s="121" t="s">
        <v>293</v>
      </c>
      <c r="AG1246" s="146">
        <f>VLOOKUP(Takeoffs!AF1246,Sheet1!$B$6:$C$124,2,FALSE)</f>
        <v>0</v>
      </c>
      <c r="AH1246" s="146">
        <f>AG1246*AI1246</f>
        <v>0</v>
      </c>
      <c r="AI1246" s="143">
        <f>AK1246*AJ1246</f>
        <v>0</v>
      </c>
      <c r="AJ1246" s="133">
        <f>S1246</f>
        <v>1</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596</v>
      </c>
      <c r="Q1247" s="66" t="s">
        <v>428</v>
      </c>
      <c r="R1247" s="121"/>
      <c r="S1247" s="133">
        <f>M1246</f>
        <v>1</v>
      </c>
      <c r="T1247" s="120"/>
      <c r="U1247" s="121" t="s">
        <v>293</v>
      </c>
      <c r="V1247" s="133">
        <f t="shared" ref="V1247:V1266" si="575">S1247</f>
        <v>1</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1</v>
      </c>
      <c r="AC1247" s="133">
        <f t="shared" ref="AC1247:AC1266" si="578">S1247</f>
        <v>1</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1</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1</v>
      </c>
      <c r="T1248" s="120"/>
      <c r="U1248" s="121" t="s">
        <v>293</v>
      </c>
      <c r="V1248" s="133">
        <f t="shared" si="575"/>
        <v>1</v>
      </c>
      <c r="W1248" s="133">
        <f>VLOOKUP(U1248,Sheet1!$B$6:$C$45,2,FALSE)*V1248</f>
        <v>0</v>
      </c>
      <c r="X1248" s="141"/>
      <c r="Y1248" s="121" t="s">
        <v>293</v>
      </c>
      <c r="Z1248" s="146">
        <f>VLOOKUP(Takeoffs!Y1248,Sheet1!$B$6:$C$124,2,FALSE)</f>
        <v>0</v>
      </c>
      <c r="AA1248" s="146">
        <f t="shared" si="576"/>
        <v>0</v>
      </c>
      <c r="AB1248" s="143">
        <f t="shared" si="577"/>
        <v>1</v>
      </c>
      <c r="AC1248" s="133">
        <f t="shared" si="578"/>
        <v>1</v>
      </c>
      <c r="AD1248" s="142">
        <v>1</v>
      </c>
      <c r="AE1248" s="141"/>
      <c r="AF1248" s="121" t="s">
        <v>293</v>
      </c>
      <c r="AG1248" s="146">
        <f>VLOOKUP(Takeoffs!AF1248,Sheet1!$B$6:$C$124,2,FALSE)</f>
        <v>0</v>
      </c>
      <c r="AH1248" s="146">
        <f t="shared" si="579"/>
        <v>0</v>
      </c>
      <c r="AI1248" s="143">
        <f t="shared" si="580"/>
        <v>0</v>
      </c>
      <c r="AJ1248" s="133">
        <f t="shared" si="581"/>
        <v>1</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596</v>
      </c>
      <c r="Q1249" s="66" t="s">
        <v>415</v>
      </c>
      <c r="R1249" s="121"/>
      <c r="S1249" s="133">
        <f>M1246</f>
        <v>1</v>
      </c>
      <c r="T1249" s="120"/>
      <c r="U1249" s="121" t="s">
        <v>293</v>
      </c>
      <c r="V1249" s="133">
        <f t="shared" si="575"/>
        <v>1</v>
      </c>
      <c r="W1249" s="133">
        <f>VLOOKUP(U1249,Sheet1!$B$6:$C$45,2,FALSE)*V1249</f>
        <v>0</v>
      </c>
      <c r="X1249" s="141"/>
      <c r="Y1249" s="121" t="s">
        <v>293</v>
      </c>
      <c r="Z1249" s="146">
        <f>VLOOKUP(Takeoffs!Y1249,Sheet1!$B$6:$C$124,2,FALSE)</f>
        <v>0</v>
      </c>
      <c r="AA1249" s="146">
        <f t="shared" si="576"/>
        <v>0</v>
      </c>
      <c r="AB1249" s="143">
        <f t="shared" si="577"/>
        <v>1</v>
      </c>
      <c r="AC1249" s="133">
        <f t="shared" si="578"/>
        <v>1</v>
      </c>
      <c r="AD1249" s="142">
        <v>1</v>
      </c>
      <c r="AE1249" s="141"/>
      <c r="AF1249" s="121" t="s">
        <v>293</v>
      </c>
      <c r="AG1249" s="146">
        <f>VLOOKUP(Takeoffs!AF1249,Sheet1!$B$6:$C$124,2,FALSE)</f>
        <v>0</v>
      </c>
      <c r="AH1249" s="146">
        <f t="shared" si="579"/>
        <v>0</v>
      </c>
      <c r="AI1249" s="143">
        <f t="shared" si="580"/>
        <v>0</v>
      </c>
      <c r="AJ1249" s="133">
        <f t="shared" si="581"/>
        <v>1</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596</v>
      </c>
      <c r="Q1250" s="121" t="s">
        <v>597</v>
      </c>
      <c r="R1250" s="121"/>
      <c r="S1250" s="133">
        <f>M1246</f>
        <v>1</v>
      </c>
      <c r="T1250" s="120"/>
      <c r="U1250" s="121" t="s">
        <v>293</v>
      </c>
      <c r="V1250" s="133">
        <f t="shared" si="575"/>
        <v>1</v>
      </c>
      <c r="W1250" s="133">
        <f>VLOOKUP(U1250,Sheet1!$B$6:$C$45,2,FALSE)*V1250</f>
        <v>0</v>
      </c>
      <c r="X1250" s="141"/>
      <c r="Y1250" s="121" t="s">
        <v>293</v>
      </c>
      <c r="Z1250" s="146">
        <f>VLOOKUP(Takeoffs!Y1250,Sheet1!$B$6:$C$124,2,FALSE)</f>
        <v>0</v>
      </c>
      <c r="AA1250" s="146">
        <f t="shared" si="576"/>
        <v>0</v>
      </c>
      <c r="AB1250" s="143">
        <f t="shared" si="577"/>
        <v>1</v>
      </c>
      <c r="AC1250" s="133">
        <f t="shared" si="578"/>
        <v>1</v>
      </c>
      <c r="AD1250" s="142">
        <v>1</v>
      </c>
      <c r="AE1250" s="141"/>
      <c r="AF1250" s="121" t="s">
        <v>293</v>
      </c>
      <c r="AG1250" s="146">
        <f>VLOOKUP(Takeoffs!AF1250,Sheet1!$B$6:$C$124,2,FALSE)</f>
        <v>0</v>
      </c>
      <c r="AH1250" s="146">
        <f t="shared" si="579"/>
        <v>0</v>
      </c>
      <c r="AI1250" s="143">
        <f t="shared" si="580"/>
        <v>0</v>
      </c>
      <c r="AJ1250" s="133">
        <f t="shared" si="581"/>
        <v>1</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1</v>
      </c>
      <c r="T1251" s="120"/>
      <c r="U1251" s="121" t="s">
        <v>293</v>
      </c>
      <c r="V1251" s="133">
        <f t="shared" si="575"/>
        <v>1</v>
      </c>
      <c r="W1251" s="133">
        <f>VLOOKUP(U1251,Sheet1!$B$6:$C$45,2,FALSE)*V1251</f>
        <v>0</v>
      </c>
      <c r="X1251" s="141"/>
      <c r="Y1251" s="52" t="s">
        <v>253</v>
      </c>
      <c r="Z1251" s="146">
        <f>VLOOKUP(Takeoffs!Y1251,Sheet1!$B$6:$C$124,2,FALSE)</f>
        <v>10.139999999999999</v>
      </c>
      <c r="AA1251" s="146">
        <f t="shared" si="576"/>
        <v>10.139999999999999</v>
      </c>
      <c r="AB1251" s="143">
        <f t="shared" si="577"/>
        <v>1</v>
      </c>
      <c r="AC1251" s="133">
        <f t="shared" si="578"/>
        <v>1</v>
      </c>
      <c r="AD1251" s="142">
        <v>1</v>
      </c>
      <c r="AE1251" s="141"/>
      <c r="AF1251" s="121" t="s">
        <v>293</v>
      </c>
      <c r="AG1251" s="146">
        <f>VLOOKUP(Takeoffs!AF1251,Sheet1!$B$6:$C$124,2,FALSE)</f>
        <v>0</v>
      </c>
      <c r="AH1251" s="146">
        <f t="shared" si="579"/>
        <v>0</v>
      </c>
      <c r="AI1251" s="143">
        <f t="shared" si="580"/>
        <v>0</v>
      </c>
      <c r="AJ1251" s="133">
        <f t="shared" si="581"/>
        <v>1</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607</v>
      </c>
      <c r="P1252" s="121" t="s">
        <v>596</v>
      </c>
      <c r="Q1252" s="121" t="s">
        <v>606</v>
      </c>
      <c r="R1252" s="121"/>
      <c r="S1252" s="133">
        <f>M1246</f>
        <v>1</v>
      </c>
      <c r="T1252" s="120"/>
      <c r="U1252" s="121" t="s">
        <v>293</v>
      </c>
      <c r="V1252" s="133">
        <f t="shared" si="575"/>
        <v>1</v>
      </c>
      <c r="W1252" s="133">
        <f>VLOOKUP(U1252,Sheet1!$B$6:$C$45,2,FALSE)*V1252</f>
        <v>0</v>
      </c>
      <c r="X1252" s="141"/>
      <c r="Y1252" s="121" t="s">
        <v>424</v>
      </c>
      <c r="Z1252" s="146">
        <f>VLOOKUP(Takeoffs!Y1252,Sheet1!$B$6:$C$124,2,FALSE)</f>
        <v>23.4</v>
      </c>
      <c r="AA1252" s="146">
        <f t="shared" si="576"/>
        <v>23.4</v>
      </c>
      <c r="AB1252" s="143">
        <f t="shared" si="577"/>
        <v>1</v>
      </c>
      <c r="AC1252" s="133">
        <f t="shared" si="578"/>
        <v>1</v>
      </c>
      <c r="AD1252" s="142">
        <v>1</v>
      </c>
      <c r="AE1252" s="141"/>
      <c r="AF1252" s="121" t="s">
        <v>293</v>
      </c>
      <c r="AG1252" s="146">
        <f>VLOOKUP(Takeoffs!AF1252,Sheet1!$B$6:$C$124,2,FALSE)</f>
        <v>0</v>
      </c>
      <c r="AH1252" s="146">
        <f t="shared" si="579"/>
        <v>0</v>
      </c>
      <c r="AI1252" s="143">
        <f t="shared" si="580"/>
        <v>0</v>
      </c>
      <c r="AJ1252" s="133">
        <f t="shared" si="581"/>
        <v>1</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601</v>
      </c>
      <c r="P1253" s="121" t="s">
        <v>596</v>
      </c>
      <c r="Q1253" s="121" t="s">
        <v>605</v>
      </c>
      <c r="R1253" s="121"/>
      <c r="S1253" s="133">
        <f>M1246</f>
        <v>1</v>
      </c>
      <c r="T1253" s="120"/>
      <c r="U1253" s="121" t="s">
        <v>293</v>
      </c>
      <c r="V1253" s="133">
        <f t="shared" si="575"/>
        <v>1</v>
      </c>
      <c r="W1253" s="133">
        <f>VLOOKUP(U1253,Sheet1!$B$6:$C$45,2,FALSE)*V1253</f>
        <v>0</v>
      </c>
      <c r="X1253" s="141"/>
      <c r="Y1253" s="121" t="s">
        <v>293</v>
      </c>
      <c r="Z1253" s="146">
        <f>VLOOKUP(Takeoffs!Y1253,Sheet1!$B$6:$C$124,2,FALSE)</f>
        <v>0</v>
      </c>
      <c r="AA1253" s="146">
        <f t="shared" si="576"/>
        <v>0</v>
      </c>
      <c r="AB1253" s="143">
        <f t="shared" si="577"/>
        <v>1</v>
      </c>
      <c r="AC1253" s="133">
        <f t="shared" si="578"/>
        <v>1</v>
      </c>
      <c r="AD1253" s="142">
        <v>1</v>
      </c>
      <c r="AE1253" s="141"/>
      <c r="AF1253" s="121" t="s">
        <v>293</v>
      </c>
      <c r="AG1253" s="146">
        <f>VLOOKUP(Takeoffs!AF1253,Sheet1!$B$6:$C$124,2,FALSE)</f>
        <v>0</v>
      </c>
      <c r="AH1253" s="146">
        <f t="shared" si="579"/>
        <v>0</v>
      </c>
      <c r="AI1253" s="143">
        <f t="shared" si="580"/>
        <v>0</v>
      </c>
      <c r="AJ1253" s="133">
        <f t="shared" si="581"/>
        <v>1</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598</v>
      </c>
      <c r="P1254" s="121" t="s">
        <v>449</v>
      </c>
      <c r="Q1254" s="121" t="s">
        <v>604</v>
      </c>
      <c r="R1254" s="121"/>
      <c r="S1254" s="133">
        <f>M1246</f>
        <v>1</v>
      </c>
      <c r="T1254" s="120"/>
      <c r="U1254" s="117" t="s">
        <v>365</v>
      </c>
      <c r="V1254" s="133">
        <f t="shared" si="575"/>
        <v>1</v>
      </c>
      <c r="W1254" s="133">
        <f>VLOOKUP(U1254,Sheet1!$B$6:$C$45,2,FALSE)*V1254</f>
        <v>1</v>
      </c>
      <c r="X1254" s="141"/>
      <c r="Y1254" s="135" t="s">
        <v>280</v>
      </c>
      <c r="Z1254" s="146">
        <f>VLOOKUP(Takeoffs!Y1254,Sheet1!$B$6:$C$124,2,FALSE)</f>
        <v>19.2</v>
      </c>
      <c r="AA1254" s="146">
        <f t="shared" si="576"/>
        <v>19.2</v>
      </c>
      <c r="AB1254" s="143">
        <f t="shared" si="577"/>
        <v>1</v>
      </c>
      <c r="AC1254" s="133">
        <f t="shared" si="578"/>
        <v>1</v>
      </c>
      <c r="AD1254" s="142">
        <v>1</v>
      </c>
      <c r="AE1254" s="141"/>
      <c r="AF1254" s="121" t="s">
        <v>293</v>
      </c>
      <c r="AG1254" s="146">
        <f>VLOOKUP(Takeoffs!AF1254,Sheet1!$B$6:$C$124,2,FALSE)</f>
        <v>0</v>
      </c>
      <c r="AH1254" s="146">
        <f t="shared" si="579"/>
        <v>0</v>
      </c>
      <c r="AI1254" s="143">
        <f t="shared" si="580"/>
        <v>0</v>
      </c>
      <c r="AJ1254" s="133">
        <f t="shared" si="581"/>
        <v>1</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599</v>
      </c>
      <c r="P1255" s="121"/>
      <c r="Q1255" s="121"/>
      <c r="R1255" s="121"/>
      <c r="S1255" s="133">
        <f>M1246</f>
        <v>1</v>
      </c>
      <c r="T1255" s="120"/>
      <c r="U1255" s="121" t="s">
        <v>293</v>
      </c>
      <c r="V1255" s="133">
        <f t="shared" si="575"/>
        <v>1</v>
      </c>
      <c r="W1255" s="133">
        <f>VLOOKUP(U1255,Sheet1!$B$6:$C$45,2,FALSE)*V1255</f>
        <v>0</v>
      </c>
      <c r="X1255" s="141"/>
      <c r="Y1255" s="121" t="s">
        <v>293</v>
      </c>
      <c r="Z1255" s="146">
        <f>VLOOKUP(Takeoffs!Y1255,Sheet1!$B$6:$C$124,2,FALSE)</f>
        <v>0</v>
      </c>
      <c r="AA1255" s="146">
        <f t="shared" si="576"/>
        <v>0</v>
      </c>
      <c r="AB1255" s="143">
        <f t="shared" si="577"/>
        <v>1</v>
      </c>
      <c r="AC1255" s="133">
        <f t="shared" si="578"/>
        <v>1</v>
      </c>
      <c r="AD1255" s="142">
        <v>1</v>
      </c>
      <c r="AE1255" s="141"/>
      <c r="AF1255" s="121" t="s">
        <v>293</v>
      </c>
      <c r="AG1255" s="146">
        <f>VLOOKUP(Takeoffs!AF1255,Sheet1!$B$6:$C$124,2,FALSE)</f>
        <v>0</v>
      </c>
      <c r="AH1255" s="146">
        <f t="shared" si="579"/>
        <v>0</v>
      </c>
      <c r="AI1255" s="143">
        <f t="shared" si="580"/>
        <v>0</v>
      </c>
      <c r="AJ1255" s="133">
        <f t="shared" si="581"/>
        <v>1</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600</v>
      </c>
      <c r="P1256" s="121"/>
      <c r="Q1256" s="121"/>
      <c r="R1256" s="121"/>
      <c r="S1256" s="133">
        <f>M1246</f>
        <v>1</v>
      </c>
      <c r="T1256" s="120"/>
      <c r="U1256" s="121" t="s">
        <v>293</v>
      </c>
      <c r="V1256" s="133">
        <f t="shared" si="575"/>
        <v>1</v>
      </c>
      <c r="W1256" s="133">
        <f>VLOOKUP(U1256,Sheet1!$B$6:$C$45,2,FALSE)*V1256</f>
        <v>0</v>
      </c>
      <c r="X1256" s="141"/>
      <c r="Y1256" s="121" t="s">
        <v>293</v>
      </c>
      <c r="Z1256" s="146">
        <f>VLOOKUP(Takeoffs!Y1256,Sheet1!$B$6:$C$124,2,FALSE)</f>
        <v>0</v>
      </c>
      <c r="AA1256" s="146">
        <f t="shared" si="576"/>
        <v>0</v>
      </c>
      <c r="AB1256" s="143">
        <f t="shared" si="577"/>
        <v>1</v>
      </c>
      <c r="AC1256" s="133">
        <f t="shared" si="578"/>
        <v>1</v>
      </c>
      <c r="AD1256" s="142">
        <v>1</v>
      </c>
      <c r="AE1256" s="141"/>
      <c r="AF1256" s="121" t="s">
        <v>293</v>
      </c>
      <c r="AG1256" s="146">
        <f>VLOOKUP(Takeoffs!AF1256,Sheet1!$B$6:$C$124,2,FALSE)</f>
        <v>0</v>
      </c>
      <c r="AH1256" s="146">
        <f t="shared" si="579"/>
        <v>0</v>
      </c>
      <c r="AI1256" s="143">
        <f t="shared" si="580"/>
        <v>0</v>
      </c>
      <c r="AJ1256" s="133">
        <f t="shared" si="581"/>
        <v>1</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1</v>
      </c>
      <c r="T1257" s="120"/>
      <c r="U1257" s="121" t="s">
        <v>293</v>
      </c>
      <c r="V1257" s="133">
        <f t="shared" si="575"/>
        <v>1</v>
      </c>
      <c r="W1257" s="133">
        <f>VLOOKUP(U1257,Sheet1!$B$6:$C$45,2,FALSE)*V1257</f>
        <v>0</v>
      </c>
      <c r="X1257" s="141"/>
      <c r="Y1257" s="121" t="s">
        <v>293</v>
      </c>
      <c r="Z1257" s="146">
        <f>VLOOKUP(Takeoffs!Y1257,Sheet1!$B$6:$C$124,2,FALSE)</f>
        <v>0</v>
      </c>
      <c r="AA1257" s="146">
        <f t="shared" si="576"/>
        <v>0</v>
      </c>
      <c r="AB1257" s="143">
        <f t="shared" si="577"/>
        <v>1</v>
      </c>
      <c r="AC1257" s="133">
        <f t="shared" si="578"/>
        <v>1</v>
      </c>
      <c r="AD1257" s="142">
        <v>1</v>
      </c>
      <c r="AE1257" s="141"/>
      <c r="AF1257" s="121" t="s">
        <v>293</v>
      </c>
      <c r="AG1257" s="146">
        <f>VLOOKUP(Takeoffs!AF1257,Sheet1!$B$6:$C$124,2,FALSE)</f>
        <v>0</v>
      </c>
      <c r="AH1257" s="146">
        <f t="shared" si="579"/>
        <v>0</v>
      </c>
      <c r="AI1257" s="143">
        <f t="shared" si="580"/>
        <v>0</v>
      </c>
      <c r="AJ1257" s="133">
        <f t="shared" si="581"/>
        <v>1</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596</v>
      </c>
      <c r="Q1258" s="121" t="s">
        <v>602</v>
      </c>
      <c r="R1258" s="121"/>
      <c r="S1258" s="133">
        <f>M1246</f>
        <v>1</v>
      </c>
      <c r="T1258" s="120"/>
      <c r="U1258" s="121" t="s">
        <v>293</v>
      </c>
      <c r="V1258" s="133">
        <f t="shared" si="575"/>
        <v>1</v>
      </c>
      <c r="W1258" s="133">
        <f>VLOOKUP(U1258,Sheet1!$B$6:$C$45,2,FALSE)*V1258</f>
        <v>0</v>
      </c>
      <c r="X1258" s="141"/>
      <c r="Y1258" s="121" t="s">
        <v>293</v>
      </c>
      <c r="Z1258" s="146">
        <f>VLOOKUP(Takeoffs!Y1258,Sheet1!$B$6:$C$124,2,FALSE)</f>
        <v>0</v>
      </c>
      <c r="AA1258" s="146">
        <f t="shared" si="576"/>
        <v>0</v>
      </c>
      <c r="AB1258" s="143">
        <f t="shared" si="577"/>
        <v>1</v>
      </c>
      <c r="AC1258" s="133">
        <f t="shared" si="578"/>
        <v>1</v>
      </c>
      <c r="AD1258" s="142">
        <v>1</v>
      </c>
      <c r="AE1258" s="141"/>
      <c r="AF1258" s="121" t="s">
        <v>293</v>
      </c>
      <c r="AG1258" s="146">
        <f>VLOOKUP(Takeoffs!AF1258,Sheet1!$B$6:$C$124,2,FALSE)</f>
        <v>0</v>
      </c>
      <c r="AH1258" s="146">
        <f t="shared" si="579"/>
        <v>0</v>
      </c>
      <c r="AI1258" s="143">
        <f t="shared" si="580"/>
        <v>0</v>
      </c>
      <c r="AJ1258" s="133">
        <f t="shared" si="581"/>
        <v>1</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1</v>
      </c>
      <c r="T1259" s="120"/>
      <c r="U1259" s="121" t="s">
        <v>293</v>
      </c>
      <c r="V1259" s="133">
        <f t="shared" si="575"/>
        <v>1</v>
      </c>
      <c r="W1259" s="133">
        <f>VLOOKUP(U1259,Sheet1!$B$6:$C$45,2,FALSE)*V1259</f>
        <v>0</v>
      </c>
      <c r="X1259" s="141"/>
      <c r="Y1259" s="121" t="s">
        <v>293</v>
      </c>
      <c r="Z1259" s="146">
        <f>VLOOKUP(Takeoffs!Y1259,Sheet1!$B$6:$C$124,2,FALSE)</f>
        <v>0</v>
      </c>
      <c r="AA1259" s="146">
        <f t="shared" si="576"/>
        <v>0</v>
      </c>
      <c r="AB1259" s="143">
        <f t="shared" si="577"/>
        <v>1</v>
      </c>
      <c r="AC1259" s="133">
        <f t="shared" si="578"/>
        <v>1</v>
      </c>
      <c r="AD1259" s="142">
        <v>1</v>
      </c>
      <c r="AE1259" s="141"/>
      <c r="AF1259" s="121" t="s">
        <v>293</v>
      </c>
      <c r="AG1259" s="146">
        <f>VLOOKUP(Takeoffs!AF1259,Sheet1!$B$6:$C$124,2,FALSE)</f>
        <v>0</v>
      </c>
      <c r="AH1259" s="146">
        <f t="shared" si="579"/>
        <v>0</v>
      </c>
      <c r="AI1259" s="143">
        <f t="shared" si="580"/>
        <v>0</v>
      </c>
      <c r="AJ1259" s="133">
        <f t="shared" si="581"/>
        <v>1</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1</v>
      </c>
      <c r="T1260" s="120"/>
      <c r="U1260" s="121" t="s">
        <v>293</v>
      </c>
      <c r="V1260" s="133">
        <f t="shared" si="575"/>
        <v>1</v>
      </c>
      <c r="W1260" s="133">
        <f>VLOOKUP(U1260,Sheet1!$B$6:$C$45,2,FALSE)*V1260</f>
        <v>0</v>
      </c>
      <c r="X1260" s="141"/>
      <c r="Y1260" s="121" t="s">
        <v>293</v>
      </c>
      <c r="Z1260" s="146">
        <f>VLOOKUP(Takeoffs!Y1260,Sheet1!$B$6:$C$124,2,FALSE)</f>
        <v>0</v>
      </c>
      <c r="AA1260" s="146">
        <f t="shared" si="576"/>
        <v>0</v>
      </c>
      <c r="AB1260" s="143">
        <f t="shared" si="577"/>
        <v>1</v>
      </c>
      <c r="AC1260" s="133">
        <f t="shared" si="578"/>
        <v>1</v>
      </c>
      <c r="AD1260" s="142">
        <v>1</v>
      </c>
      <c r="AE1260" s="141"/>
      <c r="AF1260" s="121" t="s">
        <v>293</v>
      </c>
      <c r="AG1260" s="146">
        <f>VLOOKUP(Takeoffs!AF1260,Sheet1!$B$6:$C$124,2,FALSE)</f>
        <v>0</v>
      </c>
      <c r="AH1260" s="146">
        <f t="shared" si="579"/>
        <v>0</v>
      </c>
      <c r="AI1260" s="143">
        <f t="shared" si="580"/>
        <v>0</v>
      </c>
      <c r="AJ1260" s="133">
        <f t="shared" si="581"/>
        <v>1</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1</v>
      </c>
      <c r="T1261" s="120"/>
      <c r="U1261" s="121" t="s">
        <v>293</v>
      </c>
      <c r="V1261" s="133">
        <f t="shared" si="575"/>
        <v>1</v>
      </c>
      <c r="W1261" s="133">
        <f>VLOOKUP(U1261,Sheet1!$B$6:$C$45,2,FALSE)*V1261</f>
        <v>0</v>
      </c>
      <c r="X1261" s="141"/>
      <c r="Y1261" s="121" t="s">
        <v>293</v>
      </c>
      <c r="Z1261" s="146">
        <f>VLOOKUP(Takeoffs!Y1261,Sheet1!$B$6:$C$124,2,FALSE)</f>
        <v>0</v>
      </c>
      <c r="AA1261" s="146">
        <f t="shared" si="576"/>
        <v>0</v>
      </c>
      <c r="AB1261" s="143">
        <f t="shared" si="577"/>
        <v>1</v>
      </c>
      <c r="AC1261" s="133">
        <f t="shared" si="578"/>
        <v>1</v>
      </c>
      <c r="AD1261" s="142">
        <v>1</v>
      </c>
      <c r="AE1261" s="141"/>
      <c r="AF1261" s="121" t="s">
        <v>293</v>
      </c>
      <c r="AG1261" s="146">
        <f>VLOOKUP(Takeoffs!AF1261,Sheet1!$B$6:$C$124,2,FALSE)</f>
        <v>0</v>
      </c>
      <c r="AH1261" s="146">
        <f t="shared" si="579"/>
        <v>0</v>
      </c>
      <c r="AI1261" s="143">
        <f t="shared" si="580"/>
        <v>0</v>
      </c>
      <c r="AJ1261" s="133">
        <f t="shared" si="581"/>
        <v>1</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1</v>
      </c>
      <c r="T1262" s="120"/>
      <c r="U1262" s="121" t="s">
        <v>293</v>
      </c>
      <c r="V1262" s="133">
        <f t="shared" si="575"/>
        <v>1</v>
      </c>
      <c r="W1262" s="133">
        <f>VLOOKUP(U1262,Sheet1!$B$6:$C$45,2,FALSE)*V1262</f>
        <v>0</v>
      </c>
      <c r="X1262" s="141"/>
      <c r="Y1262" s="121" t="s">
        <v>293</v>
      </c>
      <c r="Z1262" s="146">
        <f>VLOOKUP(Takeoffs!Y1262,Sheet1!$B$6:$C$124,2,FALSE)</f>
        <v>0</v>
      </c>
      <c r="AA1262" s="146">
        <f t="shared" si="576"/>
        <v>0</v>
      </c>
      <c r="AB1262" s="143">
        <f t="shared" si="577"/>
        <v>1</v>
      </c>
      <c r="AC1262" s="133">
        <f t="shared" si="578"/>
        <v>1</v>
      </c>
      <c r="AD1262" s="142">
        <v>1</v>
      </c>
      <c r="AE1262" s="141"/>
      <c r="AF1262" s="121" t="s">
        <v>293</v>
      </c>
      <c r="AG1262" s="146">
        <f>VLOOKUP(Takeoffs!AF1262,Sheet1!$B$6:$C$124,2,FALSE)</f>
        <v>0</v>
      </c>
      <c r="AH1262" s="146">
        <f t="shared" si="579"/>
        <v>0</v>
      </c>
      <c r="AI1262" s="143">
        <f t="shared" si="580"/>
        <v>0</v>
      </c>
      <c r="AJ1262" s="133">
        <f t="shared" si="581"/>
        <v>1</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1</v>
      </c>
      <c r="T1263" s="120"/>
      <c r="U1263" s="121" t="s">
        <v>293</v>
      </c>
      <c r="V1263" s="133">
        <f t="shared" si="575"/>
        <v>1</v>
      </c>
      <c r="W1263" s="133">
        <f>VLOOKUP(U1263,Sheet1!$B$6:$C$45,2,FALSE)*V1263</f>
        <v>0</v>
      </c>
      <c r="X1263" s="141"/>
      <c r="Y1263" s="121" t="s">
        <v>293</v>
      </c>
      <c r="Z1263" s="146">
        <f>VLOOKUP(Takeoffs!Y1263,Sheet1!$B$6:$C$124,2,FALSE)</f>
        <v>0</v>
      </c>
      <c r="AA1263" s="146">
        <f t="shared" si="576"/>
        <v>0</v>
      </c>
      <c r="AB1263" s="143">
        <f t="shared" si="577"/>
        <v>1</v>
      </c>
      <c r="AC1263" s="133">
        <f t="shared" si="578"/>
        <v>1</v>
      </c>
      <c r="AD1263" s="142">
        <v>1</v>
      </c>
      <c r="AE1263" s="141"/>
      <c r="AF1263" s="121" t="s">
        <v>293</v>
      </c>
      <c r="AG1263" s="146">
        <f>VLOOKUP(Takeoffs!AF1263,Sheet1!$B$6:$C$124,2,FALSE)</f>
        <v>0</v>
      </c>
      <c r="AH1263" s="146">
        <f t="shared" si="579"/>
        <v>0</v>
      </c>
      <c r="AI1263" s="143">
        <f t="shared" si="580"/>
        <v>0</v>
      </c>
      <c r="AJ1263" s="133">
        <f t="shared" si="581"/>
        <v>1</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1</v>
      </c>
      <c r="T1264" s="120"/>
      <c r="U1264" s="121" t="s">
        <v>293</v>
      </c>
      <c r="V1264" s="133">
        <f t="shared" si="575"/>
        <v>1</v>
      </c>
      <c r="W1264" s="133">
        <f>VLOOKUP(U1264,Sheet1!$B$6:$C$45,2,FALSE)*V1264</f>
        <v>0</v>
      </c>
      <c r="X1264" s="141"/>
      <c r="Y1264" s="121" t="s">
        <v>293</v>
      </c>
      <c r="Z1264" s="146">
        <f>VLOOKUP(Takeoffs!Y1264,Sheet1!$B$6:$C$124,2,FALSE)</f>
        <v>0</v>
      </c>
      <c r="AA1264" s="146">
        <f t="shared" si="576"/>
        <v>0</v>
      </c>
      <c r="AB1264" s="143">
        <f t="shared" si="577"/>
        <v>1</v>
      </c>
      <c r="AC1264" s="133">
        <f t="shared" si="578"/>
        <v>1</v>
      </c>
      <c r="AD1264" s="142">
        <v>1</v>
      </c>
      <c r="AE1264" s="141"/>
      <c r="AF1264" s="121" t="s">
        <v>293</v>
      </c>
      <c r="AG1264" s="146">
        <f>VLOOKUP(Takeoffs!AF1264,Sheet1!$B$6:$C$124,2,FALSE)</f>
        <v>0</v>
      </c>
      <c r="AH1264" s="146">
        <f t="shared" si="579"/>
        <v>0</v>
      </c>
      <c r="AI1264" s="143">
        <f t="shared" si="580"/>
        <v>0</v>
      </c>
      <c r="AJ1264" s="133">
        <f t="shared" si="581"/>
        <v>1</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1</v>
      </c>
      <c r="T1265" s="120"/>
      <c r="U1265" s="121" t="s">
        <v>293</v>
      </c>
      <c r="V1265" s="133">
        <f t="shared" si="575"/>
        <v>1</v>
      </c>
      <c r="W1265" s="133">
        <f>VLOOKUP(U1265,Sheet1!$B$6:$C$45,2,FALSE)*V1265</f>
        <v>0</v>
      </c>
      <c r="X1265" s="141"/>
      <c r="Y1265" s="121" t="s">
        <v>293</v>
      </c>
      <c r="Z1265" s="146">
        <f>VLOOKUP(Takeoffs!Y1265,Sheet1!$B$6:$C$124,2,FALSE)</f>
        <v>0</v>
      </c>
      <c r="AA1265" s="146">
        <f t="shared" si="576"/>
        <v>0</v>
      </c>
      <c r="AB1265" s="143">
        <f t="shared" si="577"/>
        <v>1</v>
      </c>
      <c r="AC1265" s="133">
        <f t="shared" si="578"/>
        <v>1</v>
      </c>
      <c r="AD1265" s="142">
        <v>1</v>
      </c>
      <c r="AE1265" s="141"/>
      <c r="AF1265" s="121" t="s">
        <v>293</v>
      </c>
      <c r="AG1265" s="146">
        <f>VLOOKUP(Takeoffs!AF1265,Sheet1!$B$6:$C$124,2,FALSE)</f>
        <v>0</v>
      </c>
      <c r="AH1265" s="146">
        <f t="shared" si="579"/>
        <v>0</v>
      </c>
      <c r="AI1265" s="143">
        <f t="shared" si="580"/>
        <v>0</v>
      </c>
      <c r="AJ1265" s="133">
        <f t="shared" si="581"/>
        <v>1</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1</v>
      </c>
      <c r="T1266" s="120"/>
      <c r="U1266" s="121" t="s">
        <v>293</v>
      </c>
      <c r="V1266" s="133">
        <f t="shared" si="575"/>
        <v>1</v>
      </c>
      <c r="W1266" s="133">
        <f>VLOOKUP(U1266,Sheet1!$B$6:$C$45,2,FALSE)*V1266</f>
        <v>0</v>
      </c>
      <c r="X1266" s="141"/>
      <c r="Y1266" s="121" t="s">
        <v>293</v>
      </c>
      <c r="Z1266" s="146">
        <f>VLOOKUP(Takeoffs!Y1266,Sheet1!$B$6:$C$124,2,FALSE)</f>
        <v>0</v>
      </c>
      <c r="AA1266" s="146">
        <f t="shared" si="576"/>
        <v>0</v>
      </c>
      <c r="AB1266" s="143">
        <f t="shared" si="577"/>
        <v>1</v>
      </c>
      <c r="AC1266" s="133">
        <f t="shared" si="578"/>
        <v>1</v>
      </c>
      <c r="AD1266" s="142">
        <v>1</v>
      </c>
      <c r="AE1266" s="141"/>
      <c r="AF1266" s="121" t="s">
        <v>293</v>
      </c>
      <c r="AG1266" s="146">
        <f>VLOOKUP(Takeoffs!AF1266,Sheet1!$B$6:$C$124,2,FALSE)</f>
        <v>0</v>
      </c>
      <c r="AH1266" s="146">
        <f t="shared" si="579"/>
        <v>0</v>
      </c>
      <c r="AI1266" s="143">
        <f t="shared" si="580"/>
        <v>0</v>
      </c>
      <c r="AJ1266" s="133">
        <f t="shared" si="581"/>
        <v>1</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379</v>
      </c>
      <c r="L1267" s="128" t="s">
        <v>380</v>
      </c>
      <c r="N1267" s="129"/>
      <c r="O1267" s="130" t="s">
        <v>359</v>
      </c>
      <c r="P1267" s="131">
        <f>V1267+AA1267+AH1267</f>
        <v>132.74</v>
      </c>
      <c r="Q1267" s="131"/>
      <c r="R1267" s="131"/>
      <c r="S1267" s="130"/>
      <c r="T1267" s="127"/>
      <c r="U1267" s="126" t="s">
        <v>353</v>
      </c>
      <c r="V1267" s="127">
        <f>W1267*80</f>
        <v>80</v>
      </c>
      <c r="W1267" s="147">
        <f>SUM(W1246:W1266)</f>
        <v>1</v>
      </c>
      <c r="X1267" s="148"/>
      <c r="Y1267" s="127" t="s">
        <v>354</v>
      </c>
      <c r="Z1267" s="116"/>
      <c r="AA1267" s="116">
        <f>SUM(AA1246:AA1266)</f>
        <v>52.739999999999995</v>
      </c>
      <c r="AB1267" s="149"/>
      <c r="AC1267" s="149"/>
      <c r="AD1267" s="149"/>
      <c r="AE1267" s="149"/>
      <c r="AF1267" s="127" t="s">
        <v>358</v>
      </c>
      <c r="AG1267" s="116"/>
      <c r="AH1267" s="116">
        <f>SUM(AH1246:AH1266)</f>
        <v>0</v>
      </c>
      <c r="AI1267" s="149"/>
      <c r="AJ1267" s="149"/>
      <c r="AK1267" s="149"/>
      <c r="AL1267" s="149"/>
      <c r="AM1267" s="150">
        <f>P1267</f>
        <v>132.74</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494</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v>1</v>
      </c>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one (1)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132.74</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369</v>
      </c>
      <c r="N1268" s="160" t="str">
        <f>N1246</f>
        <v>split AC systems - MSSB powered with run and fault lights ( Excluding field wiring option)</v>
      </c>
      <c r="O1268" s="160" t="s">
        <v>367</v>
      </c>
      <c r="P1268" s="64">
        <f>P1267/M1246</f>
        <v>132.74</v>
      </c>
      <c r="Q1268" s="161"/>
      <c r="R1268" s="161"/>
      <c r="S1268" s="160"/>
      <c r="T1268" s="161"/>
      <c r="U1268" s="327" t="s">
        <v>368</v>
      </c>
      <c r="V1268" s="327"/>
      <c r="W1268" s="162">
        <f>W1267/M1246</f>
        <v>1</v>
      </c>
      <c r="X1268" s="163"/>
      <c r="Y1268" s="325" t="s">
        <v>367</v>
      </c>
      <c r="Z1268" s="325"/>
      <c r="AA1268" s="164">
        <f>AA1267/M1246</f>
        <v>52.739999999999995</v>
      </c>
      <c r="AB1268" s="161"/>
      <c r="AC1268" s="161"/>
      <c r="AD1268" s="161"/>
      <c r="AE1268" s="161"/>
      <c r="AF1268" s="325" t="s">
        <v>367</v>
      </c>
      <c r="AG1268" s="325"/>
      <c r="AH1268" s="164">
        <f>AH1267/M1246</f>
        <v>0</v>
      </c>
      <c r="AI1268" s="161"/>
      <c r="AJ1268" s="161"/>
      <c r="AK1268" s="161"/>
      <c r="AL1268" s="247"/>
      <c r="AM1268" s="257"/>
      <c r="AN1268" s="230">
        <f>K1268*1.25</f>
        <v>165.92500000000001</v>
      </c>
      <c r="AO1268" s="286"/>
      <c r="AP1268" s="284">
        <f t="shared" si="570"/>
        <v>132.74</v>
      </c>
      <c r="AQ1268" s="281">
        <f t="shared" si="571"/>
        <v>80</v>
      </c>
      <c r="AR1268" s="284">
        <f t="shared" si="572"/>
        <v>52.739999999999995</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454</v>
      </c>
      <c r="M1269" s="116" t="s">
        <v>299</v>
      </c>
      <c r="N1269" s="116" t="s">
        <v>108</v>
      </c>
      <c r="O1269" s="170" t="s">
        <v>388</v>
      </c>
      <c r="P1269" s="326" t="s">
        <v>377</v>
      </c>
      <c r="Q1269" s="326"/>
      <c r="R1269" s="101" t="s">
        <v>454</v>
      </c>
      <c r="S1269" s="116" t="s">
        <v>0</v>
      </c>
      <c r="T1269" s="118"/>
      <c r="U1269" s="116" t="s">
        <v>288</v>
      </c>
      <c r="V1269" s="116" t="s">
        <v>289</v>
      </c>
      <c r="W1269" s="116" t="s">
        <v>292</v>
      </c>
      <c r="X1269" s="140"/>
      <c r="Y1269" s="116" t="s">
        <v>290</v>
      </c>
      <c r="Z1269" s="116" t="s">
        <v>356</v>
      </c>
      <c r="AA1269" s="116" t="s">
        <v>357</v>
      </c>
      <c r="AB1269" s="116" t="s">
        <v>319</v>
      </c>
      <c r="AC1269" s="116" t="s">
        <v>320</v>
      </c>
      <c r="AD1269" s="116" t="s">
        <v>318</v>
      </c>
      <c r="AE1269" s="140"/>
      <c r="AF1269" s="116" t="s">
        <v>294</v>
      </c>
      <c r="AG1269" s="116" t="s">
        <v>356</v>
      </c>
      <c r="AH1269" s="116" t="s">
        <v>357</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one</v>
      </c>
      <c r="M1270" s="121">
        <f>I1292</f>
        <v>1</v>
      </c>
      <c r="N1270" s="132" t="s">
        <v>621</v>
      </c>
      <c r="O1270" s="121" t="s">
        <v>138</v>
      </c>
      <c r="P1270" s="169" t="s">
        <v>381</v>
      </c>
      <c r="Q1270" s="169" t="s">
        <v>377</v>
      </c>
      <c r="R1270" s="169"/>
      <c r="S1270" s="133">
        <f>M1270</f>
        <v>1</v>
      </c>
      <c r="T1270" s="119"/>
      <c r="U1270" s="121" t="s">
        <v>293</v>
      </c>
      <c r="V1270" s="133">
        <f>S1270</f>
        <v>1</v>
      </c>
      <c r="W1270" s="133">
        <f>VLOOKUP(U1270,Sheet1!$B$6:$C$45,2,FALSE)*V1270</f>
        <v>0</v>
      </c>
      <c r="X1270" s="141"/>
      <c r="Y1270" s="121" t="s">
        <v>293</v>
      </c>
      <c r="Z1270" s="146">
        <f>VLOOKUP(Takeoffs!Y1270,Sheet1!$B$6:$C$124,2,FALSE)</f>
        <v>0</v>
      </c>
      <c r="AA1270" s="146">
        <f>Z1270*AB1270</f>
        <v>0</v>
      </c>
      <c r="AB1270" s="143">
        <f>AD1270*AC1270</f>
        <v>1</v>
      </c>
      <c r="AC1270" s="133">
        <f>S1270</f>
        <v>1</v>
      </c>
      <c r="AD1270" s="142">
        <v>1</v>
      </c>
      <c r="AE1270" s="141"/>
      <c r="AF1270" s="121" t="s">
        <v>293</v>
      </c>
      <c r="AG1270" s="146">
        <f>VLOOKUP(Takeoffs!AF1270,Sheet1!$B$6:$C$124,2,FALSE)</f>
        <v>0</v>
      </c>
      <c r="AH1270" s="146">
        <f>AG1270*AI1270</f>
        <v>0</v>
      </c>
      <c r="AI1270" s="143">
        <f>AK1270*AJ1270</f>
        <v>0</v>
      </c>
      <c r="AJ1270" s="133">
        <f>S1270</f>
        <v>1</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596</v>
      </c>
      <c r="Q1271" s="66" t="s">
        <v>428</v>
      </c>
      <c r="R1271" s="121"/>
      <c r="S1271" s="133">
        <f>M1270</f>
        <v>1</v>
      </c>
      <c r="T1271" s="120"/>
      <c r="U1271" s="121" t="s">
        <v>293</v>
      </c>
      <c r="V1271" s="133">
        <f t="shared" ref="V1271:V1290" si="584">S1271</f>
        <v>1</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1</v>
      </c>
      <c r="AC1271" s="133">
        <f t="shared" ref="AC1271:AC1290" si="587">S1271</f>
        <v>1</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1</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1</v>
      </c>
      <c r="T1272" s="120"/>
      <c r="U1272" s="121" t="s">
        <v>293</v>
      </c>
      <c r="V1272" s="133">
        <f t="shared" si="584"/>
        <v>1</v>
      </c>
      <c r="W1272" s="133">
        <f>VLOOKUP(U1272,Sheet1!$B$6:$C$45,2,FALSE)*V1272</f>
        <v>0</v>
      </c>
      <c r="X1272" s="141"/>
      <c r="Y1272" s="121" t="s">
        <v>293</v>
      </c>
      <c r="Z1272" s="146">
        <f>VLOOKUP(Takeoffs!Y1272,Sheet1!$B$6:$C$124,2,FALSE)</f>
        <v>0</v>
      </c>
      <c r="AA1272" s="146">
        <f t="shared" si="585"/>
        <v>0</v>
      </c>
      <c r="AB1272" s="143">
        <f t="shared" si="586"/>
        <v>1</v>
      </c>
      <c r="AC1272" s="133">
        <f t="shared" si="587"/>
        <v>1</v>
      </c>
      <c r="AD1272" s="142">
        <v>1</v>
      </c>
      <c r="AE1272" s="141"/>
      <c r="AF1272" s="121" t="s">
        <v>293</v>
      </c>
      <c r="AG1272" s="146">
        <f>VLOOKUP(Takeoffs!AF1272,Sheet1!$B$6:$C$124,2,FALSE)</f>
        <v>0</v>
      </c>
      <c r="AH1272" s="146">
        <f t="shared" si="588"/>
        <v>0</v>
      </c>
      <c r="AI1272" s="143">
        <f t="shared" si="589"/>
        <v>0</v>
      </c>
      <c r="AJ1272" s="133">
        <f t="shared" si="590"/>
        <v>1</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596</v>
      </c>
      <c r="Q1273" s="66" t="s">
        <v>415</v>
      </c>
      <c r="R1273" s="121"/>
      <c r="S1273" s="133">
        <f>M1270</f>
        <v>1</v>
      </c>
      <c r="T1273" s="120"/>
      <c r="U1273" s="121" t="s">
        <v>293</v>
      </c>
      <c r="V1273" s="133">
        <f t="shared" si="584"/>
        <v>1</v>
      </c>
      <c r="W1273" s="133">
        <f>VLOOKUP(U1273,Sheet1!$B$6:$C$45,2,FALSE)*V1273</f>
        <v>0</v>
      </c>
      <c r="X1273" s="141"/>
      <c r="Y1273" s="121" t="s">
        <v>293</v>
      </c>
      <c r="Z1273" s="146">
        <f>VLOOKUP(Takeoffs!Y1273,Sheet1!$B$6:$C$124,2,FALSE)</f>
        <v>0</v>
      </c>
      <c r="AA1273" s="146">
        <f t="shared" si="585"/>
        <v>0</v>
      </c>
      <c r="AB1273" s="143">
        <f t="shared" si="586"/>
        <v>1</v>
      </c>
      <c r="AC1273" s="133">
        <f t="shared" si="587"/>
        <v>1</v>
      </c>
      <c r="AD1273" s="142">
        <v>1</v>
      </c>
      <c r="AE1273" s="141"/>
      <c r="AF1273" s="121" t="s">
        <v>293</v>
      </c>
      <c r="AG1273" s="146">
        <f>VLOOKUP(Takeoffs!AF1273,Sheet1!$B$6:$C$124,2,FALSE)</f>
        <v>0</v>
      </c>
      <c r="AH1273" s="146">
        <f t="shared" si="588"/>
        <v>0</v>
      </c>
      <c r="AI1273" s="143">
        <f t="shared" si="589"/>
        <v>0</v>
      </c>
      <c r="AJ1273" s="133">
        <f t="shared" si="590"/>
        <v>1</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596</v>
      </c>
      <c r="Q1274" s="121" t="s">
        <v>597</v>
      </c>
      <c r="R1274" s="121"/>
      <c r="S1274" s="133">
        <f>M1270</f>
        <v>1</v>
      </c>
      <c r="T1274" s="120"/>
      <c r="U1274" s="121" t="s">
        <v>293</v>
      </c>
      <c r="V1274" s="133">
        <f t="shared" si="584"/>
        <v>1</v>
      </c>
      <c r="W1274" s="133">
        <f>VLOOKUP(U1274,Sheet1!$B$6:$C$45,2,FALSE)*V1274</f>
        <v>0</v>
      </c>
      <c r="X1274" s="141"/>
      <c r="Y1274" s="121" t="s">
        <v>293</v>
      </c>
      <c r="Z1274" s="146">
        <f>VLOOKUP(Takeoffs!Y1274,Sheet1!$B$6:$C$124,2,FALSE)</f>
        <v>0</v>
      </c>
      <c r="AA1274" s="146">
        <f t="shared" si="585"/>
        <v>0</v>
      </c>
      <c r="AB1274" s="143">
        <f t="shared" si="586"/>
        <v>1</v>
      </c>
      <c r="AC1274" s="133">
        <f t="shared" si="587"/>
        <v>1</v>
      </c>
      <c r="AD1274" s="142">
        <v>1</v>
      </c>
      <c r="AE1274" s="141"/>
      <c r="AF1274" s="121" t="s">
        <v>293</v>
      </c>
      <c r="AG1274" s="146">
        <f>VLOOKUP(Takeoffs!AF1274,Sheet1!$B$6:$C$124,2,FALSE)</f>
        <v>0</v>
      </c>
      <c r="AH1274" s="146">
        <f t="shared" si="588"/>
        <v>0</v>
      </c>
      <c r="AI1274" s="143">
        <f t="shared" si="589"/>
        <v>0</v>
      </c>
      <c r="AJ1274" s="133">
        <f t="shared" si="590"/>
        <v>1</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1</v>
      </c>
      <c r="T1275" s="120"/>
      <c r="U1275" s="121" t="s">
        <v>293</v>
      </c>
      <c r="V1275" s="133">
        <f t="shared" si="584"/>
        <v>1</v>
      </c>
      <c r="W1275" s="133">
        <f>VLOOKUP(U1275,Sheet1!$B$6:$C$45,2,FALSE)*V1275</f>
        <v>0</v>
      </c>
      <c r="X1275" s="141"/>
      <c r="Y1275" s="52" t="s">
        <v>253</v>
      </c>
      <c r="Z1275" s="146">
        <f>VLOOKUP(Takeoffs!Y1275,Sheet1!$B$6:$C$124,2,FALSE)</f>
        <v>10.139999999999999</v>
      </c>
      <c r="AA1275" s="146">
        <f t="shared" si="585"/>
        <v>10.139999999999999</v>
      </c>
      <c r="AB1275" s="143">
        <f t="shared" si="586"/>
        <v>1</v>
      </c>
      <c r="AC1275" s="133">
        <f t="shared" si="587"/>
        <v>1</v>
      </c>
      <c r="AD1275" s="142">
        <v>1</v>
      </c>
      <c r="AE1275" s="141"/>
      <c r="AF1275" s="121" t="s">
        <v>293</v>
      </c>
      <c r="AG1275" s="146">
        <f>VLOOKUP(Takeoffs!AF1275,Sheet1!$B$6:$C$124,2,FALSE)</f>
        <v>0</v>
      </c>
      <c r="AH1275" s="146">
        <f t="shared" si="588"/>
        <v>0</v>
      </c>
      <c r="AI1275" s="143">
        <f t="shared" si="589"/>
        <v>0</v>
      </c>
      <c r="AJ1275" s="133">
        <f t="shared" si="590"/>
        <v>1</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620</v>
      </c>
      <c r="P1276" s="121"/>
      <c r="Q1276" s="121"/>
      <c r="R1276" s="121"/>
      <c r="S1276" s="133">
        <f>M1270</f>
        <v>1</v>
      </c>
      <c r="T1276" s="120"/>
      <c r="U1276" s="121" t="s">
        <v>293</v>
      </c>
      <c r="V1276" s="133">
        <f t="shared" si="584"/>
        <v>1</v>
      </c>
      <c r="W1276" s="133">
        <f>VLOOKUP(U1276,Sheet1!$B$6:$C$45,2,FALSE)*V1276</f>
        <v>0</v>
      </c>
      <c r="X1276" s="141"/>
      <c r="Y1276" s="121" t="s">
        <v>424</v>
      </c>
      <c r="Z1276" s="146">
        <f>VLOOKUP(Takeoffs!Y1276,Sheet1!$B$6:$C$124,2,FALSE)</f>
        <v>23.4</v>
      </c>
      <c r="AA1276" s="146">
        <f t="shared" si="585"/>
        <v>23.4</v>
      </c>
      <c r="AB1276" s="143">
        <f t="shared" si="586"/>
        <v>1</v>
      </c>
      <c r="AC1276" s="133">
        <f t="shared" si="587"/>
        <v>1</v>
      </c>
      <c r="AD1276" s="142">
        <v>1</v>
      </c>
      <c r="AE1276" s="141"/>
      <c r="AF1276" s="121" t="s">
        <v>293</v>
      </c>
      <c r="AG1276" s="146">
        <f>VLOOKUP(Takeoffs!AF1276,Sheet1!$B$6:$C$124,2,FALSE)</f>
        <v>0</v>
      </c>
      <c r="AH1276" s="146">
        <f t="shared" si="588"/>
        <v>0</v>
      </c>
      <c r="AI1276" s="143">
        <f t="shared" si="589"/>
        <v>0</v>
      </c>
      <c r="AJ1276" s="133">
        <f t="shared" si="590"/>
        <v>1</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1</v>
      </c>
      <c r="T1277" s="120"/>
      <c r="U1277" s="121" t="s">
        <v>293</v>
      </c>
      <c r="V1277" s="133">
        <f t="shared" si="584"/>
        <v>1</v>
      </c>
      <c r="W1277" s="133">
        <f>VLOOKUP(U1277,Sheet1!$B$6:$C$45,2,FALSE)*V1277</f>
        <v>0</v>
      </c>
      <c r="X1277" s="141"/>
      <c r="Y1277" s="121" t="s">
        <v>293</v>
      </c>
      <c r="Z1277" s="146">
        <f>VLOOKUP(Takeoffs!Y1277,Sheet1!$B$6:$C$124,2,FALSE)</f>
        <v>0</v>
      </c>
      <c r="AA1277" s="146">
        <f t="shared" si="585"/>
        <v>0</v>
      </c>
      <c r="AB1277" s="143">
        <f t="shared" si="586"/>
        <v>1</v>
      </c>
      <c r="AC1277" s="133">
        <f t="shared" si="587"/>
        <v>1</v>
      </c>
      <c r="AD1277" s="142">
        <v>1</v>
      </c>
      <c r="AE1277" s="141"/>
      <c r="AF1277" s="121" t="s">
        <v>293</v>
      </c>
      <c r="AG1277" s="146">
        <f>VLOOKUP(Takeoffs!AF1277,Sheet1!$B$6:$C$124,2,FALSE)</f>
        <v>0</v>
      </c>
      <c r="AH1277" s="146">
        <f t="shared" si="588"/>
        <v>0</v>
      </c>
      <c r="AI1277" s="143">
        <f t="shared" si="589"/>
        <v>0</v>
      </c>
      <c r="AJ1277" s="133">
        <f t="shared" si="590"/>
        <v>1</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614</v>
      </c>
      <c r="P1278" s="121"/>
      <c r="Q1278" s="121"/>
      <c r="R1278" s="121"/>
      <c r="S1278" s="133">
        <f>M1270</f>
        <v>1</v>
      </c>
      <c r="T1278" s="120"/>
      <c r="U1278" s="117" t="s">
        <v>365</v>
      </c>
      <c r="V1278" s="133">
        <f t="shared" si="584"/>
        <v>1</v>
      </c>
      <c r="W1278" s="133">
        <f>VLOOKUP(U1278,Sheet1!$B$6:$C$45,2,FALSE)*V1278</f>
        <v>1</v>
      </c>
      <c r="X1278" s="141"/>
      <c r="Y1278" s="135" t="s">
        <v>280</v>
      </c>
      <c r="Z1278" s="146">
        <f>VLOOKUP(Takeoffs!Y1278,Sheet1!$B$6:$C$124,2,FALSE)</f>
        <v>19.2</v>
      </c>
      <c r="AA1278" s="146">
        <f t="shared" si="585"/>
        <v>19.2</v>
      </c>
      <c r="AB1278" s="143">
        <f t="shared" si="586"/>
        <v>1</v>
      </c>
      <c r="AC1278" s="133">
        <f t="shared" si="587"/>
        <v>1</v>
      </c>
      <c r="AD1278" s="142">
        <v>1</v>
      </c>
      <c r="AE1278" s="141"/>
      <c r="AF1278" s="121" t="s">
        <v>293</v>
      </c>
      <c r="AG1278" s="146">
        <f>VLOOKUP(Takeoffs!AF1278,Sheet1!$B$6:$C$124,2,FALSE)</f>
        <v>0</v>
      </c>
      <c r="AH1278" s="146">
        <f t="shared" si="588"/>
        <v>0</v>
      </c>
      <c r="AI1278" s="143">
        <f t="shared" si="589"/>
        <v>0</v>
      </c>
      <c r="AJ1278" s="133">
        <f t="shared" si="590"/>
        <v>1</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599</v>
      </c>
      <c r="P1279" s="121"/>
      <c r="Q1279" s="121"/>
      <c r="R1279" s="121"/>
      <c r="S1279" s="133">
        <f>M1270</f>
        <v>1</v>
      </c>
      <c r="T1279" s="120"/>
      <c r="U1279" s="121" t="s">
        <v>293</v>
      </c>
      <c r="V1279" s="133">
        <f t="shared" si="584"/>
        <v>1</v>
      </c>
      <c r="W1279" s="133">
        <f>VLOOKUP(U1279,Sheet1!$B$6:$C$45,2,FALSE)*V1279</f>
        <v>0</v>
      </c>
      <c r="X1279" s="141"/>
      <c r="Y1279" s="121" t="s">
        <v>293</v>
      </c>
      <c r="Z1279" s="146">
        <f>VLOOKUP(Takeoffs!Y1279,Sheet1!$B$6:$C$124,2,FALSE)</f>
        <v>0</v>
      </c>
      <c r="AA1279" s="146">
        <f t="shared" si="585"/>
        <v>0</v>
      </c>
      <c r="AB1279" s="143">
        <f t="shared" si="586"/>
        <v>1</v>
      </c>
      <c r="AC1279" s="133">
        <f t="shared" si="587"/>
        <v>1</v>
      </c>
      <c r="AD1279" s="142">
        <v>1</v>
      </c>
      <c r="AE1279" s="141"/>
      <c r="AF1279" s="121" t="s">
        <v>293</v>
      </c>
      <c r="AG1279" s="146">
        <f>VLOOKUP(Takeoffs!AF1279,Sheet1!$B$6:$C$124,2,FALSE)</f>
        <v>0</v>
      </c>
      <c r="AH1279" s="146">
        <f t="shared" si="588"/>
        <v>0</v>
      </c>
      <c r="AI1279" s="143">
        <f t="shared" si="589"/>
        <v>0</v>
      </c>
      <c r="AJ1279" s="133">
        <f t="shared" si="590"/>
        <v>1</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600</v>
      </c>
      <c r="P1280" s="121"/>
      <c r="Q1280" s="121"/>
      <c r="R1280" s="121"/>
      <c r="S1280" s="133">
        <f>M1270</f>
        <v>1</v>
      </c>
      <c r="T1280" s="120"/>
      <c r="U1280" s="121" t="s">
        <v>293</v>
      </c>
      <c r="V1280" s="133">
        <f t="shared" si="584"/>
        <v>1</v>
      </c>
      <c r="W1280" s="133">
        <f>VLOOKUP(U1280,Sheet1!$B$6:$C$45,2,FALSE)*V1280</f>
        <v>0</v>
      </c>
      <c r="X1280" s="141"/>
      <c r="Y1280" s="121" t="s">
        <v>293</v>
      </c>
      <c r="Z1280" s="146">
        <f>VLOOKUP(Takeoffs!Y1280,Sheet1!$B$6:$C$124,2,FALSE)</f>
        <v>0</v>
      </c>
      <c r="AA1280" s="146">
        <f t="shared" si="585"/>
        <v>0</v>
      </c>
      <c r="AB1280" s="143">
        <f t="shared" si="586"/>
        <v>1</v>
      </c>
      <c r="AC1280" s="133">
        <f t="shared" si="587"/>
        <v>1</v>
      </c>
      <c r="AD1280" s="142">
        <v>1</v>
      </c>
      <c r="AE1280" s="141"/>
      <c r="AF1280" s="121" t="s">
        <v>293</v>
      </c>
      <c r="AG1280" s="146">
        <f>VLOOKUP(Takeoffs!AF1280,Sheet1!$B$6:$C$124,2,FALSE)</f>
        <v>0</v>
      </c>
      <c r="AH1280" s="146">
        <f t="shared" si="588"/>
        <v>0</v>
      </c>
      <c r="AI1280" s="143">
        <f t="shared" si="589"/>
        <v>0</v>
      </c>
      <c r="AJ1280" s="133">
        <f t="shared" si="590"/>
        <v>1</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1</v>
      </c>
      <c r="T1281" s="120"/>
      <c r="U1281" s="121" t="s">
        <v>293</v>
      </c>
      <c r="V1281" s="133">
        <f t="shared" si="584"/>
        <v>1</v>
      </c>
      <c r="W1281" s="133">
        <f>VLOOKUP(U1281,Sheet1!$B$6:$C$45,2,FALSE)*V1281</f>
        <v>0</v>
      </c>
      <c r="X1281" s="141"/>
      <c r="Y1281" s="121" t="s">
        <v>293</v>
      </c>
      <c r="Z1281" s="146">
        <f>VLOOKUP(Takeoffs!Y1281,Sheet1!$B$6:$C$124,2,FALSE)</f>
        <v>0</v>
      </c>
      <c r="AA1281" s="146">
        <f t="shared" si="585"/>
        <v>0</v>
      </c>
      <c r="AB1281" s="143">
        <f t="shared" si="586"/>
        <v>1</v>
      </c>
      <c r="AC1281" s="133">
        <f t="shared" si="587"/>
        <v>1</v>
      </c>
      <c r="AD1281" s="142">
        <v>1</v>
      </c>
      <c r="AE1281" s="141"/>
      <c r="AF1281" s="121" t="s">
        <v>293</v>
      </c>
      <c r="AG1281" s="146">
        <f>VLOOKUP(Takeoffs!AF1281,Sheet1!$B$6:$C$124,2,FALSE)</f>
        <v>0</v>
      </c>
      <c r="AH1281" s="146">
        <f t="shared" si="588"/>
        <v>0</v>
      </c>
      <c r="AI1281" s="143">
        <f t="shared" si="589"/>
        <v>0</v>
      </c>
      <c r="AJ1281" s="133">
        <f t="shared" si="590"/>
        <v>1</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596</v>
      </c>
      <c r="Q1282" s="121" t="s">
        <v>602</v>
      </c>
      <c r="R1282" s="121"/>
      <c r="S1282" s="133">
        <f>M1270</f>
        <v>1</v>
      </c>
      <c r="T1282" s="120"/>
      <c r="U1282" s="121" t="s">
        <v>293</v>
      </c>
      <c r="V1282" s="133">
        <f t="shared" si="584"/>
        <v>1</v>
      </c>
      <c r="W1282" s="133">
        <f>VLOOKUP(U1282,Sheet1!$B$6:$C$45,2,FALSE)*V1282</f>
        <v>0</v>
      </c>
      <c r="X1282" s="141"/>
      <c r="Y1282" s="121" t="s">
        <v>293</v>
      </c>
      <c r="Z1282" s="146">
        <f>VLOOKUP(Takeoffs!Y1282,Sheet1!$B$6:$C$124,2,FALSE)</f>
        <v>0</v>
      </c>
      <c r="AA1282" s="146">
        <f t="shared" si="585"/>
        <v>0</v>
      </c>
      <c r="AB1282" s="143">
        <f t="shared" si="586"/>
        <v>1</v>
      </c>
      <c r="AC1282" s="133">
        <f t="shared" si="587"/>
        <v>1</v>
      </c>
      <c r="AD1282" s="142">
        <v>1</v>
      </c>
      <c r="AE1282" s="141"/>
      <c r="AF1282" s="121" t="s">
        <v>293</v>
      </c>
      <c r="AG1282" s="146">
        <f>VLOOKUP(Takeoffs!AF1282,Sheet1!$B$6:$C$124,2,FALSE)</f>
        <v>0</v>
      </c>
      <c r="AH1282" s="146">
        <f t="shared" si="588"/>
        <v>0</v>
      </c>
      <c r="AI1282" s="143">
        <f t="shared" si="589"/>
        <v>0</v>
      </c>
      <c r="AJ1282" s="133">
        <f t="shared" si="590"/>
        <v>1</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1</v>
      </c>
      <c r="T1283" s="120"/>
      <c r="U1283" s="121" t="s">
        <v>293</v>
      </c>
      <c r="V1283" s="133">
        <f t="shared" si="584"/>
        <v>1</v>
      </c>
      <c r="W1283" s="133">
        <f>VLOOKUP(U1283,Sheet1!$B$6:$C$45,2,FALSE)*V1283</f>
        <v>0</v>
      </c>
      <c r="X1283" s="141"/>
      <c r="Y1283" s="121" t="s">
        <v>293</v>
      </c>
      <c r="Z1283" s="146">
        <f>VLOOKUP(Takeoffs!Y1283,Sheet1!$B$6:$C$124,2,FALSE)</f>
        <v>0</v>
      </c>
      <c r="AA1283" s="146">
        <f t="shared" si="585"/>
        <v>0</v>
      </c>
      <c r="AB1283" s="143">
        <f t="shared" si="586"/>
        <v>1</v>
      </c>
      <c r="AC1283" s="133">
        <f t="shared" si="587"/>
        <v>1</v>
      </c>
      <c r="AD1283" s="142">
        <v>1</v>
      </c>
      <c r="AE1283" s="141"/>
      <c r="AF1283" s="121" t="s">
        <v>293</v>
      </c>
      <c r="AG1283" s="146">
        <f>VLOOKUP(Takeoffs!AF1283,Sheet1!$B$6:$C$124,2,FALSE)</f>
        <v>0</v>
      </c>
      <c r="AH1283" s="146">
        <f t="shared" si="588"/>
        <v>0</v>
      </c>
      <c r="AI1283" s="143">
        <f t="shared" si="589"/>
        <v>0</v>
      </c>
      <c r="AJ1283" s="133">
        <f t="shared" si="590"/>
        <v>1</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1</v>
      </c>
      <c r="T1284" s="120"/>
      <c r="U1284" s="121" t="s">
        <v>293</v>
      </c>
      <c r="V1284" s="133">
        <f t="shared" si="584"/>
        <v>1</v>
      </c>
      <c r="W1284" s="133">
        <f>VLOOKUP(U1284,Sheet1!$B$6:$C$45,2,FALSE)*V1284</f>
        <v>0</v>
      </c>
      <c r="X1284" s="141"/>
      <c r="Y1284" s="121" t="s">
        <v>293</v>
      </c>
      <c r="Z1284" s="146">
        <f>VLOOKUP(Takeoffs!Y1284,Sheet1!$B$6:$C$124,2,FALSE)</f>
        <v>0</v>
      </c>
      <c r="AA1284" s="146">
        <f t="shared" si="585"/>
        <v>0</v>
      </c>
      <c r="AB1284" s="143">
        <f t="shared" si="586"/>
        <v>1</v>
      </c>
      <c r="AC1284" s="133">
        <f t="shared" si="587"/>
        <v>1</v>
      </c>
      <c r="AD1284" s="142">
        <v>1</v>
      </c>
      <c r="AE1284" s="141"/>
      <c r="AF1284" s="121" t="s">
        <v>293</v>
      </c>
      <c r="AG1284" s="146">
        <f>VLOOKUP(Takeoffs!AF1284,Sheet1!$B$6:$C$124,2,FALSE)</f>
        <v>0</v>
      </c>
      <c r="AH1284" s="146">
        <f t="shared" si="588"/>
        <v>0</v>
      </c>
      <c r="AI1284" s="143">
        <f t="shared" si="589"/>
        <v>0</v>
      </c>
      <c r="AJ1284" s="133">
        <f t="shared" si="590"/>
        <v>1</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1</v>
      </c>
      <c r="T1285" s="120"/>
      <c r="U1285" s="121" t="s">
        <v>293</v>
      </c>
      <c r="V1285" s="133">
        <f t="shared" si="584"/>
        <v>1</v>
      </c>
      <c r="W1285" s="133">
        <f>VLOOKUP(U1285,Sheet1!$B$6:$C$45,2,FALSE)*V1285</f>
        <v>0</v>
      </c>
      <c r="X1285" s="141"/>
      <c r="Y1285" s="121" t="s">
        <v>293</v>
      </c>
      <c r="Z1285" s="146">
        <f>VLOOKUP(Takeoffs!Y1285,Sheet1!$B$6:$C$124,2,FALSE)</f>
        <v>0</v>
      </c>
      <c r="AA1285" s="146">
        <f t="shared" si="585"/>
        <v>0</v>
      </c>
      <c r="AB1285" s="143">
        <f t="shared" si="586"/>
        <v>1</v>
      </c>
      <c r="AC1285" s="133">
        <f t="shared" si="587"/>
        <v>1</v>
      </c>
      <c r="AD1285" s="142">
        <v>1</v>
      </c>
      <c r="AE1285" s="141"/>
      <c r="AF1285" s="121" t="s">
        <v>293</v>
      </c>
      <c r="AG1285" s="146">
        <f>VLOOKUP(Takeoffs!AF1285,Sheet1!$B$6:$C$124,2,FALSE)</f>
        <v>0</v>
      </c>
      <c r="AH1285" s="146">
        <f t="shared" si="588"/>
        <v>0</v>
      </c>
      <c r="AI1285" s="143">
        <f t="shared" si="589"/>
        <v>0</v>
      </c>
      <c r="AJ1285" s="133">
        <f t="shared" si="590"/>
        <v>1</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1</v>
      </c>
      <c r="T1286" s="120"/>
      <c r="U1286" s="121" t="s">
        <v>293</v>
      </c>
      <c r="V1286" s="133">
        <f t="shared" si="584"/>
        <v>1</v>
      </c>
      <c r="W1286" s="133">
        <f>VLOOKUP(U1286,Sheet1!$B$6:$C$45,2,FALSE)*V1286</f>
        <v>0</v>
      </c>
      <c r="X1286" s="141"/>
      <c r="Y1286" s="121" t="s">
        <v>293</v>
      </c>
      <c r="Z1286" s="146">
        <f>VLOOKUP(Takeoffs!Y1286,Sheet1!$B$6:$C$124,2,FALSE)</f>
        <v>0</v>
      </c>
      <c r="AA1286" s="146">
        <f t="shared" si="585"/>
        <v>0</v>
      </c>
      <c r="AB1286" s="143">
        <f t="shared" si="586"/>
        <v>1</v>
      </c>
      <c r="AC1286" s="133">
        <f t="shared" si="587"/>
        <v>1</v>
      </c>
      <c r="AD1286" s="142">
        <v>1</v>
      </c>
      <c r="AE1286" s="141"/>
      <c r="AF1286" s="121" t="s">
        <v>293</v>
      </c>
      <c r="AG1286" s="146">
        <f>VLOOKUP(Takeoffs!AF1286,Sheet1!$B$6:$C$124,2,FALSE)</f>
        <v>0</v>
      </c>
      <c r="AH1286" s="146">
        <f t="shared" si="588"/>
        <v>0</v>
      </c>
      <c r="AI1286" s="143">
        <f t="shared" si="589"/>
        <v>0</v>
      </c>
      <c r="AJ1286" s="133">
        <f t="shared" si="590"/>
        <v>1</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1</v>
      </c>
      <c r="T1287" s="120"/>
      <c r="U1287" s="121" t="s">
        <v>293</v>
      </c>
      <c r="V1287" s="133">
        <f t="shared" si="584"/>
        <v>1</v>
      </c>
      <c r="W1287" s="133">
        <f>VLOOKUP(U1287,Sheet1!$B$6:$C$45,2,FALSE)*V1287</f>
        <v>0</v>
      </c>
      <c r="X1287" s="141"/>
      <c r="Y1287" s="121" t="s">
        <v>293</v>
      </c>
      <c r="Z1287" s="146">
        <f>VLOOKUP(Takeoffs!Y1287,Sheet1!$B$6:$C$124,2,FALSE)</f>
        <v>0</v>
      </c>
      <c r="AA1287" s="146">
        <f t="shared" si="585"/>
        <v>0</v>
      </c>
      <c r="AB1287" s="143">
        <f t="shared" si="586"/>
        <v>1</v>
      </c>
      <c r="AC1287" s="133">
        <f t="shared" si="587"/>
        <v>1</v>
      </c>
      <c r="AD1287" s="142">
        <v>1</v>
      </c>
      <c r="AE1287" s="141"/>
      <c r="AF1287" s="121" t="s">
        <v>293</v>
      </c>
      <c r="AG1287" s="146">
        <f>VLOOKUP(Takeoffs!AF1287,Sheet1!$B$6:$C$124,2,FALSE)</f>
        <v>0</v>
      </c>
      <c r="AH1287" s="146">
        <f t="shared" si="588"/>
        <v>0</v>
      </c>
      <c r="AI1287" s="143">
        <f t="shared" si="589"/>
        <v>0</v>
      </c>
      <c r="AJ1287" s="133">
        <f t="shared" si="590"/>
        <v>1</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1</v>
      </c>
      <c r="T1288" s="120"/>
      <c r="U1288" s="121" t="s">
        <v>293</v>
      </c>
      <c r="V1288" s="133">
        <f t="shared" si="584"/>
        <v>1</v>
      </c>
      <c r="W1288" s="133">
        <f>VLOOKUP(U1288,Sheet1!$B$6:$C$45,2,FALSE)*V1288</f>
        <v>0</v>
      </c>
      <c r="X1288" s="141"/>
      <c r="Y1288" s="121" t="s">
        <v>293</v>
      </c>
      <c r="Z1288" s="146">
        <f>VLOOKUP(Takeoffs!Y1288,Sheet1!$B$6:$C$124,2,FALSE)</f>
        <v>0</v>
      </c>
      <c r="AA1288" s="146">
        <f t="shared" si="585"/>
        <v>0</v>
      </c>
      <c r="AB1288" s="143">
        <f t="shared" si="586"/>
        <v>1</v>
      </c>
      <c r="AC1288" s="133">
        <f t="shared" si="587"/>
        <v>1</v>
      </c>
      <c r="AD1288" s="142">
        <v>1</v>
      </c>
      <c r="AE1288" s="141"/>
      <c r="AF1288" s="121" t="s">
        <v>293</v>
      </c>
      <c r="AG1288" s="146">
        <f>VLOOKUP(Takeoffs!AF1288,Sheet1!$B$6:$C$124,2,FALSE)</f>
        <v>0</v>
      </c>
      <c r="AH1288" s="146">
        <f t="shared" si="588"/>
        <v>0</v>
      </c>
      <c r="AI1288" s="143">
        <f t="shared" si="589"/>
        <v>0</v>
      </c>
      <c r="AJ1288" s="133">
        <f t="shared" si="590"/>
        <v>1</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1</v>
      </c>
      <c r="T1289" s="120"/>
      <c r="U1289" s="121" t="s">
        <v>293</v>
      </c>
      <c r="V1289" s="133">
        <f t="shared" si="584"/>
        <v>1</v>
      </c>
      <c r="W1289" s="133">
        <f>VLOOKUP(U1289,Sheet1!$B$6:$C$45,2,FALSE)*V1289</f>
        <v>0</v>
      </c>
      <c r="X1289" s="141"/>
      <c r="Y1289" s="121" t="s">
        <v>293</v>
      </c>
      <c r="Z1289" s="146">
        <f>VLOOKUP(Takeoffs!Y1289,Sheet1!$B$6:$C$124,2,FALSE)</f>
        <v>0</v>
      </c>
      <c r="AA1289" s="146">
        <f t="shared" si="585"/>
        <v>0</v>
      </c>
      <c r="AB1289" s="143">
        <f t="shared" si="586"/>
        <v>1</v>
      </c>
      <c r="AC1289" s="133">
        <f t="shared" si="587"/>
        <v>1</v>
      </c>
      <c r="AD1289" s="142">
        <v>1</v>
      </c>
      <c r="AE1289" s="141"/>
      <c r="AF1289" s="121" t="s">
        <v>293</v>
      </c>
      <c r="AG1289" s="146">
        <f>VLOOKUP(Takeoffs!AF1289,Sheet1!$B$6:$C$124,2,FALSE)</f>
        <v>0</v>
      </c>
      <c r="AH1289" s="146">
        <f t="shared" si="588"/>
        <v>0</v>
      </c>
      <c r="AI1289" s="143">
        <f t="shared" si="589"/>
        <v>0</v>
      </c>
      <c r="AJ1289" s="133">
        <f t="shared" si="590"/>
        <v>1</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1</v>
      </c>
      <c r="T1290" s="120"/>
      <c r="U1290" s="121" t="s">
        <v>293</v>
      </c>
      <c r="V1290" s="133">
        <f t="shared" si="584"/>
        <v>1</v>
      </c>
      <c r="W1290" s="133">
        <f>VLOOKUP(U1290,Sheet1!$B$6:$C$45,2,FALSE)*V1290</f>
        <v>0</v>
      </c>
      <c r="X1290" s="141"/>
      <c r="Y1290" s="121" t="s">
        <v>293</v>
      </c>
      <c r="Z1290" s="146">
        <f>VLOOKUP(Takeoffs!Y1290,Sheet1!$B$6:$C$124,2,FALSE)</f>
        <v>0</v>
      </c>
      <c r="AA1290" s="146">
        <f t="shared" si="585"/>
        <v>0</v>
      </c>
      <c r="AB1290" s="143">
        <f t="shared" si="586"/>
        <v>1</v>
      </c>
      <c r="AC1290" s="133">
        <f t="shared" si="587"/>
        <v>1</v>
      </c>
      <c r="AD1290" s="142">
        <v>1</v>
      </c>
      <c r="AE1290" s="141"/>
      <c r="AF1290" s="121" t="s">
        <v>293</v>
      </c>
      <c r="AG1290" s="146">
        <f>VLOOKUP(Takeoffs!AF1290,Sheet1!$B$6:$C$124,2,FALSE)</f>
        <v>0</v>
      </c>
      <c r="AH1290" s="146">
        <f t="shared" si="588"/>
        <v>0</v>
      </c>
      <c r="AI1290" s="143">
        <f t="shared" si="589"/>
        <v>0</v>
      </c>
      <c r="AJ1290" s="133">
        <f t="shared" si="590"/>
        <v>1</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379</v>
      </c>
      <c r="L1291" s="128" t="s">
        <v>380</v>
      </c>
      <c r="N1291" s="129"/>
      <c r="O1291" s="130" t="s">
        <v>359</v>
      </c>
      <c r="P1291" s="131">
        <f>V1291+AA1291+AH1291</f>
        <v>132.74</v>
      </c>
      <c r="Q1291" s="131"/>
      <c r="R1291" s="131"/>
      <c r="S1291" s="130"/>
      <c r="T1291" s="127"/>
      <c r="U1291" s="126" t="s">
        <v>353</v>
      </c>
      <c r="V1291" s="127">
        <f>W1291*80</f>
        <v>80</v>
      </c>
      <c r="W1291" s="147">
        <f>SUM(W1270:W1290)</f>
        <v>1</v>
      </c>
      <c r="X1291" s="148"/>
      <c r="Y1291" s="127" t="s">
        <v>354</v>
      </c>
      <c r="Z1291" s="116"/>
      <c r="AA1291" s="116">
        <f>SUM(AA1270:AA1290)</f>
        <v>52.739999999999995</v>
      </c>
      <c r="AB1291" s="149"/>
      <c r="AC1291" s="149"/>
      <c r="AD1291" s="149"/>
      <c r="AE1291" s="149"/>
      <c r="AF1291" s="127" t="s">
        <v>358</v>
      </c>
      <c r="AG1291" s="116"/>
      <c r="AH1291" s="116">
        <f>SUM(AH1270:AH1290)</f>
        <v>0</v>
      </c>
      <c r="AI1291" s="149"/>
      <c r="AJ1291" s="149"/>
      <c r="AK1291" s="149"/>
      <c r="AL1291" s="149"/>
      <c r="AM1291" s="150">
        <f>P1291</f>
        <v>132.74</v>
      </c>
      <c r="AO1291" s="286"/>
      <c r="AP1291" s="284">
        <f t="shared" si="570"/>
        <v>0</v>
      </c>
      <c r="AQ1291" s="281">
        <f t="shared" si="571"/>
        <v>0</v>
      </c>
      <c r="AR1291" s="284">
        <f t="shared" si="572"/>
        <v>0</v>
      </c>
      <c r="AS1291" s="281">
        <f t="shared" si="573"/>
        <v>0</v>
      </c>
      <c r="AT1291" s="284">
        <f t="shared" si="574"/>
        <v>0</v>
      </c>
    </row>
    <row r="1292" spans="1:97" s="234" customFormat="1" ht="308.60000000000002" x14ac:dyDescent="0.8">
      <c r="A1292" s="262">
        <f>ROW()</f>
        <v>1292</v>
      </c>
      <c r="B1292" s="234" t="s">
        <v>494</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v>1</v>
      </c>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one (1)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132.74</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369</v>
      </c>
      <c r="N1292" s="160" t="str">
        <f>N1270</f>
        <v>split AC systems - MSSB powered with run lights ( Excluding field wiring option)</v>
      </c>
      <c r="O1292" s="160" t="s">
        <v>367</v>
      </c>
      <c r="P1292" s="64">
        <f>P1291/M1270</f>
        <v>132.74</v>
      </c>
      <c r="Q1292" s="161"/>
      <c r="R1292" s="161"/>
      <c r="S1292" s="160"/>
      <c r="T1292" s="161"/>
      <c r="U1292" s="327" t="s">
        <v>368</v>
      </c>
      <c r="V1292" s="327"/>
      <c r="W1292" s="162">
        <f>W1291/M1270</f>
        <v>1</v>
      </c>
      <c r="X1292" s="163"/>
      <c r="Y1292" s="325" t="s">
        <v>367</v>
      </c>
      <c r="Z1292" s="325"/>
      <c r="AA1292" s="164">
        <f>AA1291/M1270</f>
        <v>52.739999999999995</v>
      </c>
      <c r="AB1292" s="161"/>
      <c r="AC1292" s="161"/>
      <c r="AD1292" s="161"/>
      <c r="AE1292" s="161"/>
      <c r="AF1292" s="325" t="s">
        <v>367</v>
      </c>
      <c r="AG1292" s="325"/>
      <c r="AH1292" s="164">
        <f>AH1291/M1270</f>
        <v>0</v>
      </c>
      <c r="AI1292" s="161"/>
      <c r="AJ1292" s="161"/>
      <c r="AK1292" s="161"/>
      <c r="AL1292" s="247"/>
      <c r="AM1292" s="257"/>
      <c r="AN1292" s="230">
        <f>K1292*1.25</f>
        <v>165.92500000000001</v>
      </c>
      <c r="AO1292" s="286"/>
      <c r="AP1292" s="284">
        <f t="shared" si="570"/>
        <v>132.74</v>
      </c>
      <c r="AQ1292" s="281">
        <f t="shared" si="571"/>
        <v>80</v>
      </c>
      <c r="AR1292" s="284">
        <f t="shared" si="572"/>
        <v>52.739999999999995</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454</v>
      </c>
      <c r="M1293" s="116" t="s">
        <v>299</v>
      </c>
      <c r="N1293" s="116" t="s">
        <v>108</v>
      </c>
      <c r="O1293" s="170" t="s">
        <v>388</v>
      </c>
      <c r="P1293" s="326" t="s">
        <v>377</v>
      </c>
      <c r="Q1293" s="326"/>
      <c r="R1293" s="101" t="s">
        <v>454</v>
      </c>
      <c r="S1293" s="116" t="s">
        <v>0</v>
      </c>
      <c r="T1293" s="118"/>
      <c r="U1293" s="116" t="s">
        <v>288</v>
      </c>
      <c r="V1293" s="116" t="s">
        <v>289</v>
      </c>
      <c r="W1293" s="116" t="s">
        <v>292</v>
      </c>
      <c r="X1293" s="140"/>
      <c r="Y1293" s="116" t="s">
        <v>290</v>
      </c>
      <c r="Z1293" s="116" t="s">
        <v>356</v>
      </c>
      <c r="AA1293" s="116" t="s">
        <v>357</v>
      </c>
      <c r="AB1293" s="116" t="s">
        <v>319</v>
      </c>
      <c r="AC1293" s="116" t="s">
        <v>320</v>
      </c>
      <c r="AD1293" s="116" t="s">
        <v>318</v>
      </c>
      <c r="AE1293" s="140"/>
      <c r="AF1293" s="116" t="s">
        <v>294</v>
      </c>
      <c r="AG1293" s="116" t="s">
        <v>356</v>
      </c>
      <c r="AH1293" s="116" t="s">
        <v>357</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one</v>
      </c>
      <c r="M1294" s="121">
        <f>I1316</f>
        <v>1</v>
      </c>
      <c r="N1294" s="132" t="s">
        <v>641</v>
      </c>
      <c r="O1294" s="121" t="s">
        <v>138</v>
      </c>
      <c r="P1294" s="169" t="s">
        <v>381</v>
      </c>
      <c r="Q1294" s="169" t="s">
        <v>377</v>
      </c>
      <c r="R1294" s="169"/>
      <c r="S1294" s="133">
        <f>M1294</f>
        <v>1</v>
      </c>
      <c r="T1294" s="119"/>
      <c r="U1294" s="121" t="s">
        <v>293</v>
      </c>
      <c r="V1294" s="133">
        <f>S1294</f>
        <v>1</v>
      </c>
      <c r="W1294" s="133">
        <f>VLOOKUP(U1294,Sheet1!$B$6:$C$45,2,FALSE)*V1294</f>
        <v>0</v>
      </c>
      <c r="X1294" s="141"/>
      <c r="Y1294" s="121" t="s">
        <v>293</v>
      </c>
      <c r="Z1294" s="146">
        <f>VLOOKUP(Takeoffs!Y1294,Sheet1!$B$6:$C$124,2,FALSE)</f>
        <v>0</v>
      </c>
      <c r="AA1294" s="146">
        <f>Z1294*AB1294</f>
        <v>0</v>
      </c>
      <c r="AB1294" s="143">
        <f>AD1294*AC1294</f>
        <v>1</v>
      </c>
      <c r="AC1294" s="133">
        <f>S1294</f>
        <v>1</v>
      </c>
      <c r="AD1294" s="142">
        <v>1</v>
      </c>
      <c r="AE1294" s="141"/>
      <c r="AF1294" s="121" t="s">
        <v>293</v>
      </c>
      <c r="AG1294" s="146">
        <f>VLOOKUP(Takeoffs!AF1294,Sheet1!$B$6:$C$124,2,FALSE)</f>
        <v>0</v>
      </c>
      <c r="AH1294" s="146">
        <f>AG1294*AI1294</f>
        <v>0</v>
      </c>
      <c r="AI1294" s="143">
        <f>AK1294*AJ1294</f>
        <v>0</v>
      </c>
      <c r="AJ1294" s="133">
        <f>S1294</f>
        <v>1</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428</v>
      </c>
      <c r="P1295" s="121"/>
      <c r="Q1295" s="121"/>
      <c r="R1295" s="121"/>
      <c r="S1295" s="133">
        <f>M1294</f>
        <v>1</v>
      </c>
      <c r="T1295" s="120"/>
      <c r="U1295" s="121" t="s">
        <v>293</v>
      </c>
      <c r="V1295" s="133">
        <f t="shared" ref="V1295:V1314" si="594">S1295</f>
        <v>1</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1</v>
      </c>
      <c r="AC1295" s="133">
        <f t="shared" ref="AC1295:AC1314" si="597">S1295</f>
        <v>1</v>
      </c>
      <c r="AD1295" s="142">
        <v>1</v>
      </c>
      <c r="AE1295" s="141"/>
      <c r="AF1295" s="122" t="s">
        <v>269</v>
      </c>
      <c r="AG1295" s="146">
        <f>VLOOKUP(Takeoffs!AF1295,Sheet1!$B$6:$C$124,2,FALSE)</f>
        <v>1.056</v>
      </c>
      <c r="AH1295" s="146">
        <f t="shared" ref="AH1295:AH1314" si="598">AG1295*AI1295</f>
        <v>10.56</v>
      </c>
      <c r="AI1295" s="143">
        <f t="shared" ref="AI1295:AI1314" si="599">AK1295*AJ1295</f>
        <v>10</v>
      </c>
      <c r="AJ1295" s="133">
        <f t="shared" ref="AJ1295:AJ1314" si="600">S1295</f>
        <v>1</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394</v>
      </c>
      <c r="P1296" s="121"/>
      <c r="Q1296" s="121"/>
      <c r="R1296" s="121"/>
      <c r="S1296" s="133">
        <f>M1294</f>
        <v>1</v>
      </c>
      <c r="T1296" s="120"/>
      <c r="U1296" s="121" t="s">
        <v>287</v>
      </c>
      <c r="V1296" s="133">
        <f t="shared" si="594"/>
        <v>1</v>
      </c>
      <c r="W1296" s="133">
        <f>VLOOKUP(U1296,Sheet1!$B$6:$C$45,2,FALSE)*V1296</f>
        <v>4</v>
      </c>
      <c r="X1296" s="141"/>
      <c r="Y1296" s="121" t="s">
        <v>293</v>
      </c>
      <c r="Z1296" s="146">
        <f>VLOOKUP(Takeoffs!Y1296,Sheet1!$B$6:$C$124,2,FALSE)</f>
        <v>0</v>
      </c>
      <c r="AA1296" s="146">
        <f t="shared" si="595"/>
        <v>0</v>
      </c>
      <c r="AB1296" s="143">
        <f t="shared" si="596"/>
        <v>1</v>
      </c>
      <c r="AC1296" s="133">
        <f t="shared" si="597"/>
        <v>1</v>
      </c>
      <c r="AD1296" s="142">
        <v>1</v>
      </c>
      <c r="AE1296" s="141"/>
      <c r="AF1296" s="52" t="s">
        <v>267</v>
      </c>
      <c r="AG1296" s="146">
        <f>VLOOKUP(Takeoffs!AF1296,Sheet1!$B$6:$C$124,2,FALSE)</f>
        <v>3.48</v>
      </c>
      <c r="AH1296" s="146">
        <f t="shared" si="598"/>
        <v>69.599999999999994</v>
      </c>
      <c r="AI1296" s="143">
        <f t="shared" si="599"/>
        <v>20</v>
      </c>
      <c r="AJ1296" s="133">
        <f t="shared" si="600"/>
        <v>1</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415</v>
      </c>
      <c r="P1297" s="121"/>
      <c r="Q1297" s="121"/>
      <c r="R1297" s="121"/>
      <c r="S1297" s="133">
        <f>M1294</f>
        <v>1</v>
      </c>
      <c r="T1297" s="120"/>
      <c r="U1297" s="121" t="s">
        <v>293</v>
      </c>
      <c r="V1297" s="133">
        <f t="shared" si="594"/>
        <v>1</v>
      </c>
      <c r="W1297" s="133">
        <f>VLOOKUP(U1297,Sheet1!$B$6:$C$45,2,FALSE)*V1297</f>
        <v>0</v>
      </c>
      <c r="X1297" s="141"/>
      <c r="Y1297" s="135" t="s">
        <v>245</v>
      </c>
      <c r="Z1297" s="146">
        <f>VLOOKUP(Takeoffs!Y1297,Sheet1!$B$6:$C$124,2,FALSE)</f>
        <v>46.463999999999999</v>
      </c>
      <c r="AA1297" s="146">
        <f t="shared" si="595"/>
        <v>46.463999999999999</v>
      </c>
      <c r="AB1297" s="143">
        <f t="shared" si="596"/>
        <v>1</v>
      </c>
      <c r="AC1297" s="133">
        <f t="shared" si="597"/>
        <v>1</v>
      </c>
      <c r="AD1297" s="142">
        <v>1</v>
      </c>
      <c r="AE1297" s="141"/>
      <c r="AF1297" s="121" t="s">
        <v>293</v>
      </c>
      <c r="AG1297" s="146">
        <f>VLOOKUP(Takeoffs!AF1297,Sheet1!$B$6:$C$124,2,FALSE)</f>
        <v>0</v>
      </c>
      <c r="AH1297" s="146">
        <f t="shared" si="598"/>
        <v>0</v>
      </c>
      <c r="AI1297" s="143">
        <f t="shared" si="599"/>
        <v>0</v>
      </c>
      <c r="AJ1297" s="133">
        <f t="shared" si="600"/>
        <v>1</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416</v>
      </c>
      <c r="P1298" s="121" t="s">
        <v>449</v>
      </c>
      <c r="Q1298" s="121" t="s">
        <v>451</v>
      </c>
      <c r="R1298" s="121"/>
      <c r="S1298" s="133">
        <f>M1294</f>
        <v>1</v>
      </c>
      <c r="T1298" s="120"/>
      <c r="U1298" s="121" t="s">
        <v>293</v>
      </c>
      <c r="V1298" s="133">
        <f t="shared" si="594"/>
        <v>1</v>
      </c>
      <c r="W1298" s="133">
        <f>VLOOKUP(U1298,Sheet1!$B$6:$C$45,2,FALSE)*V1298</f>
        <v>0</v>
      </c>
      <c r="X1298" s="141"/>
      <c r="Y1298" s="121" t="s">
        <v>293</v>
      </c>
      <c r="Z1298" s="146">
        <f>VLOOKUP(Takeoffs!Y1298,Sheet1!$B$6:$C$124,2,FALSE)</f>
        <v>0</v>
      </c>
      <c r="AA1298" s="146">
        <f t="shared" si="595"/>
        <v>0</v>
      </c>
      <c r="AB1298" s="143">
        <f t="shared" si="596"/>
        <v>1</v>
      </c>
      <c r="AC1298" s="133">
        <f t="shared" si="597"/>
        <v>1</v>
      </c>
      <c r="AD1298" s="142">
        <v>1</v>
      </c>
      <c r="AE1298" s="141"/>
      <c r="AF1298" s="121" t="s">
        <v>293</v>
      </c>
      <c r="AG1298" s="146">
        <f>VLOOKUP(Takeoffs!AF1298,Sheet1!$B$6:$C$124,2,FALSE)</f>
        <v>0</v>
      </c>
      <c r="AH1298" s="146">
        <f t="shared" si="598"/>
        <v>0</v>
      </c>
      <c r="AI1298" s="143">
        <f t="shared" si="599"/>
        <v>0</v>
      </c>
      <c r="AJ1298" s="133">
        <f t="shared" si="600"/>
        <v>1</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587</v>
      </c>
      <c r="P1299" s="121"/>
      <c r="Q1299" s="121"/>
      <c r="R1299" s="121"/>
      <c r="S1299" s="133">
        <f>M1294</f>
        <v>1</v>
      </c>
      <c r="T1299" s="120"/>
      <c r="U1299" s="117" t="s">
        <v>481</v>
      </c>
      <c r="V1299" s="133">
        <f t="shared" si="594"/>
        <v>1</v>
      </c>
      <c r="W1299" s="133">
        <f>VLOOKUP(U1299,Sheet1!$B$6:$C$45,2,FALSE)*V1299</f>
        <v>2</v>
      </c>
      <c r="X1299" s="141"/>
      <c r="Y1299" s="52" t="s">
        <v>252</v>
      </c>
      <c r="Z1299" s="146">
        <f>VLOOKUP(Takeoffs!Y1299,Sheet1!$B$6:$C$124,2,FALSE)</f>
        <v>43.440000000000005</v>
      </c>
      <c r="AA1299" s="146">
        <f t="shared" si="595"/>
        <v>43.440000000000005</v>
      </c>
      <c r="AB1299" s="143">
        <f t="shared" si="596"/>
        <v>1</v>
      </c>
      <c r="AC1299" s="133">
        <f t="shared" si="597"/>
        <v>1</v>
      </c>
      <c r="AD1299" s="142">
        <v>1</v>
      </c>
      <c r="AE1299" s="141"/>
      <c r="AF1299" s="52" t="s">
        <v>267</v>
      </c>
      <c r="AG1299" s="146">
        <f>VLOOKUP(Takeoffs!AF1299,Sheet1!$B$6:$C$124,2,FALSE)</f>
        <v>3.48</v>
      </c>
      <c r="AH1299" s="146">
        <f t="shared" si="598"/>
        <v>34.799999999999997</v>
      </c>
      <c r="AI1299" s="143">
        <f t="shared" si="599"/>
        <v>10</v>
      </c>
      <c r="AJ1299" s="133">
        <f t="shared" si="600"/>
        <v>1</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588</v>
      </c>
      <c r="P1300" s="121"/>
      <c r="Q1300" s="121"/>
      <c r="R1300" s="121"/>
      <c r="S1300" s="133">
        <f>M1294</f>
        <v>1</v>
      </c>
      <c r="T1300" s="120"/>
      <c r="U1300" s="121" t="s">
        <v>293</v>
      </c>
      <c r="V1300" s="133">
        <f t="shared" si="594"/>
        <v>1</v>
      </c>
      <c r="W1300" s="133">
        <f>VLOOKUP(U1300,Sheet1!$B$6:$C$45,2,FALSE)*V1300</f>
        <v>0</v>
      </c>
      <c r="X1300" s="141"/>
      <c r="Y1300" s="121" t="s">
        <v>293</v>
      </c>
      <c r="Z1300" s="146">
        <f>VLOOKUP(Takeoffs!Y1300,Sheet1!$B$6:$C$124,2,FALSE)</f>
        <v>0</v>
      </c>
      <c r="AA1300" s="146">
        <f t="shared" si="595"/>
        <v>0</v>
      </c>
      <c r="AB1300" s="143">
        <f t="shared" si="596"/>
        <v>1</v>
      </c>
      <c r="AC1300" s="133">
        <f t="shared" si="597"/>
        <v>1</v>
      </c>
      <c r="AD1300" s="142">
        <v>1</v>
      </c>
      <c r="AE1300" s="141"/>
      <c r="AF1300" s="121" t="s">
        <v>293</v>
      </c>
      <c r="AG1300" s="146">
        <f>VLOOKUP(Takeoffs!AF1300,Sheet1!$B$6:$C$124,2,FALSE)</f>
        <v>0</v>
      </c>
      <c r="AH1300" s="146">
        <f t="shared" si="598"/>
        <v>0</v>
      </c>
      <c r="AI1300" s="143">
        <f t="shared" si="599"/>
        <v>0</v>
      </c>
      <c r="AJ1300" s="133">
        <f t="shared" si="600"/>
        <v>1</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1</v>
      </c>
      <c r="T1301" s="120"/>
      <c r="U1301" s="121" t="s">
        <v>293</v>
      </c>
      <c r="V1301" s="133">
        <f t="shared" si="594"/>
        <v>1</v>
      </c>
      <c r="W1301" s="133">
        <f>VLOOKUP(U1301,Sheet1!$B$6:$C$45,2,FALSE)*V1301</f>
        <v>0</v>
      </c>
      <c r="X1301" s="141"/>
      <c r="Y1301" s="121" t="s">
        <v>293</v>
      </c>
      <c r="Z1301" s="146">
        <f>VLOOKUP(Takeoffs!Y1301,Sheet1!$B$6:$C$124,2,FALSE)</f>
        <v>0</v>
      </c>
      <c r="AA1301" s="146">
        <f t="shared" si="595"/>
        <v>0</v>
      </c>
      <c r="AB1301" s="143">
        <f t="shared" si="596"/>
        <v>1</v>
      </c>
      <c r="AC1301" s="133">
        <f t="shared" si="597"/>
        <v>1</v>
      </c>
      <c r="AD1301" s="142">
        <v>1</v>
      </c>
      <c r="AE1301" s="141"/>
      <c r="AF1301" s="121" t="s">
        <v>293</v>
      </c>
      <c r="AG1301" s="146">
        <f>VLOOKUP(Takeoffs!AF1301,Sheet1!$B$6:$C$124,2,FALSE)</f>
        <v>0</v>
      </c>
      <c r="AH1301" s="146">
        <f t="shared" si="598"/>
        <v>0</v>
      </c>
      <c r="AI1301" s="143">
        <f t="shared" si="599"/>
        <v>0</v>
      </c>
      <c r="AJ1301" s="133">
        <f t="shared" si="600"/>
        <v>1</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589</v>
      </c>
      <c r="P1302" s="121" t="s">
        <v>449</v>
      </c>
      <c r="Q1302" s="121" t="s">
        <v>590</v>
      </c>
      <c r="R1302" s="121"/>
      <c r="S1302" s="133">
        <f>M1294</f>
        <v>1</v>
      </c>
      <c r="T1302" s="120"/>
      <c r="U1302" s="117" t="s">
        <v>365</v>
      </c>
      <c r="V1302" s="133">
        <f t="shared" si="594"/>
        <v>1</v>
      </c>
      <c r="W1302" s="133">
        <f>VLOOKUP(U1302,Sheet1!$B$6:$C$45,2,FALSE)*V1302</f>
        <v>1</v>
      </c>
      <c r="X1302" s="141"/>
      <c r="Y1302" s="135" t="s">
        <v>280</v>
      </c>
      <c r="Z1302" s="146">
        <f>VLOOKUP(Takeoffs!Y1302,Sheet1!$B$6:$C$124,2,FALSE)</f>
        <v>19.2</v>
      </c>
      <c r="AA1302" s="146">
        <f t="shared" si="595"/>
        <v>19.2</v>
      </c>
      <c r="AB1302" s="143">
        <f t="shared" si="596"/>
        <v>1</v>
      </c>
      <c r="AC1302" s="133">
        <f t="shared" si="597"/>
        <v>1</v>
      </c>
      <c r="AD1302" s="142">
        <v>1</v>
      </c>
      <c r="AE1302" s="141"/>
      <c r="AF1302" s="122" t="s">
        <v>269</v>
      </c>
      <c r="AG1302" s="146">
        <f>VLOOKUP(Takeoffs!AF1302,Sheet1!$B$6:$C$124,2,FALSE)</f>
        <v>1.056</v>
      </c>
      <c r="AH1302" s="146">
        <f t="shared" si="598"/>
        <v>10.56</v>
      </c>
      <c r="AI1302" s="143">
        <f t="shared" si="599"/>
        <v>10</v>
      </c>
      <c r="AJ1302" s="133">
        <f t="shared" si="600"/>
        <v>1</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1</v>
      </c>
      <c r="T1303" s="120"/>
      <c r="U1303" s="121" t="s">
        <v>293</v>
      </c>
      <c r="V1303" s="133">
        <f t="shared" si="594"/>
        <v>1</v>
      </c>
      <c r="W1303" s="133">
        <f>VLOOKUP(U1303,Sheet1!$B$6:$C$45,2,FALSE)*V1303</f>
        <v>0</v>
      </c>
      <c r="X1303" s="141"/>
      <c r="Y1303" s="121" t="s">
        <v>293</v>
      </c>
      <c r="Z1303" s="146">
        <f>VLOOKUP(Takeoffs!Y1303,Sheet1!$B$6:$C$124,2,FALSE)</f>
        <v>0</v>
      </c>
      <c r="AA1303" s="146">
        <f t="shared" si="595"/>
        <v>0</v>
      </c>
      <c r="AB1303" s="143">
        <f t="shared" si="596"/>
        <v>1</v>
      </c>
      <c r="AC1303" s="133">
        <f t="shared" si="597"/>
        <v>1</v>
      </c>
      <c r="AD1303" s="142">
        <v>1</v>
      </c>
      <c r="AE1303" s="141"/>
      <c r="AF1303" s="121" t="s">
        <v>293</v>
      </c>
      <c r="AG1303" s="146">
        <f>VLOOKUP(Takeoffs!AF1303,Sheet1!$B$6:$C$124,2,FALSE)</f>
        <v>0</v>
      </c>
      <c r="AH1303" s="146">
        <f t="shared" si="598"/>
        <v>0</v>
      </c>
      <c r="AI1303" s="143">
        <f t="shared" si="599"/>
        <v>0</v>
      </c>
      <c r="AJ1303" s="133">
        <f t="shared" si="600"/>
        <v>1</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1</v>
      </c>
      <c r="T1304" s="120"/>
      <c r="U1304" s="117" t="s">
        <v>365</v>
      </c>
      <c r="V1304" s="133">
        <f t="shared" si="594"/>
        <v>1</v>
      </c>
      <c r="W1304" s="133">
        <f>VLOOKUP(U1304,Sheet1!$B$6:$C$45,2,FALSE)*V1304</f>
        <v>1</v>
      </c>
      <c r="X1304" s="141"/>
      <c r="Y1304" s="121" t="s">
        <v>293</v>
      </c>
      <c r="Z1304" s="146">
        <f>VLOOKUP(Takeoffs!Y1304,Sheet1!$B$6:$C$124,2,FALSE)</f>
        <v>0</v>
      </c>
      <c r="AA1304" s="146">
        <f t="shared" si="595"/>
        <v>0</v>
      </c>
      <c r="AB1304" s="143">
        <f t="shared" si="596"/>
        <v>1</v>
      </c>
      <c r="AC1304" s="133">
        <f t="shared" si="597"/>
        <v>1</v>
      </c>
      <c r="AD1304" s="142">
        <v>1</v>
      </c>
      <c r="AE1304" s="141"/>
      <c r="AF1304" s="121" t="s">
        <v>293</v>
      </c>
      <c r="AG1304" s="146">
        <f>VLOOKUP(Takeoffs!AF1304,Sheet1!$B$6:$C$124,2,FALSE)</f>
        <v>0</v>
      </c>
      <c r="AH1304" s="146">
        <f t="shared" si="598"/>
        <v>0</v>
      </c>
      <c r="AI1304" s="143">
        <f t="shared" si="599"/>
        <v>0</v>
      </c>
      <c r="AJ1304" s="133">
        <f t="shared" si="600"/>
        <v>1</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1</v>
      </c>
      <c r="T1305" s="120"/>
      <c r="U1305" s="117" t="s">
        <v>365</v>
      </c>
      <c r="V1305" s="133">
        <f t="shared" si="594"/>
        <v>1</v>
      </c>
      <c r="W1305" s="133">
        <f>VLOOKUP(U1305,Sheet1!$B$6:$C$45,2,FALSE)*V1305</f>
        <v>1</v>
      </c>
      <c r="X1305" s="141"/>
      <c r="Y1305" s="121" t="s">
        <v>293</v>
      </c>
      <c r="Z1305" s="146">
        <f>VLOOKUP(Takeoffs!Y1305,Sheet1!$B$6:$C$124,2,FALSE)</f>
        <v>0</v>
      </c>
      <c r="AA1305" s="146">
        <f t="shared" si="595"/>
        <v>0</v>
      </c>
      <c r="AB1305" s="143">
        <f t="shared" si="596"/>
        <v>1</v>
      </c>
      <c r="AC1305" s="133">
        <f t="shared" si="597"/>
        <v>1</v>
      </c>
      <c r="AD1305" s="142">
        <v>1</v>
      </c>
      <c r="AE1305" s="141"/>
      <c r="AF1305" s="121" t="s">
        <v>293</v>
      </c>
      <c r="AG1305" s="146">
        <f>VLOOKUP(Takeoffs!AF1305,Sheet1!$B$6:$C$124,2,FALSE)</f>
        <v>0</v>
      </c>
      <c r="AH1305" s="146">
        <f t="shared" si="598"/>
        <v>0</v>
      </c>
      <c r="AI1305" s="143">
        <f t="shared" si="599"/>
        <v>0</v>
      </c>
      <c r="AJ1305" s="133">
        <f t="shared" si="600"/>
        <v>1</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1</v>
      </c>
      <c r="T1306" s="120"/>
      <c r="U1306" s="121" t="s">
        <v>293</v>
      </c>
      <c r="V1306" s="133">
        <f t="shared" si="594"/>
        <v>1</v>
      </c>
      <c r="W1306" s="133">
        <f>VLOOKUP(U1306,Sheet1!$B$6:$C$45,2,FALSE)*V1306</f>
        <v>0</v>
      </c>
      <c r="X1306" s="141"/>
      <c r="Y1306" s="121" t="s">
        <v>293</v>
      </c>
      <c r="Z1306" s="146">
        <f>VLOOKUP(Takeoffs!Y1306,Sheet1!$B$6:$C$124,2,FALSE)</f>
        <v>0</v>
      </c>
      <c r="AA1306" s="146">
        <f t="shared" si="595"/>
        <v>0</v>
      </c>
      <c r="AB1306" s="143">
        <f t="shared" si="596"/>
        <v>1</v>
      </c>
      <c r="AC1306" s="133">
        <f t="shared" si="597"/>
        <v>1</v>
      </c>
      <c r="AD1306" s="142">
        <v>1</v>
      </c>
      <c r="AE1306" s="141"/>
      <c r="AF1306" s="121" t="s">
        <v>293</v>
      </c>
      <c r="AG1306" s="146">
        <f>VLOOKUP(Takeoffs!AF1306,Sheet1!$B$6:$C$124,2,FALSE)</f>
        <v>0</v>
      </c>
      <c r="AH1306" s="146">
        <f t="shared" si="598"/>
        <v>0</v>
      </c>
      <c r="AI1306" s="143">
        <f t="shared" si="599"/>
        <v>0</v>
      </c>
      <c r="AJ1306" s="133">
        <f t="shared" si="600"/>
        <v>1</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1</v>
      </c>
      <c r="T1307" s="120"/>
      <c r="U1307" s="121" t="s">
        <v>293</v>
      </c>
      <c r="V1307" s="133">
        <f t="shared" si="594"/>
        <v>1</v>
      </c>
      <c r="W1307" s="133">
        <f>VLOOKUP(U1307,Sheet1!$B$6:$C$45,2,FALSE)*V1307</f>
        <v>0</v>
      </c>
      <c r="X1307" s="141"/>
      <c r="Y1307" s="121" t="s">
        <v>293</v>
      </c>
      <c r="Z1307" s="146">
        <f>VLOOKUP(Takeoffs!Y1307,Sheet1!$B$6:$C$124,2,FALSE)</f>
        <v>0</v>
      </c>
      <c r="AA1307" s="146">
        <f t="shared" si="595"/>
        <v>0</v>
      </c>
      <c r="AB1307" s="143">
        <f t="shared" si="596"/>
        <v>1</v>
      </c>
      <c r="AC1307" s="133">
        <f t="shared" si="597"/>
        <v>1</v>
      </c>
      <c r="AD1307" s="142">
        <v>1</v>
      </c>
      <c r="AE1307" s="141"/>
      <c r="AF1307" s="121" t="s">
        <v>293</v>
      </c>
      <c r="AG1307" s="146">
        <f>VLOOKUP(Takeoffs!AF1307,Sheet1!$B$6:$C$124,2,FALSE)</f>
        <v>0</v>
      </c>
      <c r="AH1307" s="146">
        <f t="shared" si="598"/>
        <v>0</v>
      </c>
      <c r="AI1307" s="143">
        <f t="shared" si="599"/>
        <v>0</v>
      </c>
      <c r="AJ1307" s="133">
        <f t="shared" si="600"/>
        <v>1</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1</v>
      </c>
      <c r="T1308" s="120"/>
      <c r="U1308" s="121" t="s">
        <v>293</v>
      </c>
      <c r="V1308" s="133">
        <f t="shared" si="594"/>
        <v>1</v>
      </c>
      <c r="W1308" s="133">
        <f>VLOOKUP(U1308,Sheet1!$B$6:$C$45,2,FALSE)*V1308</f>
        <v>0</v>
      </c>
      <c r="X1308" s="141"/>
      <c r="Y1308" s="121" t="s">
        <v>293</v>
      </c>
      <c r="Z1308" s="146">
        <f>VLOOKUP(Takeoffs!Y1308,Sheet1!$B$6:$C$124,2,FALSE)</f>
        <v>0</v>
      </c>
      <c r="AA1308" s="146">
        <f t="shared" si="595"/>
        <v>0</v>
      </c>
      <c r="AB1308" s="143">
        <f t="shared" si="596"/>
        <v>1</v>
      </c>
      <c r="AC1308" s="133">
        <f t="shared" si="597"/>
        <v>1</v>
      </c>
      <c r="AD1308" s="142">
        <v>1</v>
      </c>
      <c r="AE1308" s="141"/>
      <c r="AF1308" s="121" t="s">
        <v>293</v>
      </c>
      <c r="AG1308" s="146">
        <f>VLOOKUP(Takeoffs!AF1308,Sheet1!$B$6:$C$124,2,FALSE)</f>
        <v>0</v>
      </c>
      <c r="AH1308" s="146">
        <f t="shared" si="598"/>
        <v>0</v>
      </c>
      <c r="AI1308" s="143">
        <f t="shared" si="599"/>
        <v>0</v>
      </c>
      <c r="AJ1308" s="133">
        <f t="shared" si="600"/>
        <v>1</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1</v>
      </c>
      <c r="T1309" s="120"/>
      <c r="U1309" s="121" t="s">
        <v>293</v>
      </c>
      <c r="V1309" s="133">
        <f t="shared" si="594"/>
        <v>1</v>
      </c>
      <c r="W1309" s="133">
        <f>VLOOKUP(U1309,Sheet1!$B$6:$C$45,2,FALSE)*V1309</f>
        <v>0</v>
      </c>
      <c r="X1309" s="141"/>
      <c r="Y1309" s="121" t="s">
        <v>293</v>
      </c>
      <c r="Z1309" s="146">
        <f>VLOOKUP(Takeoffs!Y1309,Sheet1!$B$6:$C$124,2,FALSE)</f>
        <v>0</v>
      </c>
      <c r="AA1309" s="146">
        <f t="shared" si="595"/>
        <v>0</v>
      </c>
      <c r="AB1309" s="143">
        <f t="shared" si="596"/>
        <v>1</v>
      </c>
      <c r="AC1309" s="133">
        <f t="shared" si="597"/>
        <v>1</v>
      </c>
      <c r="AD1309" s="142">
        <v>1</v>
      </c>
      <c r="AE1309" s="141"/>
      <c r="AF1309" s="121" t="s">
        <v>293</v>
      </c>
      <c r="AG1309" s="146">
        <f>VLOOKUP(Takeoffs!AF1309,Sheet1!$B$6:$C$124,2,FALSE)</f>
        <v>0</v>
      </c>
      <c r="AH1309" s="146">
        <f t="shared" si="598"/>
        <v>0</v>
      </c>
      <c r="AI1309" s="143">
        <f t="shared" si="599"/>
        <v>0</v>
      </c>
      <c r="AJ1309" s="133">
        <f t="shared" si="600"/>
        <v>1</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1</v>
      </c>
      <c r="T1310" s="120"/>
      <c r="U1310" s="121" t="s">
        <v>293</v>
      </c>
      <c r="V1310" s="133">
        <f t="shared" si="594"/>
        <v>1</v>
      </c>
      <c r="W1310" s="133">
        <f>VLOOKUP(U1310,Sheet1!$B$6:$C$45,2,FALSE)*V1310</f>
        <v>0</v>
      </c>
      <c r="X1310" s="141"/>
      <c r="Y1310" s="121" t="s">
        <v>293</v>
      </c>
      <c r="Z1310" s="146">
        <f>VLOOKUP(Takeoffs!Y1310,Sheet1!$B$6:$C$124,2,FALSE)</f>
        <v>0</v>
      </c>
      <c r="AA1310" s="146">
        <f t="shared" si="595"/>
        <v>0</v>
      </c>
      <c r="AB1310" s="143">
        <f t="shared" si="596"/>
        <v>1</v>
      </c>
      <c r="AC1310" s="133">
        <f t="shared" si="597"/>
        <v>1</v>
      </c>
      <c r="AD1310" s="142">
        <v>1</v>
      </c>
      <c r="AE1310" s="141"/>
      <c r="AF1310" s="121" t="s">
        <v>293</v>
      </c>
      <c r="AG1310" s="146">
        <f>VLOOKUP(Takeoffs!AF1310,Sheet1!$B$6:$C$124,2,FALSE)</f>
        <v>0</v>
      </c>
      <c r="AH1310" s="146">
        <f t="shared" si="598"/>
        <v>0</v>
      </c>
      <c r="AI1310" s="143">
        <f t="shared" si="599"/>
        <v>0</v>
      </c>
      <c r="AJ1310" s="133">
        <f t="shared" si="600"/>
        <v>1</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1</v>
      </c>
      <c r="T1311" s="120"/>
      <c r="U1311" s="121" t="s">
        <v>293</v>
      </c>
      <c r="V1311" s="133">
        <f t="shared" si="594"/>
        <v>1</v>
      </c>
      <c r="W1311" s="133">
        <f>VLOOKUP(U1311,Sheet1!$B$6:$C$45,2,FALSE)*V1311</f>
        <v>0</v>
      </c>
      <c r="X1311" s="141"/>
      <c r="Y1311" s="121" t="s">
        <v>293</v>
      </c>
      <c r="Z1311" s="146">
        <f>VLOOKUP(Takeoffs!Y1311,Sheet1!$B$6:$C$124,2,FALSE)</f>
        <v>0</v>
      </c>
      <c r="AA1311" s="146">
        <f t="shared" si="595"/>
        <v>0</v>
      </c>
      <c r="AB1311" s="143">
        <f t="shared" si="596"/>
        <v>1</v>
      </c>
      <c r="AC1311" s="133">
        <f t="shared" si="597"/>
        <v>1</v>
      </c>
      <c r="AD1311" s="142">
        <v>1</v>
      </c>
      <c r="AE1311" s="141"/>
      <c r="AF1311" s="121" t="s">
        <v>293</v>
      </c>
      <c r="AG1311" s="146">
        <f>VLOOKUP(Takeoffs!AF1311,Sheet1!$B$6:$C$124,2,FALSE)</f>
        <v>0</v>
      </c>
      <c r="AH1311" s="146">
        <f t="shared" si="598"/>
        <v>0</v>
      </c>
      <c r="AI1311" s="143">
        <f t="shared" si="599"/>
        <v>0</v>
      </c>
      <c r="AJ1311" s="133">
        <f t="shared" si="600"/>
        <v>1</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1</v>
      </c>
      <c r="T1312" s="120"/>
      <c r="U1312" s="121" t="s">
        <v>293</v>
      </c>
      <c r="V1312" s="133">
        <f t="shared" si="594"/>
        <v>1</v>
      </c>
      <c r="W1312" s="133">
        <f>VLOOKUP(U1312,Sheet1!$B$6:$C$45,2,FALSE)*V1312</f>
        <v>0</v>
      </c>
      <c r="X1312" s="141"/>
      <c r="Y1312" s="121" t="s">
        <v>293</v>
      </c>
      <c r="Z1312" s="146">
        <f>VLOOKUP(Takeoffs!Y1312,Sheet1!$B$6:$C$124,2,FALSE)</f>
        <v>0</v>
      </c>
      <c r="AA1312" s="146">
        <f t="shared" si="595"/>
        <v>0</v>
      </c>
      <c r="AB1312" s="143">
        <f t="shared" si="596"/>
        <v>1</v>
      </c>
      <c r="AC1312" s="133">
        <f t="shared" si="597"/>
        <v>1</v>
      </c>
      <c r="AD1312" s="142">
        <v>1</v>
      </c>
      <c r="AE1312" s="141"/>
      <c r="AF1312" s="121" t="s">
        <v>293</v>
      </c>
      <c r="AG1312" s="146">
        <f>VLOOKUP(Takeoffs!AF1312,Sheet1!$B$6:$C$124,2,FALSE)</f>
        <v>0</v>
      </c>
      <c r="AH1312" s="146">
        <f t="shared" si="598"/>
        <v>0</v>
      </c>
      <c r="AI1312" s="143">
        <f t="shared" si="599"/>
        <v>0</v>
      </c>
      <c r="AJ1312" s="133">
        <f t="shared" si="600"/>
        <v>1</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1</v>
      </c>
      <c r="T1313" s="120"/>
      <c r="U1313" s="121" t="s">
        <v>293</v>
      </c>
      <c r="V1313" s="133">
        <f t="shared" si="594"/>
        <v>1</v>
      </c>
      <c r="W1313" s="133">
        <f>VLOOKUP(U1313,Sheet1!$B$6:$C$45,2,FALSE)*V1313</f>
        <v>0</v>
      </c>
      <c r="X1313" s="141"/>
      <c r="Y1313" s="121" t="s">
        <v>293</v>
      </c>
      <c r="Z1313" s="146">
        <f>VLOOKUP(Takeoffs!Y1313,Sheet1!$B$6:$C$124,2,FALSE)</f>
        <v>0</v>
      </c>
      <c r="AA1313" s="146">
        <f t="shared" si="595"/>
        <v>0</v>
      </c>
      <c r="AB1313" s="143">
        <f t="shared" si="596"/>
        <v>1</v>
      </c>
      <c r="AC1313" s="133">
        <f t="shared" si="597"/>
        <v>1</v>
      </c>
      <c r="AD1313" s="142">
        <v>1</v>
      </c>
      <c r="AE1313" s="141"/>
      <c r="AF1313" s="121" t="s">
        <v>293</v>
      </c>
      <c r="AG1313" s="146">
        <f>VLOOKUP(Takeoffs!AF1313,Sheet1!$B$6:$C$124,2,FALSE)</f>
        <v>0</v>
      </c>
      <c r="AH1313" s="146">
        <f t="shared" si="598"/>
        <v>0</v>
      </c>
      <c r="AI1313" s="143">
        <f t="shared" si="599"/>
        <v>0</v>
      </c>
      <c r="AJ1313" s="133">
        <f t="shared" si="600"/>
        <v>1</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1</v>
      </c>
      <c r="T1314" s="120"/>
      <c r="U1314" s="121" t="s">
        <v>293</v>
      </c>
      <c r="V1314" s="133">
        <f t="shared" si="594"/>
        <v>1</v>
      </c>
      <c r="W1314" s="133">
        <f>VLOOKUP(U1314,Sheet1!$B$6:$C$45,2,FALSE)*V1314</f>
        <v>0</v>
      </c>
      <c r="X1314" s="141"/>
      <c r="Y1314" s="121" t="s">
        <v>293</v>
      </c>
      <c r="Z1314" s="146">
        <f>VLOOKUP(Takeoffs!Y1314,Sheet1!$B$6:$C$124,2,FALSE)</f>
        <v>0</v>
      </c>
      <c r="AA1314" s="146">
        <f t="shared" si="595"/>
        <v>0</v>
      </c>
      <c r="AB1314" s="143">
        <f t="shared" si="596"/>
        <v>1</v>
      </c>
      <c r="AC1314" s="133">
        <f t="shared" si="597"/>
        <v>1</v>
      </c>
      <c r="AD1314" s="142">
        <v>1</v>
      </c>
      <c r="AE1314" s="141"/>
      <c r="AF1314" s="121" t="s">
        <v>293</v>
      </c>
      <c r="AG1314" s="146">
        <f>VLOOKUP(Takeoffs!AF1314,Sheet1!$B$6:$C$124,2,FALSE)</f>
        <v>0</v>
      </c>
      <c r="AH1314" s="146">
        <f t="shared" si="598"/>
        <v>0</v>
      </c>
      <c r="AI1314" s="143">
        <f t="shared" si="599"/>
        <v>0</v>
      </c>
      <c r="AJ1314" s="133">
        <f t="shared" si="600"/>
        <v>1</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379</v>
      </c>
      <c r="L1315" s="128" t="s">
        <v>380</v>
      </c>
      <c r="N1315" s="129"/>
      <c r="O1315" s="130" t="s">
        <v>359</v>
      </c>
      <c r="P1315" s="131">
        <f>V1315+AA1315+AH1315</f>
        <v>954.62400000000002</v>
      </c>
      <c r="Q1315" s="131"/>
      <c r="R1315" s="131"/>
      <c r="S1315" s="130"/>
      <c r="T1315" s="127"/>
      <c r="U1315" s="126" t="s">
        <v>353</v>
      </c>
      <c r="V1315" s="127">
        <f>W1315*80</f>
        <v>720</v>
      </c>
      <c r="W1315" s="147">
        <f>SUM(W1294:W1314)</f>
        <v>9</v>
      </c>
      <c r="X1315" s="148"/>
      <c r="Y1315" s="127" t="s">
        <v>354</v>
      </c>
      <c r="Z1315" s="116"/>
      <c r="AA1315" s="116">
        <f>SUM(AA1294:AA1314)</f>
        <v>109.104</v>
      </c>
      <c r="AB1315" s="149"/>
      <c r="AC1315" s="149"/>
      <c r="AD1315" s="149"/>
      <c r="AE1315" s="149"/>
      <c r="AF1315" s="127" t="s">
        <v>358</v>
      </c>
      <c r="AG1315" s="116"/>
      <c r="AH1315" s="116">
        <f>SUM(AH1294:AH1314)</f>
        <v>125.52</v>
      </c>
      <c r="AI1315" s="149"/>
      <c r="AJ1315" s="149"/>
      <c r="AK1315" s="149"/>
      <c r="AL1315" s="149"/>
      <c r="AM1315" s="150">
        <f>P1315</f>
        <v>954.62400000000002</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494</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v>1</v>
      </c>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one (1)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954.62400000000002</v>
      </c>
      <c r="L1316" s="234" t="str">
        <f>CONCATENATE(Q1295,Q1296,Q1297,Q1298,Q1299,Q1300,Q1301,Q1302,Q1303,Q1304,Q1305,Q1306,Q1307,Q1308,Q1309,Q1310,Q1311,Q1312,Q1313,Q1314,)</f>
        <v xml:space="preserve">proprietary air-conditioning controllers. interface card for air-conditioning controllers. </v>
      </c>
      <c r="M1316" s="166" t="s">
        <v>369</v>
      </c>
      <c r="N1316" s="160" t="str">
        <f>N1294</f>
        <v>DX CRAC Systems - MSSB powered with run and fault lights</v>
      </c>
      <c r="O1316" s="160" t="s">
        <v>367</v>
      </c>
      <c r="P1316" s="64">
        <f>P1315/M1294</f>
        <v>954.62400000000002</v>
      </c>
      <c r="Q1316" s="161"/>
      <c r="R1316" s="161"/>
      <c r="S1316" s="160"/>
      <c r="T1316" s="161"/>
      <c r="U1316" s="327" t="s">
        <v>368</v>
      </c>
      <c r="V1316" s="327"/>
      <c r="W1316" s="162">
        <f>W1315/M1294</f>
        <v>9</v>
      </c>
      <c r="X1316" s="163"/>
      <c r="Y1316" s="325" t="s">
        <v>367</v>
      </c>
      <c r="Z1316" s="325"/>
      <c r="AA1316" s="164">
        <f>AA1315/M1294</f>
        <v>109.104</v>
      </c>
      <c r="AB1316" s="161"/>
      <c r="AC1316" s="161"/>
      <c r="AD1316" s="161"/>
      <c r="AE1316" s="161"/>
      <c r="AF1316" s="325" t="s">
        <v>367</v>
      </c>
      <c r="AG1316" s="325"/>
      <c r="AH1316" s="164">
        <f>AH1315/M1294</f>
        <v>125.52</v>
      </c>
      <c r="AI1316" s="161"/>
      <c r="AJ1316" s="161"/>
      <c r="AK1316" s="161"/>
      <c r="AL1316" s="247"/>
      <c r="AM1316" s="257"/>
      <c r="AN1316" s="230">
        <f>K1316*1.25</f>
        <v>1193.28</v>
      </c>
      <c r="AO1316" s="286"/>
      <c r="AP1316" s="284">
        <f t="shared" si="602"/>
        <v>954.62400000000002</v>
      </c>
      <c r="AQ1316" s="281">
        <f t="shared" si="603"/>
        <v>720</v>
      </c>
      <c r="AR1316" s="284">
        <f t="shared" si="604"/>
        <v>109.104</v>
      </c>
      <c r="AS1316" s="281">
        <f t="shared" si="605"/>
        <v>125.52</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454</v>
      </c>
      <c r="M1317" s="116" t="s">
        <v>299</v>
      </c>
      <c r="N1317" s="116" t="s">
        <v>108</v>
      </c>
      <c r="O1317" s="170" t="s">
        <v>388</v>
      </c>
      <c r="P1317" s="326" t="s">
        <v>377</v>
      </c>
      <c r="Q1317" s="326"/>
      <c r="R1317" s="101" t="s">
        <v>454</v>
      </c>
      <c r="S1317" s="116" t="s">
        <v>0</v>
      </c>
      <c r="T1317" s="118"/>
      <c r="U1317" s="116" t="s">
        <v>288</v>
      </c>
      <c r="V1317" s="116" t="s">
        <v>289</v>
      </c>
      <c r="W1317" s="116" t="s">
        <v>292</v>
      </c>
      <c r="X1317" s="140"/>
      <c r="Y1317" s="116" t="s">
        <v>290</v>
      </c>
      <c r="Z1317" s="116" t="s">
        <v>356</v>
      </c>
      <c r="AA1317" s="116" t="s">
        <v>357</v>
      </c>
      <c r="AB1317" s="116" t="s">
        <v>319</v>
      </c>
      <c r="AC1317" s="116" t="s">
        <v>320</v>
      </c>
      <c r="AD1317" s="116" t="s">
        <v>318</v>
      </c>
      <c r="AE1317" s="140"/>
      <c r="AF1317" s="116" t="s">
        <v>294</v>
      </c>
      <c r="AG1317" s="116" t="s">
        <v>356</v>
      </c>
      <c r="AH1317" s="116" t="s">
        <v>357</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one</v>
      </c>
      <c r="M1318" s="121">
        <f>I1340</f>
        <v>1</v>
      </c>
      <c r="N1318" s="132" t="s">
        <v>586</v>
      </c>
      <c r="O1318" s="121" t="s">
        <v>138</v>
      </c>
      <c r="P1318" s="169" t="s">
        <v>381</v>
      </c>
      <c r="Q1318" s="169" t="s">
        <v>377</v>
      </c>
      <c r="R1318" s="169"/>
      <c r="S1318" s="133">
        <f>M1318</f>
        <v>1</v>
      </c>
      <c r="T1318" s="119"/>
      <c r="U1318" s="121" t="s">
        <v>293</v>
      </c>
      <c r="V1318" s="133">
        <f>S1318</f>
        <v>1</v>
      </c>
      <c r="W1318" s="133">
        <f>VLOOKUP(U1318,Sheet1!$B$6:$C$45,2,FALSE)*V1318</f>
        <v>0</v>
      </c>
      <c r="X1318" s="141"/>
      <c r="Y1318" s="121" t="s">
        <v>293</v>
      </c>
      <c r="Z1318" s="146">
        <f>VLOOKUP(Takeoffs!Y1318,Sheet1!$B$6:$C$124,2,FALSE)</f>
        <v>0</v>
      </c>
      <c r="AA1318" s="146">
        <f>Z1318*AB1318</f>
        <v>0</v>
      </c>
      <c r="AB1318" s="143">
        <f>AD1318*AC1318</f>
        <v>1</v>
      </c>
      <c r="AC1318" s="133">
        <f>S1318</f>
        <v>1</v>
      </c>
      <c r="AD1318" s="142">
        <v>1</v>
      </c>
      <c r="AE1318" s="141"/>
      <c r="AF1318" s="121" t="s">
        <v>293</v>
      </c>
      <c r="AG1318" s="146">
        <f>VLOOKUP(Takeoffs!AF1318,Sheet1!$B$6:$C$124,2,FALSE)</f>
        <v>0</v>
      </c>
      <c r="AH1318" s="146">
        <f>AG1318*AI1318</f>
        <v>0</v>
      </c>
      <c r="AI1318" s="143">
        <f>AK1318*AJ1318</f>
        <v>0</v>
      </c>
      <c r="AJ1318" s="133">
        <f>S1318</f>
        <v>1</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428</v>
      </c>
      <c r="P1319" s="121"/>
      <c r="Q1319" s="121"/>
      <c r="R1319" s="121"/>
      <c r="S1319" s="133">
        <f>M1318</f>
        <v>1</v>
      </c>
      <c r="T1319" s="120"/>
      <c r="U1319" s="121" t="s">
        <v>293</v>
      </c>
      <c r="V1319" s="133">
        <f t="shared" ref="V1319:V1338" si="608">S1319</f>
        <v>1</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1</v>
      </c>
      <c r="AC1319" s="133">
        <f t="shared" ref="AC1319:AC1338" si="611">S1319</f>
        <v>1</v>
      </c>
      <c r="AD1319" s="142">
        <v>1</v>
      </c>
      <c r="AE1319" s="141"/>
      <c r="AF1319" s="122" t="s">
        <v>269</v>
      </c>
      <c r="AG1319" s="146">
        <f>VLOOKUP(Takeoffs!AF1319,Sheet1!$B$6:$C$124,2,FALSE)</f>
        <v>1.056</v>
      </c>
      <c r="AH1319" s="146">
        <f t="shared" ref="AH1319:AH1338" si="612">AG1319*AI1319</f>
        <v>10.56</v>
      </c>
      <c r="AI1319" s="143">
        <f t="shared" ref="AI1319:AI1338" si="613">AK1319*AJ1319</f>
        <v>10</v>
      </c>
      <c r="AJ1319" s="133">
        <f t="shared" ref="AJ1319:AJ1338" si="614">S1319</f>
        <v>1</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394</v>
      </c>
      <c r="P1320" s="121"/>
      <c r="Q1320" s="121"/>
      <c r="R1320" s="121"/>
      <c r="S1320" s="133">
        <f>M1318</f>
        <v>1</v>
      </c>
      <c r="T1320" s="120"/>
      <c r="U1320" s="121" t="s">
        <v>287</v>
      </c>
      <c r="V1320" s="133">
        <f t="shared" si="608"/>
        <v>1</v>
      </c>
      <c r="W1320" s="133">
        <f>VLOOKUP(U1320,Sheet1!$B$6:$C$45,2,FALSE)*V1320</f>
        <v>4</v>
      </c>
      <c r="X1320" s="141"/>
      <c r="Y1320" s="121" t="s">
        <v>293</v>
      </c>
      <c r="Z1320" s="146">
        <f>VLOOKUP(Takeoffs!Y1320,Sheet1!$B$6:$C$124,2,FALSE)</f>
        <v>0</v>
      </c>
      <c r="AA1320" s="146">
        <f t="shared" si="609"/>
        <v>0</v>
      </c>
      <c r="AB1320" s="143">
        <f t="shared" si="610"/>
        <v>1</v>
      </c>
      <c r="AC1320" s="133">
        <f t="shared" si="611"/>
        <v>1</v>
      </c>
      <c r="AD1320" s="142">
        <v>1</v>
      </c>
      <c r="AE1320" s="141"/>
      <c r="AF1320" s="122" t="s">
        <v>268</v>
      </c>
      <c r="AG1320" s="146">
        <f>VLOOKUP(Takeoffs!AF1320,Sheet1!$B$6:$C$124,2,FALSE)</f>
        <v>1.02</v>
      </c>
      <c r="AH1320" s="146">
        <f t="shared" si="612"/>
        <v>10.199999999999999</v>
      </c>
      <c r="AI1320" s="143">
        <f t="shared" si="613"/>
        <v>10</v>
      </c>
      <c r="AJ1320" s="133">
        <f t="shared" si="614"/>
        <v>1</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415</v>
      </c>
      <c r="P1321" s="121"/>
      <c r="Q1321" s="121"/>
      <c r="R1321" s="121"/>
      <c r="S1321" s="133">
        <f>M1318</f>
        <v>1</v>
      </c>
      <c r="T1321" s="120"/>
      <c r="U1321" s="121" t="s">
        <v>293</v>
      </c>
      <c r="V1321" s="133">
        <f t="shared" si="608"/>
        <v>1</v>
      </c>
      <c r="W1321" s="133">
        <f>VLOOKUP(U1321,Sheet1!$B$6:$C$45,2,FALSE)*V1321</f>
        <v>0</v>
      </c>
      <c r="X1321" s="141"/>
      <c r="Y1321" s="122" t="s">
        <v>247</v>
      </c>
      <c r="Z1321" s="146">
        <f>VLOOKUP(Takeoffs!Y1321,Sheet1!$B$6:$C$124,2,FALSE)</f>
        <v>23.76</v>
      </c>
      <c r="AA1321" s="146">
        <f t="shared" si="609"/>
        <v>23.76</v>
      </c>
      <c r="AB1321" s="143">
        <f t="shared" si="610"/>
        <v>1</v>
      </c>
      <c r="AC1321" s="133">
        <f t="shared" si="611"/>
        <v>1</v>
      </c>
      <c r="AD1321" s="142">
        <v>1</v>
      </c>
      <c r="AE1321" s="141"/>
      <c r="AF1321" s="121" t="s">
        <v>293</v>
      </c>
      <c r="AG1321" s="146">
        <f>VLOOKUP(Takeoffs!AF1321,Sheet1!$B$6:$C$124,2,FALSE)</f>
        <v>0</v>
      </c>
      <c r="AH1321" s="146">
        <f t="shared" si="612"/>
        <v>0</v>
      </c>
      <c r="AI1321" s="143">
        <f t="shared" si="613"/>
        <v>0</v>
      </c>
      <c r="AJ1321" s="133">
        <f t="shared" si="614"/>
        <v>1</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416</v>
      </c>
      <c r="P1322" s="121" t="s">
        <v>449</v>
      </c>
      <c r="Q1322" s="121" t="s">
        <v>451</v>
      </c>
      <c r="R1322" s="121"/>
      <c r="S1322" s="133">
        <f>M1318</f>
        <v>1</v>
      </c>
      <c r="T1322" s="120"/>
      <c r="U1322" s="121" t="s">
        <v>293</v>
      </c>
      <c r="V1322" s="133">
        <f t="shared" si="608"/>
        <v>1</v>
      </c>
      <c r="W1322" s="133">
        <f>VLOOKUP(U1322,Sheet1!$B$6:$C$45,2,FALSE)*V1322</f>
        <v>0</v>
      </c>
      <c r="X1322" s="141"/>
      <c r="Y1322" s="121" t="s">
        <v>293</v>
      </c>
      <c r="Z1322" s="146">
        <f>VLOOKUP(Takeoffs!Y1322,Sheet1!$B$6:$C$124,2,FALSE)</f>
        <v>0</v>
      </c>
      <c r="AA1322" s="146">
        <f t="shared" si="609"/>
        <v>0</v>
      </c>
      <c r="AB1322" s="143">
        <f t="shared" si="610"/>
        <v>1</v>
      </c>
      <c r="AC1322" s="133">
        <f t="shared" si="611"/>
        <v>1</v>
      </c>
      <c r="AD1322" s="142">
        <v>1</v>
      </c>
      <c r="AE1322" s="141"/>
      <c r="AF1322" s="121" t="s">
        <v>293</v>
      </c>
      <c r="AG1322" s="146">
        <f>VLOOKUP(Takeoffs!AF1322,Sheet1!$B$6:$C$124,2,FALSE)</f>
        <v>0</v>
      </c>
      <c r="AH1322" s="146">
        <f t="shared" si="612"/>
        <v>0</v>
      </c>
      <c r="AI1322" s="143">
        <f t="shared" si="613"/>
        <v>0</v>
      </c>
      <c r="AJ1322" s="133">
        <f t="shared" si="614"/>
        <v>1</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587</v>
      </c>
      <c r="P1323" s="121"/>
      <c r="Q1323" s="121"/>
      <c r="R1323" s="121"/>
      <c r="S1323" s="133">
        <f>M1318</f>
        <v>1</v>
      </c>
      <c r="T1323" s="120"/>
      <c r="U1323" s="117" t="s">
        <v>481</v>
      </c>
      <c r="V1323" s="133">
        <f t="shared" si="608"/>
        <v>1</v>
      </c>
      <c r="W1323" s="133">
        <f>VLOOKUP(U1323,Sheet1!$B$6:$C$45,2,FALSE)*V1323</f>
        <v>2</v>
      </c>
      <c r="X1323" s="141"/>
      <c r="Y1323" s="52" t="s">
        <v>253</v>
      </c>
      <c r="Z1323" s="146">
        <f>VLOOKUP(Takeoffs!Y1323,Sheet1!$B$6:$C$124,2,FALSE)</f>
        <v>10.139999999999999</v>
      </c>
      <c r="AA1323" s="146">
        <f t="shared" si="609"/>
        <v>10.139999999999999</v>
      </c>
      <c r="AB1323" s="143">
        <f t="shared" si="610"/>
        <v>1</v>
      </c>
      <c r="AC1323" s="133">
        <f t="shared" si="611"/>
        <v>1</v>
      </c>
      <c r="AD1323" s="142">
        <v>1</v>
      </c>
      <c r="AE1323" s="141"/>
      <c r="AF1323" s="122" t="s">
        <v>268</v>
      </c>
      <c r="AG1323" s="146">
        <f>VLOOKUP(Takeoffs!AF1323,Sheet1!$B$6:$C$124,2,FALSE)</f>
        <v>1.02</v>
      </c>
      <c r="AH1323" s="146">
        <f t="shared" si="612"/>
        <v>10.199999999999999</v>
      </c>
      <c r="AI1323" s="143">
        <f t="shared" si="613"/>
        <v>10</v>
      </c>
      <c r="AJ1323" s="133">
        <f t="shared" si="614"/>
        <v>1</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588</v>
      </c>
      <c r="P1324" s="121"/>
      <c r="Q1324" s="121"/>
      <c r="R1324" s="121"/>
      <c r="S1324" s="133">
        <f>M1318</f>
        <v>1</v>
      </c>
      <c r="T1324" s="120"/>
      <c r="U1324" s="121" t="s">
        <v>293</v>
      </c>
      <c r="V1324" s="133">
        <f t="shared" si="608"/>
        <v>1</v>
      </c>
      <c r="W1324" s="133">
        <f>VLOOKUP(U1324,Sheet1!$B$6:$C$45,2,FALSE)*V1324</f>
        <v>0</v>
      </c>
      <c r="X1324" s="141"/>
      <c r="Y1324" s="121" t="s">
        <v>293</v>
      </c>
      <c r="Z1324" s="146">
        <f>VLOOKUP(Takeoffs!Y1324,Sheet1!$B$6:$C$124,2,FALSE)</f>
        <v>0</v>
      </c>
      <c r="AA1324" s="146">
        <f t="shared" si="609"/>
        <v>0</v>
      </c>
      <c r="AB1324" s="143">
        <f t="shared" si="610"/>
        <v>1</v>
      </c>
      <c r="AC1324" s="133">
        <f t="shared" si="611"/>
        <v>1</v>
      </c>
      <c r="AD1324" s="142">
        <v>1</v>
      </c>
      <c r="AE1324" s="141"/>
      <c r="AF1324" s="121" t="s">
        <v>293</v>
      </c>
      <c r="AG1324" s="146">
        <f>VLOOKUP(Takeoffs!AF1324,Sheet1!$B$6:$C$124,2,FALSE)</f>
        <v>0</v>
      </c>
      <c r="AH1324" s="146">
        <f t="shared" si="612"/>
        <v>0</v>
      </c>
      <c r="AI1324" s="143">
        <f t="shared" si="613"/>
        <v>0</v>
      </c>
      <c r="AJ1324" s="133">
        <f t="shared" si="614"/>
        <v>1</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1</v>
      </c>
      <c r="T1325" s="120"/>
      <c r="U1325" s="121" t="s">
        <v>293</v>
      </c>
      <c r="V1325" s="133">
        <f t="shared" si="608"/>
        <v>1</v>
      </c>
      <c r="W1325" s="133">
        <f>VLOOKUP(U1325,Sheet1!$B$6:$C$45,2,FALSE)*V1325</f>
        <v>0</v>
      </c>
      <c r="X1325" s="141"/>
      <c r="Y1325" s="121" t="s">
        <v>293</v>
      </c>
      <c r="Z1325" s="146">
        <f>VLOOKUP(Takeoffs!Y1325,Sheet1!$B$6:$C$124,2,FALSE)</f>
        <v>0</v>
      </c>
      <c r="AA1325" s="146">
        <f t="shared" si="609"/>
        <v>0</v>
      </c>
      <c r="AB1325" s="143">
        <f t="shared" si="610"/>
        <v>1</v>
      </c>
      <c r="AC1325" s="133">
        <f t="shared" si="611"/>
        <v>1</v>
      </c>
      <c r="AD1325" s="142">
        <v>1</v>
      </c>
      <c r="AE1325" s="141"/>
      <c r="AF1325" s="121" t="s">
        <v>293</v>
      </c>
      <c r="AG1325" s="146">
        <f>VLOOKUP(Takeoffs!AF1325,Sheet1!$B$6:$C$124,2,FALSE)</f>
        <v>0</v>
      </c>
      <c r="AH1325" s="146">
        <f t="shared" si="612"/>
        <v>0</v>
      </c>
      <c r="AI1325" s="143">
        <f t="shared" si="613"/>
        <v>0</v>
      </c>
      <c r="AJ1325" s="133">
        <f t="shared" si="614"/>
        <v>1</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589</v>
      </c>
      <c r="P1326" s="121" t="s">
        <v>449</v>
      </c>
      <c r="Q1326" s="121" t="s">
        <v>590</v>
      </c>
      <c r="R1326" s="121"/>
      <c r="S1326" s="133">
        <f>M1318</f>
        <v>1</v>
      </c>
      <c r="T1326" s="120"/>
      <c r="U1326" s="117" t="s">
        <v>365</v>
      </c>
      <c r="V1326" s="133">
        <f t="shared" si="608"/>
        <v>1</v>
      </c>
      <c r="W1326" s="133">
        <f>VLOOKUP(U1326,Sheet1!$B$6:$C$45,2,FALSE)*V1326</f>
        <v>1</v>
      </c>
      <c r="X1326" s="141"/>
      <c r="Y1326" s="135" t="s">
        <v>280</v>
      </c>
      <c r="Z1326" s="146">
        <f>VLOOKUP(Takeoffs!Y1326,Sheet1!$B$6:$C$124,2,FALSE)</f>
        <v>19.2</v>
      </c>
      <c r="AA1326" s="146">
        <f t="shared" si="609"/>
        <v>19.2</v>
      </c>
      <c r="AB1326" s="143">
        <f t="shared" si="610"/>
        <v>1</v>
      </c>
      <c r="AC1326" s="133">
        <f t="shared" si="611"/>
        <v>1</v>
      </c>
      <c r="AD1326" s="142">
        <v>1</v>
      </c>
      <c r="AE1326" s="141"/>
      <c r="AF1326" s="122" t="s">
        <v>269</v>
      </c>
      <c r="AG1326" s="146">
        <f>VLOOKUP(Takeoffs!AF1326,Sheet1!$B$6:$C$124,2,FALSE)</f>
        <v>1.056</v>
      </c>
      <c r="AH1326" s="146">
        <f t="shared" si="612"/>
        <v>10.56</v>
      </c>
      <c r="AI1326" s="143">
        <f t="shared" si="613"/>
        <v>10</v>
      </c>
      <c r="AJ1326" s="133">
        <f t="shared" si="614"/>
        <v>1</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1</v>
      </c>
      <c r="T1327" s="120"/>
      <c r="U1327" s="121" t="s">
        <v>293</v>
      </c>
      <c r="V1327" s="133">
        <f t="shared" si="608"/>
        <v>1</v>
      </c>
      <c r="W1327" s="133">
        <f>VLOOKUP(U1327,Sheet1!$B$6:$C$45,2,FALSE)*V1327</f>
        <v>0</v>
      </c>
      <c r="X1327" s="141"/>
      <c r="Y1327" s="121" t="s">
        <v>293</v>
      </c>
      <c r="Z1327" s="146">
        <f>VLOOKUP(Takeoffs!Y1327,Sheet1!$B$6:$C$124,2,FALSE)</f>
        <v>0</v>
      </c>
      <c r="AA1327" s="146">
        <f t="shared" si="609"/>
        <v>0</v>
      </c>
      <c r="AB1327" s="143">
        <f t="shared" si="610"/>
        <v>1</v>
      </c>
      <c r="AC1327" s="133">
        <f t="shared" si="611"/>
        <v>1</v>
      </c>
      <c r="AD1327" s="142">
        <v>1</v>
      </c>
      <c r="AE1327" s="141"/>
      <c r="AF1327" s="121" t="s">
        <v>293</v>
      </c>
      <c r="AG1327" s="146">
        <f>VLOOKUP(Takeoffs!AF1327,Sheet1!$B$6:$C$124,2,FALSE)</f>
        <v>0</v>
      </c>
      <c r="AH1327" s="146">
        <f t="shared" si="612"/>
        <v>0</v>
      </c>
      <c r="AI1327" s="143">
        <f t="shared" si="613"/>
        <v>0</v>
      </c>
      <c r="AJ1327" s="133">
        <f t="shared" si="614"/>
        <v>1</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1</v>
      </c>
      <c r="T1328" s="120"/>
      <c r="U1328" s="121" t="s">
        <v>293</v>
      </c>
      <c r="V1328" s="133">
        <f t="shared" si="608"/>
        <v>1</v>
      </c>
      <c r="W1328" s="133">
        <f>VLOOKUP(U1328,Sheet1!$B$6:$C$45,2,FALSE)*V1328</f>
        <v>0</v>
      </c>
      <c r="X1328" s="141"/>
      <c r="Y1328" s="121" t="s">
        <v>293</v>
      </c>
      <c r="Z1328" s="146">
        <f>VLOOKUP(Takeoffs!Y1328,Sheet1!$B$6:$C$124,2,FALSE)</f>
        <v>0</v>
      </c>
      <c r="AA1328" s="146">
        <f t="shared" si="609"/>
        <v>0</v>
      </c>
      <c r="AB1328" s="143">
        <f t="shared" si="610"/>
        <v>1</v>
      </c>
      <c r="AC1328" s="133">
        <f t="shared" si="611"/>
        <v>1</v>
      </c>
      <c r="AD1328" s="142">
        <v>1</v>
      </c>
      <c r="AE1328" s="141"/>
      <c r="AF1328" s="121" t="s">
        <v>293</v>
      </c>
      <c r="AG1328" s="146">
        <f>VLOOKUP(Takeoffs!AF1328,Sheet1!$B$6:$C$124,2,FALSE)</f>
        <v>0</v>
      </c>
      <c r="AH1328" s="146">
        <f t="shared" si="612"/>
        <v>0</v>
      </c>
      <c r="AI1328" s="143">
        <f t="shared" si="613"/>
        <v>0</v>
      </c>
      <c r="AJ1328" s="133">
        <f t="shared" si="614"/>
        <v>1</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1</v>
      </c>
      <c r="T1329" s="120"/>
      <c r="U1329" s="121" t="s">
        <v>293</v>
      </c>
      <c r="V1329" s="133">
        <f t="shared" si="608"/>
        <v>1</v>
      </c>
      <c r="W1329" s="133">
        <f>VLOOKUP(U1329,Sheet1!$B$6:$C$45,2,FALSE)*V1329</f>
        <v>0</v>
      </c>
      <c r="X1329" s="141"/>
      <c r="Y1329" s="121" t="s">
        <v>293</v>
      </c>
      <c r="Z1329" s="146">
        <f>VLOOKUP(Takeoffs!Y1329,Sheet1!$B$6:$C$124,2,FALSE)</f>
        <v>0</v>
      </c>
      <c r="AA1329" s="146">
        <f t="shared" si="609"/>
        <v>0</v>
      </c>
      <c r="AB1329" s="143">
        <f t="shared" si="610"/>
        <v>1</v>
      </c>
      <c r="AC1329" s="133">
        <f t="shared" si="611"/>
        <v>1</v>
      </c>
      <c r="AD1329" s="142">
        <v>1</v>
      </c>
      <c r="AE1329" s="141"/>
      <c r="AF1329" s="121" t="s">
        <v>293</v>
      </c>
      <c r="AG1329" s="146">
        <f>VLOOKUP(Takeoffs!AF1329,Sheet1!$B$6:$C$124,2,FALSE)</f>
        <v>0</v>
      </c>
      <c r="AH1329" s="146">
        <f t="shared" si="612"/>
        <v>0</v>
      </c>
      <c r="AI1329" s="143">
        <f t="shared" si="613"/>
        <v>0</v>
      </c>
      <c r="AJ1329" s="133">
        <f t="shared" si="614"/>
        <v>1</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1</v>
      </c>
      <c r="T1330" s="120"/>
      <c r="U1330" s="121" t="s">
        <v>293</v>
      </c>
      <c r="V1330" s="133">
        <f t="shared" si="608"/>
        <v>1</v>
      </c>
      <c r="W1330" s="133">
        <f>VLOOKUP(U1330,Sheet1!$B$6:$C$45,2,FALSE)*V1330</f>
        <v>0</v>
      </c>
      <c r="X1330" s="141"/>
      <c r="Y1330" s="121" t="s">
        <v>293</v>
      </c>
      <c r="Z1330" s="146">
        <f>VLOOKUP(Takeoffs!Y1330,Sheet1!$B$6:$C$124,2,FALSE)</f>
        <v>0</v>
      </c>
      <c r="AA1330" s="146">
        <f t="shared" si="609"/>
        <v>0</v>
      </c>
      <c r="AB1330" s="143">
        <f t="shared" si="610"/>
        <v>1</v>
      </c>
      <c r="AC1330" s="133">
        <f t="shared" si="611"/>
        <v>1</v>
      </c>
      <c r="AD1330" s="142">
        <v>1</v>
      </c>
      <c r="AE1330" s="141"/>
      <c r="AF1330" s="121" t="s">
        <v>293</v>
      </c>
      <c r="AG1330" s="146">
        <f>VLOOKUP(Takeoffs!AF1330,Sheet1!$B$6:$C$124,2,FALSE)</f>
        <v>0</v>
      </c>
      <c r="AH1330" s="146">
        <f t="shared" si="612"/>
        <v>0</v>
      </c>
      <c r="AI1330" s="143">
        <f t="shared" si="613"/>
        <v>0</v>
      </c>
      <c r="AJ1330" s="133">
        <f t="shared" si="614"/>
        <v>1</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1</v>
      </c>
      <c r="T1331" s="120"/>
      <c r="U1331" s="121" t="s">
        <v>293</v>
      </c>
      <c r="V1331" s="133">
        <f t="shared" si="608"/>
        <v>1</v>
      </c>
      <c r="W1331" s="133">
        <f>VLOOKUP(U1331,Sheet1!$B$6:$C$45,2,FALSE)*V1331</f>
        <v>0</v>
      </c>
      <c r="X1331" s="141"/>
      <c r="Y1331" s="121" t="s">
        <v>293</v>
      </c>
      <c r="Z1331" s="146">
        <f>VLOOKUP(Takeoffs!Y1331,Sheet1!$B$6:$C$124,2,FALSE)</f>
        <v>0</v>
      </c>
      <c r="AA1331" s="146">
        <f t="shared" si="609"/>
        <v>0</v>
      </c>
      <c r="AB1331" s="143">
        <f t="shared" si="610"/>
        <v>1</v>
      </c>
      <c r="AC1331" s="133">
        <f t="shared" si="611"/>
        <v>1</v>
      </c>
      <c r="AD1331" s="142">
        <v>1</v>
      </c>
      <c r="AE1331" s="141"/>
      <c r="AF1331" s="121" t="s">
        <v>293</v>
      </c>
      <c r="AG1331" s="146">
        <f>VLOOKUP(Takeoffs!AF1331,Sheet1!$B$6:$C$124,2,FALSE)</f>
        <v>0</v>
      </c>
      <c r="AH1331" s="146">
        <f t="shared" si="612"/>
        <v>0</v>
      </c>
      <c r="AI1331" s="143">
        <f t="shared" si="613"/>
        <v>0</v>
      </c>
      <c r="AJ1331" s="133">
        <f t="shared" si="614"/>
        <v>1</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1</v>
      </c>
      <c r="T1332" s="120"/>
      <c r="U1332" s="121" t="s">
        <v>293</v>
      </c>
      <c r="V1332" s="133">
        <f t="shared" si="608"/>
        <v>1</v>
      </c>
      <c r="W1332" s="133">
        <f>VLOOKUP(U1332,Sheet1!$B$6:$C$45,2,FALSE)*V1332</f>
        <v>0</v>
      </c>
      <c r="X1332" s="141"/>
      <c r="Y1332" s="121" t="s">
        <v>293</v>
      </c>
      <c r="Z1332" s="146">
        <f>VLOOKUP(Takeoffs!Y1332,Sheet1!$B$6:$C$124,2,FALSE)</f>
        <v>0</v>
      </c>
      <c r="AA1332" s="146">
        <f t="shared" si="609"/>
        <v>0</v>
      </c>
      <c r="AB1332" s="143">
        <f t="shared" si="610"/>
        <v>1</v>
      </c>
      <c r="AC1332" s="133">
        <f t="shared" si="611"/>
        <v>1</v>
      </c>
      <c r="AD1332" s="142">
        <v>1</v>
      </c>
      <c r="AE1332" s="141"/>
      <c r="AF1332" s="121" t="s">
        <v>293</v>
      </c>
      <c r="AG1332" s="146">
        <f>VLOOKUP(Takeoffs!AF1332,Sheet1!$B$6:$C$124,2,FALSE)</f>
        <v>0</v>
      </c>
      <c r="AH1332" s="146">
        <f t="shared" si="612"/>
        <v>0</v>
      </c>
      <c r="AI1332" s="143">
        <f t="shared" si="613"/>
        <v>0</v>
      </c>
      <c r="AJ1332" s="133">
        <f t="shared" si="614"/>
        <v>1</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1</v>
      </c>
      <c r="T1333" s="120"/>
      <c r="U1333" s="121" t="s">
        <v>293</v>
      </c>
      <c r="V1333" s="133">
        <f t="shared" si="608"/>
        <v>1</v>
      </c>
      <c r="W1333" s="133">
        <f>VLOOKUP(U1333,Sheet1!$B$6:$C$45,2,FALSE)*V1333</f>
        <v>0</v>
      </c>
      <c r="X1333" s="141"/>
      <c r="Y1333" s="121" t="s">
        <v>293</v>
      </c>
      <c r="Z1333" s="146">
        <f>VLOOKUP(Takeoffs!Y1333,Sheet1!$B$6:$C$124,2,FALSE)</f>
        <v>0</v>
      </c>
      <c r="AA1333" s="146">
        <f t="shared" si="609"/>
        <v>0</v>
      </c>
      <c r="AB1333" s="143">
        <f t="shared" si="610"/>
        <v>1</v>
      </c>
      <c r="AC1333" s="133">
        <f t="shared" si="611"/>
        <v>1</v>
      </c>
      <c r="AD1333" s="142">
        <v>1</v>
      </c>
      <c r="AE1333" s="141"/>
      <c r="AF1333" s="121" t="s">
        <v>293</v>
      </c>
      <c r="AG1333" s="146">
        <f>VLOOKUP(Takeoffs!AF1333,Sheet1!$B$6:$C$124,2,FALSE)</f>
        <v>0</v>
      </c>
      <c r="AH1333" s="146">
        <f t="shared" si="612"/>
        <v>0</v>
      </c>
      <c r="AI1333" s="143">
        <f t="shared" si="613"/>
        <v>0</v>
      </c>
      <c r="AJ1333" s="133">
        <f t="shared" si="614"/>
        <v>1</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1</v>
      </c>
      <c r="T1334" s="120"/>
      <c r="U1334" s="121" t="s">
        <v>293</v>
      </c>
      <c r="V1334" s="133">
        <f t="shared" si="608"/>
        <v>1</v>
      </c>
      <c r="W1334" s="133">
        <f>VLOOKUP(U1334,Sheet1!$B$6:$C$45,2,FALSE)*V1334</f>
        <v>0</v>
      </c>
      <c r="X1334" s="141"/>
      <c r="Y1334" s="121" t="s">
        <v>293</v>
      </c>
      <c r="Z1334" s="146">
        <f>VLOOKUP(Takeoffs!Y1334,Sheet1!$B$6:$C$124,2,FALSE)</f>
        <v>0</v>
      </c>
      <c r="AA1334" s="146">
        <f t="shared" si="609"/>
        <v>0</v>
      </c>
      <c r="AB1334" s="143">
        <f t="shared" si="610"/>
        <v>1</v>
      </c>
      <c r="AC1334" s="133">
        <f t="shared" si="611"/>
        <v>1</v>
      </c>
      <c r="AD1334" s="142">
        <v>1</v>
      </c>
      <c r="AE1334" s="141"/>
      <c r="AF1334" s="121" t="s">
        <v>293</v>
      </c>
      <c r="AG1334" s="146">
        <f>VLOOKUP(Takeoffs!AF1334,Sheet1!$B$6:$C$124,2,FALSE)</f>
        <v>0</v>
      </c>
      <c r="AH1334" s="146">
        <f t="shared" si="612"/>
        <v>0</v>
      </c>
      <c r="AI1334" s="143">
        <f t="shared" si="613"/>
        <v>0</v>
      </c>
      <c r="AJ1334" s="133">
        <f t="shared" si="614"/>
        <v>1</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1</v>
      </c>
      <c r="T1335" s="120"/>
      <c r="U1335" s="121" t="s">
        <v>293</v>
      </c>
      <c r="V1335" s="133">
        <f t="shared" si="608"/>
        <v>1</v>
      </c>
      <c r="W1335" s="133">
        <f>VLOOKUP(U1335,Sheet1!$B$6:$C$45,2,FALSE)*V1335</f>
        <v>0</v>
      </c>
      <c r="X1335" s="141"/>
      <c r="Y1335" s="121" t="s">
        <v>293</v>
      </c>
      <c r="Z1335" s="146">
        <f>VLOOKUP(Takeoffs!Y1335,Sheet1!$B$6:$C$124,2,FALSE)</f>
        <v>0</v>
      </c>
      <c r="AA1335" s="146">
        <f t="shared" si="609"/>
        <v>0</v>
      </c>
      <c r="AB1335" s="143">
        <f t="shared" si="610"/>
        <v>1</v>
      </c>
      <c r="AC1335" s="133">
        <f t="shared" si="611"/>
        <v>1</v>
      </c>
      <c r="AD1335" s="142">
        <v>1</v>
      </c>
      <c r="AE1335" s="141"/>
      <c r="AF1335" s="121" t="s">
        <v>293</v>
      </c>
      <c r="AG1335" s="146">
        <f>VLOOKUP(Takeoffs!AF1335,Sheet1!$B$6:$C$124,2,FALSE)</f>
        <v>0</v>
      </c>
      <c r="AH1335" s="146">
        <f t="shared" si="612"/>
        <v>0</v>
      </c>
      <c r="AI1335" s="143">
        <f t="shared" si="613"/>
        <v>0</v>
      </c>
      <c r="AJ1335" s="133">
        <f t="shared" si="614"/>
        <v>1</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1</v>
      </c>
      <c r="T1336" s="120"/>
      <c r="U1336" s="121" t="s">
        <v>293</v>
      </c>
      <c r="V1336" s="133">
        <f t="shared" si="608"/>
        <v>1</v>
      </c>
      <c r="W1336" s="133">
        <f>VLOOKUP(U1336,Sheet1!$B$6:$C$45,2,FALSE)*V1336</f>
        <v>0</v>
      </c>
      <c r="X1336" s="141"/>
      <c r="Y1336" s="121" t="s">
        <v>293</v>
      </c>
      <c r="Z1336" s="146">
        <f>VLOOKUP(Takeoffs!Y1336,Sheet1!$B$6:$C$124,2,FALSE)</f>
        <v>0</v>
      </c>
      <c r="AA1336" s="146">
        <f t="shared" si="609"/>
        <v>0</v>
      </c>
      <c r="AB1336" s="143">
        <f t="shared" si="610"/>
        <v>1</v>
      </c>
      <c r="AC1336" s="133">
        <f t="shared" si="611"/>
        <v>1</v>
      </c>
      <c r="AD1336" s="142">
        <v>1</v>
      </c>
      <c r="AE1336" s="141"/>
      <c r="AF1336" s="121" t="s">
        <v>293</v>
      </c>
      <c r="AG1336" s="146">
        <f>VLOOKUP(Takeoffs!AF1336,Sheet1!$B$6:$C$124,2,FALSE)</f>
        <v>0</v>
      </c>
      <c r="AH1336" s="146">
        <f t="shared" si="612"/>
        <v>0</v>
      </c>
      <c r="AI1336" s="143">
        <f t="shared" si="613"/>
        <v>0</v>
      </c>
      <c r="AJ1336" s="133">
        <f t="shared" si="614"/>
        <v>1</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1</v>
      </c>
      <c r="T1337" s="120"/>
      <c r="U1337" s="121" t="s">
        <v>293</v>
      </c>
      <c r="V1337" s="133">
        <f t="shared" si="608"/>
        <v>1</v>
      </c>
      <c r="W1337" s="133">
        <f>VLOOKUP(U1337,Sheet1!$B$6:$C$45,2,FALSE)*V1337</f>
        <v>0</v>
      </c>
      <c r="X1337" s="141"/>
      <c r="Y1337" s="121" t="s">
        <v>293</v>
      </c>
      <c r="Z1337" s="146">
        <f>VLOOKUP(Takeoffs!Y1337,Sheet1!$B$6:$C$124,2,FALSE)</f>
        <v>0</v>
      </c>
      <c r="AA1337" s="146">
        <f t="shared" si="609"/>
        <v>0</v>
      </c>
      <c r="AB1337" s="143">
        <f t="shared" si="610"/>
        <v>1</v>
      </c>
      <c r="AC1337" s="133">
        <f t="shared" si="611"/>
        <v>1</v>
      </c>
      <c r="AD1337" s="142">
        <v>1</v>
      </c>
      <c r="AE1337" s="141"/>
      <c r="AF1337" s="121" t="s">
        <v>293</v>
      </c>
      <c r="AG1337" s="146">
        <f>VLOOKUP(Takeoffs!AF1337,Sheet1!$B$6:$C$124,2,FALSE)</f>
        <v>0</v>
      </c>
      <c r="AH1337" s="146">
        <f t="shared" si="612"/>
        <v>0</v>
      </c>
      <c r="AI1337" s="143">
        <f t="shared" si="613"/>
        <v>0</v>
      </c>
      <c r="AJ1337" s="133">
        <f t="shared" si="614"/>
        <v>1</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1</v>
      </c>
      <c r="T1338" s="120"/>
      <c r="U1338" s="121" t="s">
        <v>293</v>
      </c>
      <c r="V1338" s="133">
        <f t="shared" si="608"/>
        <v>1</v>
      </c>
      <c r="W1338" s="133">
        <f>VLOOKUP(U1338,Sheet1!$B$6:$C$45,2,FALSE)*V1338</f>
        <v>0</v>
      </c>
      <c r="X1338" s="141"/>
      <c r="Y1338" s="121" t="s">
        <v>293</v>
      </c>
      <c r="Z1338" s="146">
        <f>VLOOKUP(Takeoffs!Y1338,Sheet1!$B$6:$C$124,2,FALSE)</f>
        <v>0</v>
      </c>
      <c r="AA1338" s="146">
        <f t="shared" si="609"/>
        <v>0</v>
      </c>
      <c r="AB1338" s="143">
        <f t="shared" si="610"/>
        <v>1</v>
      </c>
      <c r="AC1338" s="133">
        <f t="shared" si="611"/>
        <v>1</v>
      </c>
      <c r="AD1338" s="142">
        <v>1</v>
      </c>
      <c r="AE1338" s="141"/>
      <c r="AF1338" s="121" t="s">
        <v>293</v>
      </c>
      <c r="AG1338" s="146">
        <f>VLOOKUP(Takeoffs!AF1338,Sheet1!$B$6:$C$124,2,FALSE)</f>
        <v>0</v>
      </c>
      <c r="AH1338" s="146">
        <f t="shared" si="612"/>
        <v>0</v>
      </c>
      <c r="AI1338" s="143">
        <f t="shared" si="613"/>
        <v>0</v>
      </c>
      <c r="AJ1338" s="133">
        <f t="shared" si="614"/>
        <v>1</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379</v>
      </c>
      <c r="L1339" s="128" t="s">
        <v>380</v>
      </c>
      <c r="N1339" s="129"/>
      <c r="O1339" s="130" t="s">
        <v>359</v>
      </c>
      <c r="P1339" s="131">
        <f>V1339+AA1339+AH1339</f>
        <v>654.62</v>
      </c>
      <c r="Q1339" s="131"/>
      <c r="R1339" s="131"/>
      <c r="S1339" s="130"/>
      <c r="T1339" s="127"/>
      <c r="U1339" s="126" t="s">
        <v>353</v>
      </c>
      <c r="V1339" s="127">
        <f>W1339*80</f>
        <v>560</v>
      </c>
      <c r="W1339" s="147">
        <f>SUM(W1318:W1338)</f>
        <v>7</v>
      </c>
      <c r="X1339" s="148"/>
      <c r="Y1339" s="127" t="s">
        <v>354</v>
      </c>
      <c r="Z1339" s="116"/>
      <c r="AA1339" s="116">
        <f>SUM(AA1318:AA1338)</f>
        <v>53.099999999999994</v>
      </c>
      <c r="AB1339" s="149"/>
      <c r="AC1339" s="149"/>
      <c r="AD1339" s="149"/>
      <c r="AE1339" s="149"/>
      <c r="AF1339" s="127" t="s">
        <v>358</v>
      </c>
      <c r="AG1339" s="116"/>
      <c r="AH1339" s="116">
        <f>SUM(AH1318:AH1338)</f>
        <v>41.519999999999996</v>
      </c>
      <c r="AI1339" s="149"/>
      <c r="AJ1339" s="149"/>
      <c r="AK1339" s="149"/>
      <c r="AL1339" s="149"/>
      <c r="AM1339" s="150">
        <f>P1339</f>
        <v>654.62</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494</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v>1</v>
      </c>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one (1)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654.62</v>
      </c>
      <c r="L1340" s="234" t="str">
        <f>CONCATENATE(Q1319,Q1320,Q1321,Q1322,Q1323,Q1324,Q1325,Q1326,Q1327,Q1328,Q1329,Q1330,Q1331,Q1332,Q1333,Q1334,Q1335,Q1336,Q1337,Q1338,)</f>
        <v xml:space="preserve">proprietary air-conditioning controllers. interface card for air-conditioning controllers. </v>
      </c>
      <c r="M1340" s="166" t="s">
        <v>369</v>
      </c>
      <c r="N1340" s="160" t="str">
        <f>N1318</f>
        <v>split AC systems - MSSB powered with run and fault lights</v>
      </c>
      <c r="O1340" s="160" t="s">
        <v>367</v>
      </c>
      <c r="P1340" s="64">
        <f>P1339/M1318</f>
        <v>654.62</v>
      </c>
      <c r="Q1340" s="161"/>
      <c r="R1340" s="161"/>
      <c r="S1340" s="160"/>
      <c r="T1340" s="161"/>
      <c r="U1340" s="327" t="s">
        <v>368</v>
      </c>
      <c r="V1340" s="327"/>
      <c r="W1340" s="162">
        <f>W1339/M1318</f>
        <v>7</v>
      </c>
      <c r="X1340" s="163"/>
      <c r="Y1340" s="325" t="s">
        <v>367</v>
      </c>
      <c r="Z1340" s="325"/>
      <c r="AA1340" s="164">
        <f>AA1339/M1318</f>
        <v>53.099999999999994</v>
      </c>
      <c r="AB1340" s="161"/>
      <c r="AC1340" s="161"/>
      <c r="AD1340" s="161"/>
      <c r="AE1340" s="161"/>
      <c r="AF1340" s="325" t="s">
        <v>367</v>
      </c>
      <c r="AG1340" s="325"/>
      <c r="AH1340" s="164">
        <f>AH1339/M1318</f>
        <v>41.519999999999996</v>
      </c>
      <c r="AI1340" s="161"/>
      <c r="AJ1340" s="161"/>
      <c r="AK1340" s="161"/>
      <c r="AL1340" s="247"/>
      <c r="AM1340" s="257"/>
      <c r="AN1340" s="230">
        <f>K1340*1.25</f>
        <v>818.27499999999998</v>
      </c>
      <c r="AO1340" s="286"/>
      <c r="AP1340" s="284">
        <f t="shared" si="602"/>
        <v>654.62</v>
      </c>
      <c r="AQ1340" s="281">
        <f t="shared" si="603"/>
        <v>560</v>
      </c>
      <c r="AR1340" s="284">
        <f t="shared" si="604"/>
        <v>53.099999999999994</v>
      </c>
      <c r="AS1340" s="281">
        <f t="shared" si="605"/>
        <v>41.519999999999996</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454</v>
      </c>
      <c r="M1341" s="116" t="s">
        <v>299</v>
      </c>
      <c r="N1341" s="116" t="s">
        <v>108</v>
      </c>
      <c r="O1341" s="170" t="s">
        <v>388</v>
      </c>
      <c r="P1341" s="326" t="s">
        <v>377</v>
      </c>
      <c r="Q1341" s="326"/>
      <c r="R1341" s="101" t="s">
        <v>454</v>
      </c>
      <c r="S1341" s="116" t="s">
        <v>0</v>
      </c>
      <c r="T1341" s="118"/>
      <c r="U1341" s="116" t="s">
        <v>288</v>
      </c>
      <c r="V1341" s="116" t="s">
        <v>289</v>
      </c>
      <c r="W1341" s="116" t="s">
        <v>292</v>
      </c>
      <c r="X1341" s="140"/>
      <c r="Y1341" s="116" t="s">
        <v>290</v>
      </c>
      <c r="Z1341" s="116" t="s">
        <v>356</v>
      </c>
      <c r="AA1341" s="116" t="s">
        <v>357</v>
      </c>
      <c r="AB1341" s="116" t="s">
        <v>319</v>
      </c>
      <c r="AC1341" s="116" t="s">
        <v>320</v>
      </c>
      <c r="AD1341" s="116" t="s">
        <v>318</v>
      </c>
      <c r="AE1341" s="140"/>
      <c r="AF1341" s="116" t="s">
        <v>294</v>
      </c>
      <c r="AG1341" s="116" t="s">
        <v>356</v>
      </c>
      <c r="AH1341" s="116" t="s">
        <v>357</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one</v>
      </c>
      <c r="M1342" s="121">
        <f>I1364</f>
        <v>1</v>
      </c>
      <c r="N1342" s="132" t="s">
        <v>697</v>
      </c>
      <c r="O1342" s="121" t="s">
        <v>138</v>
      </c>
      <c r="P1342" s="169" t="s">
        <v>381</v>
      </c>
      <c r="Q1342" s="169" t="s">
        <v>377</v>
      </c>
      <c r="R1342" s="169"/>
      <c r="S1342" s="133">
        <f>M1342</f>
        <v>1</v>
      </c>
      <c r="T1342" s="119"/>
      <c r="U1342" s="121" t="s">
        <v>293</v>
      </c>
      <c r="V1342" s="133">
        <f>S1342</f>
        <v>1</v>
      </c>
      <c r="W1342" s="133">
        <f>VLOOKUP(U1342,Sheet1!$B$6:$C$45,2,FALSE)*V1342</f>
        <v>0</v>
      </c>
      <c r="X1342" s="141"/>
      <c r="Y1342" s="121" t="s">
        <v>293</v>
      </c>
      <c r="Z1342" s="146">
        <f>VLOOKUP(Takeoffs!Y1342,Sheet1!$B$6:$C$124,2,FALSE)</f>
        <v>0</v>
      </c>
      <c r="AA1342" s="146">
        <f>Z1342*AB1342</f>
        <v>0</v>
      </c>
      <c r="AB1342" s="143">
        <f>AD1342*AC1342</f>
        <v>1</v>
      </c>
      <c r="AC1342" s="133">
        <f>S1342</f>
        <v>1</v>
      </c>
      <c r="AD1342" s="142">
        <v>1</v>
      </c>
      <c r="AE1342" s="141"/>
      <c r="AF1342" s="121" t="s">
        <v>293</v>
      </c>
      <c r="AG1342" s="146">
        <f>VLOOKUP(Takeoffs!AF1342,Sheet1!$B$6:$C$124,2,FALSE)</f>
        <v>0</v>
      </c>
      <c r="AH1342" s="146">
        <f>AG1342*AI1342</f>
        <v>0</v>
      </c>
      <c r="AI1342" s="143">
        <f>AK1342*AJ1342</f>
        <v>0</v>
      </c>
      <c r="AJ1342" s="133">
        <f>S1342</f>
        <v>1</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428</v>
      </c>
      <c r="P1343" s="121"/>
      <c r="Q1343" s="121"/>
      <c r="R1343" s="121"/>
      <c r="S1343" s="133">
        <f>M1342</f>
        <v>1</v>
      </c>
      <c r="T1343" s="120"/>
      <c r="U1343" s="117" t="s">
        <v>693</v>
      </c>
      <c r="V1343" s="133">
        <f t="shared" ref="V1343:V1362" si="617">S1343</f>
        <v>1</v>
      </c>
      <c r="W1343" s="133">
        <f>VLOOKUP(U1343,Sheet1!$B$6:$C$45,2,FALSE)*V1343</f>
        <v>2.5</v>
      </c>
      <c r="X1343" s="141"/>
      <c r="Y1343" s="121" t="s">
        <v>293</v>
      </c>
      <c r="Z1343" s="146">
        <f>VLOOKUP(Takeoffs!Y1343,Sheet1!$B$6:$C$124,2,FALSE)</f>
        <v>0</v>
      </c>
      <c r="AA1343" s="146">
        <f t="shared" ref="AA1343:AA1362" si="618">Z1343*AB1343</f>
        <v>0</v>
      </c>
      <c r="AB1343" s="143">
        <f t="shared" ref="AB1343:AB1362" si="619">AD1343*AC1343</f>
        <v>1</v>
      </c>
      <c r="AC1343" s="133">
        <f t="shared" ref="AC1343:AC1362" si="620">S1343</f>
        <v>1</v>
      </c>
      <c r="AD1343" s="142">
        <v>1</v>
      </c>
      <c r="AE1343" s="141"/>
      <c r="AF1343" s="122" t="s">
        <v>269</v>
      </c>
      <c r="AG1343" s="146">
        <f>VLOOKUP(Takeoffs!AF1343,Sheet1!$B$6:$C$124,2,FALSE)</f>
        <v>1.056</v>
      </c>
      <c r="AH1343" s="146">
        <f t="shared" ref="AH1343:AH1362" si="621">AG1343*AI1343</f>
        <v>10.56</v>
      </c>
      <c r="AI1343" s="143">
        <f t="shared" ref="AI1343:AI1362" si="622">AK1343*AJ1343</f>
        <v>10</v>
      </c>
      <c r="AJ1343" s="133">
        <f t="shared" ref="AJ1343:AJ1350" si="623">S1343</f>
        <v>1</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394</v>
      </c>
      <c r="P1344" s="121"/>
      <c r="Q1344" s="121"/>
      <c r="R1344" s="121"/>
      <c r="S1344" s="133">
        <f>M1342</f>
        <v>1</v>
      </c>
      <c r="T1344" s="120"/>
      <c r="U1344" s="117" t="s">
        <v>303</v>
      </c>
      <c r="V1344" s="133">
        <f t="shared" si="617"/>
        <v>1</v>
      </c>
      <c r="W1344" s="133">
        <f>VLOOKUP(U1344,Sheet1!$B$6:$C$45,2,FALSE)*V1344</f>
        <v>0.5</v>
      </c>
      <c r="X1344" s="141"/>
      <c r="Y1344" s="121" t="s">
        <v>293</v>
      </c>
      <c r="Z1344" s="146">
        <f>VLOOKUP(Takeoffs!Y1344,Sheet1!$B$6:$C$124,2,FALSE)</f>
        <v>0</v>
      </c>
      <c r="AA1344" s="146">
        <f t="shared" si="618"/>
        <v>0</v>
      </c>
      <c r="AB1344" s="143">
        <f t="shared" si="619"/>
        <v>1</v>
      </c>
      <c r="AC1344" s="133">
        <f t="shared" si="620"/>
        <v>1</v>
      </c>
      <c r="AD1344" s="142">
        <v>1</v>
      </c>
      <c r="AE1344" s="141"/>
      <c r="AF1344" s="122" t="s">
        <v>268</v>
      </c>
      <c r="AG1344" s="146">
        <f>VLOOKUP(Takeoffs!AF1344,Sheet1!$B$6:$C$124,2,FALSE)</f>
        <v>1.02</v>
      </c>
      <c r="AH1344" s="146">
        <f t="shared" si="621"/>
        <v>10.199999999999999</v>
      </c>
      <c r="AI1344" s="143">
        <f t="shared" si="622"/>
        <v>10</v>
      </c>
      <c r="AJ1344" s="133">
        <f t="shared" si="623"/>
        <v>1</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415</v>
      </c>
      <c r="P1345" s="121"/>
      <c r="Q1345" s="121"/>
      <c r="R1345" s="121"/>
      <c r="S1345" s="133">
        <f>M1342</f>
        <v>1</v>
      </c>
      <c r="T1345" s="120"/>
      <c r="U1345" s="121" t="s">
        <v>293</v>
      </c>
      <c r="V1345" s="133">
        <f t="shared" si="617"/>
        <v>1</v>
      </c>
      <c r="W1345" s="133">
        <f>VLOOKUP(U1345,Sheet1!$B$6:$C$45,2,FALSE)*V1345</f>
        <v>0</v>
      </c>
      <c r="X1345" s="141"/>
      <c r="Y1345" s="121" t="s">
        <v>293</v>
      </c>
      <c r="Z1345" s="146">
        <f>VLOOKUP(Takeoffs!Y1345,Sheet1!$B$6:$C$124,2,FALSE)</f>
        <v>0</v>
      </c>
      <c r="AA1345" s="146">
        <f t="shared" si="618"/>
        <v>0</v>
      </c>
      <c r="AB1345" s="143">
        <f t="shared" si="619"/>
        <v>2</v>
      </c>
      <c r="AC1345" s="133">
        <f t="shared" si="620"/>
        <v>1</v>
      </c>
      <c r="AD1345" s="142">
        <v>2</v>
      </c>
      <c r="AE1345" s="141"/>
      <c r="AF1345" s="121" t="s">
        <v>293</v>
      </c>
      <c r="AG1345" s="146">
        <f>VLOOKUP(Takeoffs!AF1345,Sheet1!$B$6:$C$124,2,FALSE)</f>
        <v>0</v>
      </c>
      <c r="AH1345" s="146">
        <f t="shared" si="621"/>
        <v>0</v>
      </c>
      <c r="AI1345" s="143">
        <f t="shared" si="622"/>
        <v>0</v>
      </c>
      <c r="AJ1345" s="133">
        <f t="shared" si="623"/>
        <v>1</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449</v>
      </c>
      <c r="Q1346" s="121" t="s">
        <v>692</v>
      </c>
      <c r="R1346" s="121"/>
      <c r="S1346" s="133">
        <f>M1342</f>
        <v>1</v>
      </c>
      <c r="T1346" s="120"/>
      <c r="U1346" s="121" t="s">
        <v>293</v>
      </c>
      <c r="V1346" s="133">
        <f t="shared" si="617"/>
        <v>1</v>
      </c>
      <c r="W1346" s="133">
        <f>VLOOKUP(U1346,Sheet1!$B$6:$C$45,2,FALSE)*V1346</f>
        <v>0</v>
      </c>
      <c r="X1346" s="141"/>
      <c r="Y1346" s="121" t="s">
        <v>293</v>
      </c>
      <c r="Z1346" s="146">
        <f>VLOOKUP(Takeoffs!Y1346,Sheet1!$B$6:$C$124,2,FALSE)</f>
        <v>0</v>
      </c>
      <c r="AA1346" s="146">
        <f t="shared" si="618"/>
        <v>0</v>
      </c>
      <c r="AB1346" s="143">
        <f t="shared" si="619"/>
        <v>1</v>
      </c>
      <c r="AC1346" s="133">
        <f t="shared" si="620"/>
        <v>1</v>
      </c>
      <c r="AD1346" s="142">
        <v>1</v>
      </c>
      <c r="AE1346" s="141"/>
      <c r="AF1346" s="121" t="s">
        <v>293</v>
      </c>
      <c r="AG1346" s="146">
        <f>VLOOKUP(Takeoffs!AF1346,Sheet1!$B$6:$C$124,2,FALSE)</f>
        <v>0</v>
      </c>
      <c r="AH1346" s="146">
        <f t="shared" si="621"/>
        <v>0</v>
      </c>
      <c r="AI1346" s="143">
        <f t="shared" si="622"/>
        <v>0</v>
      </c>
      <c r="AJ1346" s="133">
        <f t="shared" si="623"/>
        <v>1</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510</v>
      </c>
      <c r="P1347" s="121" t="s">
        <v>422</v>
      </c>
      <c r="Q1347" s="121" t="s">
        <v>694</v>
      </c>
      <c r="R1347" s="121"/>
      <c r="S1347" s="133">
        <f>M1342</f>
        <v>1</v>
      </c>
      <c r="T1347" s="120"/>
      <c r="U1347" s="121" t="s">
        <v>293</v>
      </c>
      <c r="V1347" s="133">
        <f t="shared" si="617"/>
        <v>1</v>
      </c>
      <c r="W1347" s="133">
        <f>VLOOKUP(U1347,Sheet1!$B$6:$C$45,2,FALSE)*V1347</f>
        <v>0</v>
      </c>
      <c r="X1347" s="141"/>
      <c r="Y1347" s="121" t="s">
        <v>293</v>
      </c>
      <c r="Z1347" s="146">
        <f>VLOOKUP(Takeoffs!Y1347,Sheet1!$B$6:$C$124,2,FALSE)</f>
        <v>0</v>
      </c>
      <c r="AA1347" s="146">
        <f t="shared" si="618"/>
        <v>0</v>
      </c>
      <c r="AB1347" s="143">
        <f t="shared" si="619"/>
        <v>2</v>
      </c>
      <c r="AC1347" s="133">
        <f t="shared" si="620"/>
        <v>1</v>
      </c>
      <c r="AD1347" s="142">
        <v>2</v>
      </c>
      <c r="AE1347" s="141"/>
      <c r="AF1347" s="122" t="s">
        <v>268</v>
      </c>
      <c r="AG1347" s="146">
        <f>VLOOKUP(Takeoffs!AF1347,Sheet1!$B$6:$C$124,2,FALSE)</f>
        <v>1.02</v>
      </c>
      <c r="AH1347" s="146">
        <f t="shared" si="621"/>
        <v>10.199999999999999</v>
      </c>
      <c r="AI1347" s="143">
        <f t="shared" si="622"/>
        <v>10</v>
      </c>
      <c r="AJ1347" s="133">
        <f t="shared" si="623"/>
        <v>1</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1</v>
      </c>
      <c r="T1348" s="120"/>
      <c r="U1348" s="121" t="s">
        <v>293</v>
      </c>
      <c r="V1348" s="133">
        <f t="shared" si="617"/>
        <v>1</v>
      </c>
      <c r="W1348" s="133">
        <f>VLOOKUP(U1348,Sheet1!$B$6:$C$45,2,FALSE)*V1348</f>
        <v>0</v>
      </c>
      <c r="X1348" s="141"/>
      <c r="Y1348" s="121" t="s">
        <v>293</v>
      </c>
      <c r="Z1348" s="146">
        <f>VLOOKUP(Takeoffs!Y1348,Sheet1!$B$6:$C$124,2,FALSE)</f>
        <v>0</v>
      </c>
      <c r="AA1348" s="146">
        <f t="shared" si="618"/>
        <v>0</v>
      </c>
      <c r="AB1348" s="143">
        <f t="shared" si="619"/>
        <v>1</v>
      </c>
      <c r="AC1348" s="133">
        <f t="shared" si="620"/>
        <v>1</v>
      </c>
      <c r="AD1348" s="142">
        <v>1</v>
      </c>
      <c r="AE1348" s="141"/>
      <c r="AF1348" s="121" t="s">
        <v>293</v>
      </c>
      <c r="AG1348" s="146">
        <f>VLOOKUP(Takeoffs!AF1348,Sheet1!$B$6:$C$124,2,FALSE)</f>
        <v>0</v>
      </c>
      <c r="AH1348" s="146">
        <f t="shared" si="621"/>
        <v>0</v>
      </c>
      <c r="AI1348" s="143">
        <f t="shared" si="622"/>
        <v>0</v>
      </c>
      <c r="AJ1348" s="133">
        <f t="shared" si="623"/>
        <v>1</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1</v>
      </c>
      <c r="T1349" s="120"/>
      <c r="U1349" s="121" t="s">
        <v>293</v>
      </c>
      <c r="V1349" s="133">
        <f t="shared" si="617"/>
        <v>1</v>
      </c>
      <c r="W1349" s="133">
        <f>VLOOKUP(U1349,Sheet1!$B$6:$C$45,2,FALSE)*V1349</f>
        <v>0</v>
      </c>
      <c r="X1349" s="141"/>
      <c r="Y1349" s="121" t="s">
        <v>293</v>
      </c>
      <c r="Z1349" s="146">
        <f>VLOOKUP(Takeoffs!Y1349,Sheet1!$B$6:$C$124,2,FALSE)</f>
        <v>0</v>
      </c>
      <c r="AA1349" s="146">
        <f t="shared" si="618"/>
        <v>0</v>
      </c>
      <c r="AB1349" s="143">
        <f t="shared" si="619"/>
        <v>1</v>
      </c>
      <c r="AC1349" s="133">
        <f t="shared" si="620"/>
        <v>1</v>
      </c>
      <c r="AD1349" s="142">
        <v>1</v>
      </c>
      <c r="AE1349" s="141"/>
      <c r="AF1349" s="121" t="s">
        <v>293</v>
      </c>
      <c r="AG1349" s="146">
        <f>VLOOKUP(Takeoffs!AF1349,Sheet1!$B$6:$C$124,2,FALSE)</f>
        <v>0</v>
      </c>
      <c r="AH1349" s="146">
        <f t="shared" si="621"/>
        <v>0</v>
      </c>
      <c r="AI1349" s="143">
        <f t="shared" si="622"/>
        <v>0</v>
      </c>
      <c r="AJ1349" s="133">
        <f t="shared" si="623"/>
        <v>1</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1</v>
      </c>
      <c r="T1350" s="120"/>
      <c r="U1350" s="121" t="s">
        <v>293</v>
      </c>
      <c r="V1350" s="133">
        <f t="shared" si="617"/>
        <v>1</v>
      </c>
      <c r="W1350" s="133">
        <f>VLOOKUP(U1350,Sheet1!$B$6:$C$45,2,FALSE)*V1350</f>
        <v>0</v>
      </c>
      <c r="X1350" s="141"/>
      <c r="Y1350" s="121" t="s">
        <v>293</v>
      </c>
      <c r="Z1350" s="146">
        <f>VLOOKUP(Takeoffs!Y1350,Sheet1!$B$6:$C$124,2,FALSE)</f>
        <v>0</v>
      </c>
      <c r="AA1350" s="146">
        <f t="shared" si="618"/>
        <v>0</v>
      </c>
      <c r="AB1350" s="143">
        <f t="shared" si="619"/>
        <v>1</v>
      </c>
      <c r="AC1350" s="133">
        <f t="shared" si="620"/>
        <v>1</v>
      </c>
      <c r="AD1350" s="142">
        <v>1</v>
      </c>
      <c r="AE1350" s="141"/>
      <c r="AF1350" s="121" t="s">
        <v>293</v>
      </c>
      <c r="AG1350" s="146">
        <f>VLOOKUP(Takeoffs!AF1350,Sheet1!$B$6:$C$124,2,FALSE)</f>
        <v>0</v>
      </c>
      <c r="AH1350" s="146">
        <f t="shared" si="621"/>
        <v>0</v>
      </c>
      <c r="AI1350" s="143">
        <f t="shared" si="622"/>
        <v>0</v>
      </c>
      <c r="AJ1350" s="133">
        <f t="shared" si="623"/>
        <v>1</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1</v>
      </c>
      <c r="T1351" s="120"/>
      <c r="U1351" s="121" t="s">
        <v>293</v>
      </c>
      <c r="V1351" s="133">
        <f t="shared" si="617"/>
        <v>1</v>
      </c>
      <c r="W1351" s="133">
        <f>VLOOKUP(U1351,Sheet1!$B$6:$C$45,2,FALSE)*V1351</f>
        <v>0</v>
      </c>
      <c r="X1351" s="141"/>
      <c r="Y1351" s="121" t="s">
        <v>293</v>
      </c>
      <c r="Z1351" s="146">
        <f>VLOOKUP(Takeoffs!Y1351,Sheet1!$B$6:$C$124,2,FALSE)</f>
        <v>0</v>
      </c>
      <c r="AA1351" s="146">
        <f t="shared" si="618"/>
        <v>0</v>
      </c>
      <c r="AB1351" s="143">
        <f t="shared" si="619"/>
        <v>1</v>
      </c>
      <c r="AC1351" s="133">
        <f t="shared" si="620"/>
        <v>1</v>
      </c>
      <c r="AD1351" s="142">
        <v>1</v>
      </c>
      <c r="AE1351" s="141"/>
      <c r="AF1351" s="121" t="s">
        <v>293</v>
      </c>
      <c r="AG1351" s="146">
        <f>VLOOKUP(Takeoffs!AF1351,Sheet1!$B$6:$C$124,2,FALSE)</f>
        <v>0</v>
      </c>
      <c r="AH1351" s="146">
        <f t="shared" si="621"/>
        <v>0</v>
      </c>
      <c r="AI1351" s="143">
        <f t="shared" si="622"/>
        <v>0</v>
      </c>
      <c r="AJ1351" s="133">
        <f t="shared" ref="AJ1351:AJ1362" si="626">S1351</f>
        <v>1</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1</v>
      </c>
      <c r="T1352" s="120"/>
      <c r="U1352" s="121" t="s">
        <v>293</v>
      </c>
      <c r="V1352" s="133">
        <f t="shared" si="617"/>
        <v>1</v>
      </c>
      <c r="W1352" s="133">
        <f>VLOOKUP(U1352,Sheet1!$B$6:$C$45,2,FALSE)*V1352</f>
        <v>0</v>
      </c>
      <c r="X1352" s="141"/>
      <c r="Y1352" s="121" t="s">
        <v>293</v>
      </c>
      <c r="Z1352" s="146">
        <f>VLOOKUP(Takeoffs!Y1352,Sheet1!$B$6:$C$124,2,FALSE)</f>
        <v>0</v>
      </c>
      <c r="AA1352" s="146">
        <f t="shared" si="618"/>
        <v>0</v>
      </c>
      <c r="AB1352" s="143">
        <f t="shared" si="619"/>
        <v>1</v>
      </c>
      <c r="AC1352" s="133">
        <f t="shared" si="620"/>
        <v>1</v>
      </c>
      <c r="AD1352" s="142">
        <v>1</v>
      </c>
      <c r="AE1352" s="141"/>
      <c r="AF1352" s="121" t="s">
        <v>293</v>
      </c>
      <c r="AG1352" s="146">
        <f>VLOOKUP(Takeoffs!AF1352,Sheet1!$B$6:$C$124,2,FALSE)</f>
        <v>0</v>
      </c>
      <c r="AH1352" s="146">
        <f t="shared" si="621"/>
        <v>0</v>
      </c>
      <c r="AI1352" s="143">
        <f t="shared" si="622"/>
        <v>0</v>
      </c>
      <c r="AJ1352" s="133">
        <f t="shared" si="626"/>
        <v>1</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1</v>
      </c>
      <c r="T1353" s="120"/>
      <c r="U1353" s="121" t="s">
        <v>293</v>
      </c>
      <c r="V1353" s="133">
        <f t="shared" si="617"/>
        <v>1</v>
      </c>
      <c r="W1353" s="133">
        <f>VLOOKUP(U1353,Sheet1!$B$6:$C$45,2,FALSE)*V1353</f>
        <v>0</v>
      </c>
      <c r="X1353" s="141"/>
      <c r="Y1353" s="121" t="s">
        <v>293</v>
      </c>
      <c r="Z1353" s="146">
        <f>VLOOKUP(Takeoffs!Y1353,Sheet1!$B$6:$C$124,2,FALSE)</f>
        <v>0</v>
      </c>
      <c r="AA1353" s="146">
        <f t="shared" si="618"/>
        <v>0</v>
      </c>
      <c r="AB1353" s="143">
        <f t="shared" si="619"/>
        <v>1</v>
      </c>
      <c r="AC1353" s="133">
        <f t="shared" si="620"/>
        <v>1</v>
      </c>
      <c r="AD1353" s="142">
        <v>1</v>
      </c>
      <c r="AE1353" s="141"/>
      <c r="AF1353" s="121" t="s">
        <v>293</v>
      </c>
      <c r="AG1353" s="146">
        <f>VLOOKUP(Takeoffs!AF1353,Sheet1!$B$6:$C$124,2,FALSE)</f>
        <v>0</v>
      </c>
      <c r="AH1353" s="146">
        <f t="shared" si="621"/>
        <v>0</v>
      </c>
      <c r="AI1353" s="143">
        <f t="shared" si="622"/>
        <v>0</v>
      </c>
      <c r="AJ1353" s="133">
        <f t="shared" si="626"/>
        <v>1</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1</v>
      </c>
      <c r="T1354" s="120"/>
      <c r="U1354" s="121" t="s">
        <v>293</v>
      </c>
      <c r="V1354" s="133">
        <f t="shared" si="617"/>
        <v>1</v>
      </c>
      <c r="W1354" s="133">
        <f>VLOOKUP(U1354,Sheet1!$B$6:$C$45,2,FALSE)*V1354</f>
        <v>0</v>
      </c>
      <c r="X1354" s="141"/>
      <c r="Y1354" s="121" t="s">
        <v>293</v>
      </c>
      <c r="Z1354" s="146">
        <f>VLOOKUP(Takeoffs!Y1354,Sheet1!$B$6:$C$124,2,FALSE)</f>
        <v>0</v>
      </c>
      <c r="AA1354" s="146">
        <f t="shared" si="618"/>
        <v>0</v>
      </c>
      <c r="AB1354" s="143">
        <f t="shared" si="619"/>
        <v>1</v>
      </c>
      <c r="AC1354" s="133">
        <f t="shared" si="620"/>
        <v>1</v>
      </c>
      <c r="AD1354" s="142">
        <v>1</v>
      </c>
      <c r="AE1354" s="141"/>
      <c r="AF1354" s="121" t="s">
        <v>293</v>
      </c>
      <c r="AG1354" s="146">
        <f>VLOOKUP(Takeoffs!AF1354,Sheet1!$B$6:$C$124,2,FALSE)</f>
        <v>0</v>
      </c>
      <c r="AH1354" s="146">
        <f t="shared" si="621"/>
        <v>0</v>
      </c>
      <c r="AI1354" s="143">
        <f t="shared" si="622"/>
        <v>0</v>
      </c>
      <c r="AJ1354" s="133">
        <f t="shared" si="626"/>
        <v>1</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1</v>
      </c>
      <c r="T1355" s="120"/>
      <c r="U1355" s="121" t="s">
        <v>293</v>
      </c>
      <c r="V1355" s="133">
        <f t="shared" si="617"/>
        <v>1</v>
      </c>
      <c r="W1355" s="133">
        <f>VLOOKUP(U1355,Sheet1!$B$6:$C$45,2,FALSE)*V1355</f>
        <v>0</v>
      </c>
      <c r="X1355" s="141"/>
      <c r="Y1355" s="121" t="s">
        <v>293</v>
      </c>
      <c r="Z1355" s="146">
        <f>VLOOKUP(Takeoffs!Y1355,Sheet1!$B$6:$C$124,2,FALSE)</f>
        <v>0</v>
      </c>
      <c r="AA1355" s="146">
        <f t="shared" si="618"/>
        <v>0</v>
      </c>
      <c r="AB1355" s="143">
        <f t="shared" si="619"/>
        <v>1</v>
      </c>
      <c r="AC1355" s="133">
        <f t="shared" si="620"/>
        <v>1</v>
      </c>
      <c r="AD1355" s="142">
        <v>1</v>
      </c>
      <c r="AE1355" s="141"/>
      <c r="AF1355" s="121" t="s">
        <v>293</v>
      </c>
      <c r="AG1355" s="146">
        <f>VLOOKUP(Takeoffs!AF1355,Sheet1!$B$6:$C$124,2,FALSE)</f>
        <v>0</v>
      </c>
      <c r="AH1355" s="146">
        <f t="shared" si="621"/>
        <v>0</v>
      </c>
      <c r="AI1355" s="143">
        <f t="shared" si="622"/>
        <v>0</v>
      </c>
      <c r="AJ1355" s="133">
        <f t="shared" si="626"/>
        <v>1</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1</v>
      </c>
      <c r="T1356" s="120"/>
      <c r="U1356" s="121" t="s">
        <v>293</v>
      </c>
      <c r="V1356" s="133">
        <f t="shared" si="617"/>
        <v>1</v>
      </c>
      <c r="W1356" s="133">
        <f>VLOOKUP(U1356,Sheet1!$B$6:$C$45,2,FALSE)*V1356</f>
        <v>0</v>
      </c>
      <c r="X1356" s="141"/>
      <c r="Y1356" s="121" t="s">
        <v>293</v>
      </c>
      <c r="Z1356" s="146">
        <f>VLOOKUP(Takeoffs!Y1356,Sheet1!$B$6:$C$124,2,FALSE)</f>
        <v>0</v>
      </c>
      <c r="AA1356" s="146">
        <f t="shared" si="618"/>
        <v>0</v>
      </c>
      <c r="AB1356" s="143">
        <f t="shared" si="619"/>
        <v>1</v>
      </c>
      <c r="AC1356" s="133">
        <f t="shared" si="620"/>
        <v>1</v>
      </c>
      <c r="AD1356" s="142">
        <v>1</v>
      </c>
      <c r="AE1356" s="141"/>
      <c r="AF1356" s="121" t="s">
        <v>293</v>
      </c>
      <c r="AG1356" s="146">
        <f>VLOOKUP(Takeoffs!AF1356,Sheet1!$B$6:$C$124,2,FALSE)</f>
        <v>0</v>
      </c>
      <c r="AH1356" s="146">
        <f t="shared" si="621"/>
        <v>0</v>
      </c>
      <c r="AI1356" s="143">
        <f t="shared" si="622"/>
        <v>0</v>
      </c>
      <c r="AJ1356" s="133">
        <f t="shared" si="626"/>
        <v>1</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1</v>
      </c>
      <c r="T1357" s="120"/>
      <c r="U1357" s="121" t="s">
        <v>293</v>
      </c>
      <c r="V1357" s="133">
        <f t="shared" si="617"/>
        <v>1</v>
      </c>
      <c r="W1357" s="133">
        <f>VLOOKUP(U1357,Sheet1!$B$6:$C$45,2,FALSE)*V1357</f>
        <v>0</v>
      </c>
      <c r="X1357" s="141"/>
      <c r="Y1357" s="121" t="s">
        <v>293</v>
      </c>
      <c r="Z1357" s="146">
        <f>VLOOKUP(Takeoffs!Y1357,Sheet1!$B$6:$C$124,2,FALSE)</f>
        <v>0</v>
      </c>
      <c r="AA1357" s="146">
        <f t="shared" si="618"/>
        <v>0</v>
      </c>
      <c r="AB1357" s="143">
        <f t="shared" si="619"/>
        <v>1</v>
      </c>
      <c r="AC1357" s="133">
        <f t="shared" si="620"/>
        <v>1</v>
      </c>
      <c r="AD1357" s="142">
        <v>1</v>
      </c>
      <c r="AE1357" s="141"/>
      <c r="AF1357" s="121" t="s">
        <v>293</v>
      </c>
      <c r="AG1357" s="146">
        <f>VLOOKUP(Takeoffs!AF1357,Sheet1!$B$6:$C$124,2,FALSE)</f>
        <v>0</v>
      </c>
      <c r="AH1357" s="146">
        <f t="shared" si="621"/>
        <v>0</v>
      </c>
      <c r="AI1357" s="143">
        <f t="shared" si="622"/>
        <v>0</v>
      </c>
      <c r="AJ1357" s="133">
        <f t="shared" si="626"/>
        <v>1</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1</v>
      </c>
      <c r="T1358" s="120"/>
      <c r="U1358" s="121" t="s">
        <v>293</v>
      </c>
      <c r="V1358" s="133">
        <f t="shared" si="617"/>
        <v>1</v>
      </c>
      <c r="W1358" s="133">
        <f>VLOOKUP(U1358,Sheet1!$B$6:$C$45,2,FALSE)*V1358</f>
        <v>0</v>
      </c>
      <c r="X1358" s="141"/>
      <c r="Y1358" s="121" t="s">
        <v>293</v>
      </c>
      <c r="Z1358" s="146">
        <f>VLOOKUP(Takeoffs!Y1358,Sheet1!$B$6:$C$124,2,FALSE)</f>
        <v>0</v>
      </c>
      <c r="AA1358" s="146">
        <f t="shared" si="618"/>
        <v>0</v>
      </c>
      <c r="AB1358" s="143">
        <f t="shared" si="619"/>
        <v>1</v>
      </c>
      <c r="AC1358" s="133">
        <f t="shared" si="620"/>
        <v>1</v>
      </c>
      <c r="AD1358" s="142">
        <v>1</v>
      </c>
      <c r="AE1358" s="141"/>
      <c r="AF1358" s="121" t="s">
        <v>293</v>
      </c>
      <c r="AG1358" s="146">
        <f>VLOOKUP(Takeoffs!AF1358,Sheet1!$B$6:$C$124,2,FALSE)</f>
        <v>0</v>
      </c>
      <c r="AH1358" s="146">
        <f t="shared" si="621"/>
        <v>0</v>
      </c>
      <c r="AI1358" s="143">
        <f t="shared" si="622"/>
        <v>0</v>
      </c>
      <c r="AJ1358" s="133">
        <f t="shared" si="626"/>
        <v>1</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1</v>
      </c>
      <c r="T1359" s="120"/>
      <c r="U1359" s="121" t="s">
        <v>293</v>
      </c>
      <c r="V1359" s="133">
        <f t="shared" si="617"/>
        <v>1</v>
      </c>
      <c r="W1359" s="133">
        <f>VLOOKUP(U1359,Sheet1!$B$6:$C$45,2,FALSE)*V1359</f>
        <v>0</v>
      </c>
      <c r="X1359" s="141"/>
      <c r="Y1359" s="121" t="s">
        <v>293</v>
      </c>
      <c r="Z1359" s="146">
        <f>VLOOKUP(Takeoffs!Y1359,Sheet1!$B$6:$C$124,2,FALSE)</f>
        <v>0</v>
      </c>
      <c r="AA1359" s="146">
        <f t="shared" si="618"/>
        <v>0</v>
      </c>
      <c r="AB1359" s="143">
        <f t="shared" si="619"/>
        <v>1</v>
      </c>
      <c r="AC1359" s="133">
        <f t="shared" si="620"/>
        <v>1</v>
      </c>
      <c r="AD1359" s="142">
        <v>1</v>
      </c>
      <c r="AE1359" s="141"/>
      <c r="AF1359" s="121" t="s">
        <v>293</v>
      </c>
      <c r="AG1359" s="146">
        <f>VLOOKUP(Takeoffs!AF1359,Sheet1!$B$6:$C$124,2,FALSE)</f>
        <v>0</v>
      </c>
      <c r="AH1359" s="146">
        <f t="shared" si="621"/>
        <v>0</v>
      </c>
      <c r="AI1359" s="143">
        <f t="shared" si="622"/>
        <v>0</v>
      </c>
      <c r="AJ1359" s="133">
        <f t="shared" si="626"/>
        <v>1</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1</v>
      </c>
      <c r="T1360" s="120"/>
      <c r="U1360" s="121" t="s">
        <v>293</v>
      </c>
      <c r="V1360" s="133">
        <f t="shared" si="617"/>
        <v>1</v>
      </c>
      <c r="W1360" s="133">
        <f>VLOOKUP(U1360,Sheet1!$B$6:$C$45,2,FALSE)*V1360</f>
        <v>0</v>
      </c>
      <c r="X1360" s="141"/>
      <c r="Y1360" s="121" t="s">
        <v>293</v>
      </c>
      <c r="Z1360" s="146">
        <f>VLOOKUP(Takeoffs!Y1360,Sheet1!$B$6:$C$124,2,FALSE)</f>
        <v>0</v>
      </c>
      <c r="AA1360" s="146">
        <f t="shared" si="618"/>
        <v>0</v>
      </c>
      <c r="AB1360" s="143">
        <f t="shared" si="619"/>
        <v>1</v>
      </c>
      <c r="AC1360" s="133">
        <f t="shared" si="620"/>
        <v>1</v>
      </c>
      <c r="AD1360" s="142">
        <v>1</v>
      </c>
      <c r="AE1360" s="141"/>
      <c r="AF1360" s="121" t="s">
        <v>293</v>
      </c>
      <c r="AG1360" s="146">
        <f>VLOOKUP(Takeoffs!AF1360,Sheet1!$B$6:$C$124,2,FALSE)</f>
        <v>0</v>
      </c>
      <c r="AH1360" s="146">
        <f t="shared" si="621"/>
        <v>0</v>
      </c>
      <c r="AI1360" s="143">
        <f t="shared" si="622"/>
        <v>0</v>
      </c>
      <c r="AJ1360" s="133">
        <f t="shared" si="626"/>
        <v>1</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1</v>
      </c>
      <c r="T1361" s="120"/>
      <c r="U1361" s="121" t="s">
        <v>293</v>
      </c>
      <c r="V1361" s="133">
        <f t="shared" si="617"/>
        <v>1</v>
      </c>
      <c r="W1361" s="133">
        <f>VLOOKUP(U1361,Sheet1!$B$6:$C$45,2,FALSE)*V1361</f>
        <v>0</v>
      </c>
      <c r="X1361" s="141"/>
      <c r="Y1361" s="121" t="s">
        <v>293</v>
      </c>
      <c r="Z1361" s="146">
        <f>VLOOKUP(Takeoffs!Y1361,Sheet1!$B$6:$C$124,2,FALSE)</f>
        <v>0</v>
      </c>
      <c r="AA1361" s="146">
        <f t="shared" si="618"/>
        <v>0</v>
      </c>
      <c r="AB1361" s="143">
        <f t="shared" si="619"/>
        <v>1</v>
      </c>
      <c r="AC1361" s="133">
        <f t="shared" si="620"/>
        <v>1</v>
      </c>
      <c r="AD1361" s="142">
        <v>1</v>
      </c>
      <c r="AE1361" s="141"/>
      <c r="AF1361" s="121" t="s">
        <v>293</v>
      </c>
      <c r="AG1361" s="146">
        <f>VLOOKUP(Takeoffs!AF1361,Sheet1!$B$6:$C$124,2,FALSE)</f>
        <v>0</v>
      </c>
      <c r="AH1361" s="146">
        <f t="shared" si="621"/>
        <v>0</v>
      </c>
      <c r="AI1361" s="143">
        <f t="shared" si="622"/>
        <v>0</v>
      </c>
      <c r="AJ1361" s="133">
        <f t="shared" si="626"/>
        <v>1</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1</v>
      </c>
      <c r="T1362" s="120"/>
      <c r="U1362" s="121" t="s">
        <v>293</v>
      </c>
      <c r="V1362" s="133">
        <f t="shared" si="617"/>
        <v>1</v>
      </c>
      <c r="W1362" s="133">
        <f>VLOOKUP(U1362,Sheet1!$B$6:$C$45,2,FALSE)*V1362</f>
        <v>0</v>
      </c>
      <c r="X1362" s="141"/>
      <c r="Y1362" s="121" t="s">
        <v>293</v>
      </c>
      <c r="Z1362" s="146">
        <f>VLOOKUP(Takeoffs!Y1362,Sheet1!$B$6:$C$124,2,FALSE)</f>
        <v>0</v>
      </c>
      <c r="AA1362" s="146">
        <f t="shared" si="618"/>
        <v>0</v>
      </c>
      <c r="AB1362" s="143">
        <f t="shared" si="619"/>
        <v>1</v>
      </c>
      <c r="AC1362" s="133">
        <f t="shared" si="620"/>
        <v>1</v>
      </c>
      <c r="AD1362" s="142">
        <v>1</v>
      </c>
      <c r="AE1362" s="141"/>
      <c r="AF1362" s="121" t="s">
        <v>293</v>
      </c>
      <c r="AG1362" s="146">
        <f>VLOOKUP(Takeoffs!AF1362,Sheet1!$B$6:$C$124,2,FALSE)</f>
        <v>0</v>
      </c>
      <c r="AH1362" s="146">
        <f t="shared" si="621"/>
        <v>0</v>
      </c>
      <c r="AI1362" s="143">
        <f t="shared" si="622"/>
        <v>0</v>
      </c>
      <c r="AJ1362" s="133">
        <f t="shared" si="626"/>
        <v>1</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379</v>
      </c>
      <c r="L1363" s="128" t="s">
        <v>380</v>
      </c>
      <c r="N1363" s="129"/>
      <c r="O1363" s="130" t="s">
        <v>359</v>
      </c>
      <c r="P1363" s="131">
        <f>V1363+AA1363+AH1363</f>
        <v>270.95999999999998</v>
      </c>
      <c r="Q1363" s="131"/>
      <c r="R1363" s="131"/>
      <c r="S1363" s="130"/>
      <c r="T1363" s="127"/>
      <c r="U1363" s="126" t="s">
        <v>353</v>
      </c>
      <c r="V1363" s="127">
        <f>W1363*80</f>
        <v>240</v>
      </c>
      <c r="W1363" s="147">
        <f>SUM(W1342:W1362)</f>
        <v>3</v>
      </c>
      <c r="X1363" s="148"/>
      <c r="Y1363" s="127" t="s">
        <v>354</v>
      </c>
      <c r="Z1363" s="116"/>
      <c r="AA1363" s="116">
        <f>SUM(AA1342:AA1362)</f>
        <v>0</v>
      </c>
      <c r="AB1363" s="149"/>
      <c r="AC1363" s="149"/>
      <c r="AD1363" s="149"/>
      <c r="AE1363" s="149"/>
      <c r="AF1363" s="127" t="s">
        <v>358</v>
      </c>
      <c r="AG1363" s="116"/>
      <c r="AH1363" s="116">
        <f>SUM(AH1342:AH1362)</f>
        <v>30.959999999999997</v>
      </c>
      <c r="AI1363" s="149"/>
      <c r="AJ1363" s="149"/>
      <c r="AK1363" s="149"/>
      <c r="AL1363" s="149"/>
      <c r="AM1363" s="150">
        <f>P1363</f>
        <v>270.95999999999998</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494</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v>1</v>
      </c>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one (1)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270.95999999999998</v>
      </c>
      <c r="L1364" s="234" t="str">
        <f>CONCATENATE(Q1343,Q1344,Q1345,Q1346,Q1347,Q1348,Q1349,Q1350,Q1351,Q1352,Q1353,Q1354,Q1355,Q1356,Q1357,Q1358,Q1359,Q1360,Q1361,Q1362,)</f>
        <v>wireless air-conditioning controllers. power supply to outdoor unit</v>
      </c>
      <c r="M1364" s="166" t="s">
        <v>369</v>
      </c>
      <c r="N1364" s="160" t="str">
        <f>N1342</f>
        <v>Multihead split AC systems (local power supply) - 4 indoor units with wireless controlers</v>
      </c>
      <c r="O1364" s="160" t="s">
        <v>367</v>
      </c>
      <c r="P1364" s="64">
        <f>P1363/M1342</f>
        <v>270.95999999999998</v>
      </c>
      <c r="Q1364" s="161"/>
      <c r="R1364" s="161"/>
      <c r="S1364" s="160"/>
      <c r="T1364" s="161"/>
      <c r="U1364" s="327" t="s">
        <v>368</v>
      </c>
      <c r="V1364" s="327"/>
      <c r="W1364" s="162">
        <f>W1363/M1342</f>
        <v>3</v>
      </c>
      <c r="X1364" s="163"/>
      <c r="Y1364" s="325" t="s">
        <v>367</v>
      </c>
      <c r="Z1364" s="325"/>
      <c r="AA1364" s="164">
        <f>AA1363/M1342</f>
        <v>0</v>
      </c>
      <c r="AB1364" s="161"/>
      <c r="AC1364" s="161"/>
      <c r="AD1364" s="161"/>
      <c r="AE1364" s="161"/>
      <c r="AF1364" s="325" t="s">
        <v>367</v>
      </c>
      <c r="AG1364" s="325"/>
      <c r="AH1364" s="164">
        <f>AH1363/M1342</f>
        <v>30.959999999999997</v>
      </c>
      <c r="AI1364" s="161"/>
      <c r="AJ1364" s="161"/>
      <c r="AK1364" s="161"/>
      <c r="AL1364" s="247"/>
      <c r="AM1364" s="257"/>
      <c r="AN1364" s="236">
        <f>K1364*1.25</f>
        <v>338.7</v>
      </c>
      <c r="AO1364" s="286"/>
      <c r="AP1364" s="284">
        <f t="shared" ref="AP1364:AP1427" si="627">IF(AND(I1364&gt;0, ISNUMBER(I1364)),I1364*P1364,0)</f>
        <v>270.95999999999998</v>
      </c>
      <c r="AQ1364" s="281">
        <f t="shared" ref="AQ1364:AQ1427" si="628">IF(AND(I1364&gt;0, ISNUMBER(I1364)),I1364*W1364*80,0)</f>
        <v>240</v>
      </c>
      <c r="AR1364" s="284">
        <f t="shared" ref="AR1364:AR1427" si="629">IF(AND(I1364&gt;0, ISNUMBER(I1364)),I1364*AA1364,0)</f>
        <v>0</v>
      </c>
      <c r="AS1364" s="281">
        <f t="shared" ref="AS1364:AS1427" si="630">IF(AND(I1364&gt;0, ISNUMBER(I1364)),I1364*AH1364,0)</f>
        <v>30.959999999999997</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454</v>
      </c>
      <c r="M1365" s="116" t="s">
        <v>299</v>
      </c>
      <c r="N1365" s="116" t="s">
        <v>108</v>
      </c>
      <c r="O1365" s="170" t="s">
        <v>388</v>
      </c>
      <c r="P1365" s="326" t="s">
        <v>377</v>
      </c>
      <c r="Q1365" s="326"/>
      <c r="R1365" s="101" t="s">
        <v>454</v>
      </c>
      <c r="S1365" s="116" t="s">
        <v>0</v>
      </c>
      <c r="T1365" s="118"/>
      <c r="U1365" s="116" t="s">
        <v>288</v>
      </c>
      <c r="V1365" s="116" t="s">
        <v>289</v>
      </c>
      <c r="W1365" s="116" t="s">
        <v>292</v>
      </c>
      <c r="X1365" s="140"/>
      <c r="Y1365" s="116" t="s">
        <v>290</v>
      </c>
      <c r="Z1365" s="116" t="s">
        <v>356</v>
      </c>
      <c r="AA1365" s="116" t="s">
        <v>357</v>
      </c>
      <c r="AB1365" s="116" t="s">
        <v>319</v>
      </c>
      <c r="AC1365" s="116" t="s">
        <v>320</v>
      </c>
      <c r="AD1365" s="116" t="s">
        <v>318</v>
      </c>
      <c r="AE1365" s="140"/>
      <c r="AF1365" s="116" t="s">
        <v>294</v>
      </c>
      <c r="AG1365" s="116" t="s">
        <v>356</v>
      </c>
      <c r="AH1365" s="116" t="s">
        <v>357</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one</v>
      </c>
      <c r="M1366" s="121">
        <f>I1388</f>
        <v>1</v>
      </c>
      <c r="N1366" s="132" t="s">
        <v>696</v>
      </c>
      <c r="O1366" s="121" t="s">
        <v>138</v>
      </c>
      <c r="P1366" s="169" t="s">
        <v>381</v>
      </c>
      <c r="Q1366" s="169" t="s">
        <v>377</v>
      </c>
      <c r="R1366" s="169"/>
      <c r="S1366" s="133">
        <f>M1366</f>
        <v>1</v>
      </c>
      <c r="T1366" s="119"/>
      <c r="U1366" s="121" t="s">
        <v>293</v>
      </c>
      <c r="V1366" s="133">
        <f>S1366</f>
        <v>1</v>
      </c>
      <c r="W1366" s="133">
        <f>VLOOKUP(U1366,Sheet1!$B$6:$C$45,2,FALSE)*V1366</f>
        <v>0</v>
      </c>
      <c r="X1366" s="141"/>
      <c r="Y1366" s="121" t="s">
        <v>293</v>
      </c>
      <c r="Z1366" s="146">
        <f>VLOOKUP(Takeoffs!Y1366,Sheet1!$B$6:$C$124,2,FALSE)</f>
        <v>0</v>
      </c>
      <c r="AA1366" s="146">
        <f>Z1366*AB1366</f>
        <v>0</v>
      </c>
      <c r="AB1366" s="143">
        <f>AD1366*AC1366</f>
        <v>1</v>
      </c>
      <c r="AC1366" s="133">
        <f>S1366</f>
        <v>1</v>
      </c>
      <c r="AD1366" s="142">
        <v>1</v>
      </c>
      <c r="AE1366" s="141"/>
      <c r="AF1366" s="121" t="s">
        <v>293</v>
      </c>
      <c r="AG1366" s="146">
        <f>VLOOKUP(Takeoffs!AF1366,Sheet1!$B$6:$C$124,2,FALSE)</f>
        <v>0</v>
      </c>
      <c r="AH1366" s="146">
        <f>AG1366*AI1366</f>
        <v>0</v>
      </c>
      <c r="AI1366" s="143">
        <f>AK1366*AJ1366</f>
        <v>0</v>
      </c>
      <c r="AJ1366" s="133">
        <f>S1366</f>
        <v>1</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428</v>
      </c>
      <c r="P1367" s="121"/>
      <c r="Q1367" s="121"/>
      <c r="R1367" s="121"/>
      <c r="S1367" s="133">
        <f>M1366</f>
        <v>1</v>
      </c>
      <c r="T1367" s="120"/>
      <c r="U1367" s="117" t="s">
        <v>366</v>
      </c>
      <c r="V1367" s="133">
        <f t="shared" ref="V1367:V1386" si="632">S1367</f>
        <v>1</v>
      </c>
      <c r="W1367" s="133">
        <f>VLOOKUP(U1367,Sheet1!$B$6:$C$45,2,FALSE)*V1367</f>
        <v>2</v>
      </c>
      <c r="X1367" s="141"/>
      <c r="Y1367" s="121" t="s">
        <v>293</v>
      </c>
      <c r="Z1367" s="146">
        <f>VLOOKUP(Takeoffs!Y1367,Sheet1!$B$6:$C$124,2,FALSE)</f>
        <v>0</v>
      </c>
      <c r="AA1367" s="146">
        <f t="shared" ref="AA1367:AA1386" si="633">Z1367*AB1367</f>
        <v>0</v>
      </c>
      <c r="AB1367" s="143">
        <f t="shared" ref="AB1367:AB1386" si="634">AD1367*AC1367</f>
        <v>1</v>
      </c>
      <c r="AC1367" s="133">
        <f t="shared" ref="AC1367:AC1386" si="635">S1367</f>
        <v>1</v>
      </c>
      <c r="AD1367" s="142">
        <v>1</v>
      </c>
      <c r="AE1367" s="141"/>
      <c r="AF1367" s="122" t="s">
        <v>269</v>
      </c>
      <c r="AG1367" s="146">
        <f>VLOOKUP(Takeoffs!AF1367,Sheet1!$B$6:$C$124,2,FALSE)</f>
        <v>1.056</v>
      </c>
      <c r="AH1367" s="146">
        <f t="shared" ref="AH1367:AH1386" si="636">AG1367*AI1367</f>
        <v>10.56</v>
      </c>
      <c r="AI1367" s="143">
        <f t="shared" ref="AI1367:AI1386" si="637">AK1367*AJ1367</f>
        <v>10</v>
      </c>
      <c r="AJ1367" s="133">
        <f t="shared" ref="AJ1367:AJ1374" si="638">S1367</f>
        <v>1</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394</v>
      </c>
      <c r="P1368" s="121"/>
      <c r="Q1368" s="121"/>
      <c r="R1368" s="121"/>
      <c r="S1368" s="133">
        <f>M1366</f>
        <v>1</v>
      </c>
      <c r="T1368" s="120"/>
      <c r="U1368" s="117" t="s">
        <v>303</v>
      </c>
      <c r="V1368" s="133">
        <f t="shared" si="632"/>
        <v>1</v>
      </c>
      <c r="W1368" s="133">
        <f>VLOOKUP(U1368,Sheet1!$B$6:$C$45,2,FALSE)*V1368</f>
        <v>0.5</v>
      </c>
      <c r="X1368" s="141"/>
      <c r="Y1368" s="121" t="s">
        <v>293</v>
      </c>
      <c r="Z1368" s="146">
        <f>VLOOKUP(Takeoffs!Y1368,Sheet1!$B$6:$C$124,2,FALSE)</f>
        <v>0</v>
      </c>
      <c r="AA1368" s="146">
        <f t="shared" si="633"/>
        <v>0</v>
      </c>
      <c r="AB1368" s="143">
        <f t="shared" si="634"/>
        <v>1</v>
      </c>
      <c r="AC1368" s="133">
        <f t="shared" si="635"/>
        <v>1</v>
      </c>
      <c r="AD1368" s="142">
        <v>1</v>
      </c>
      <c r="AE1368" s="141"/>
      <c r="AF1368" s="122" t="s">
        <v>268</v>
      </c>
      <c r="AG1368" s="146">
        <f>VLOOKUP(Takeoffs!AF1368,Sheet1!$B$6:$C$124,2,FALSE)</f>
        <v>1.02</v>
      </c>
      <c r="AH1368" s="146">
        <f t="shared" si="636"/>
        <v>10.199999999999999</v>
      </c>
      <c r="AI1368" s="143">
        <f t="shared" si="637"/>
        <v>10</v>
      </c>
      <c r="AJ1368" s="133">
        <f t="shared" si="638"/>
        <v>1</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415</v>
      </c>
      <c r="P1369" s="121"/>
      <c r="Q1369" s="121"/>
      <c r="R1369" s="121"/>
      <c r="S1369" s="133">
        <f>M1366</f>
        <v>1</v>
      </c>
      <c r="T1369" s="120"/>
      <c r="U1369" s="121" t="s">
        <v>293</v>
      </c>
      <c r="V1369" s="133">
        <f t="shared" si="632"/>
        <v>1</v>
      </c>
      <c r="W1369" s="133">
        <f>VLOOKUP(U1369,Sheet1!$B$6:$C$45,2,FALSE)*V1369</f>
        <v>0</v>
      </c>
      <c r="X1369" s="141"/>
      <c r="Y1369" s="121" t="s">
        <v>293</v>
      </c>
      <c r="Z1369" s="146">
        <f>VLOOKUP(Takeoffs!Y1369,Sheet1!$B$6:$C$124,2,FALSE)</f>
        <v>0</v>
      </c>
      <c r="AA1369" s="146">
        <f t="shared" si="633"/>
        <v>0</v>
      </c>
      <c r="AB1369" s="143">
        <f t="shared" si="634"/>
        <v>2</v>
      </c>
      <c r="AC1369" s="133">
        <f t="shared" si="635"/>
        <v>1</v>
      </c>
      <c r="AD1369" s="142">
        <v>2</v>
      </c>
      <c r="AE1369" s="141"/>
      <c r="AF1369" s="121" t="s">
        <v>293</v>
      </c>
      <c r="AG1369" s="146">
        <f>VLOOKUP(Takeoffs!AF1369,Sheet1!$B$6:$C$124,2,FALSE)</f>
        <v>0</v>
      </c>
      <c r="AH1369" s="146">
        <f t="shared" si="636"/>
        <v>0</v>
      </c>
      <c r="AI1369" s="143">
        <f t="shared" si="637"/>
        <v>0</v>
      </c>
      <c r="AJ1369" s="133">
        <f t="shared" si="638"/>
        <v>1</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449</v>
      </c>
      <c r="Q1370" s="121" t="s">
        <v>692</v>
      </c>
      <c r="R1370" s="121"/>
      <c r="S1370" s="133">
        <f>M1366</f>
        <v>1</v>
      </c>
      <c r="T1370" s="120"/>
      <c r="U1370" s="121" t="s">
        <v>293</v>
      </c>
      <c r="V1370" s="133">
        <f t="shared" si="632"/>
        <v>1</v>
      </c>
      <c r="W1370" s="133">
        <f>VLOOKUP(U1370,Sheet1!$B$6:$C$45,2,FALSE)*V1370</f>
        <v>0</v>
      </c>
      <c r="X1370" s="141"/>
      <c r="Y1370" s="121" t="s">
        <v>293</v>
      </c>
      <c r="Z1370" s="146">
        <f>VLOOKUP(Takeoffs!Y1370,Sheet1!$B$6:$C$124,2,FALSE)</f>
        <v>0</v>
      </c>
      <c r="AA1370" s="146">
        <f t="shared" si="633"/>
        <v>0</v>
      </c>
      <c r="AB1370" s="143">
        <f t="shared" si="634"/>
        <v>1</v>
      </c>
      <c r="AC1370" s="133">
        <f t="shared" si="635"/>
        <v>1</v>
      </c>
      <c r="AD1370" s="142">
        <v>1</v>
      </c>
      <c r="AE1370" s="141"/>
      <c r="AF1370" s="121" t="s">
        <v>293</v>
      </c>
      <c r="AG1370" s="146">
        <f>VLOOKUP(Takeoffs!AF1370,Sheet1!$B$6:$C$124,2,FALSE)</f>
        <v>0</v>
      </c>
      <c r="AH1370" s="146">
        <f t="shared" si="636"/>
        <v>0</v>
      </c>
      <c r="AI1370" s="143">
        <f t="shared" si="637"/>
        <v>0</v>
      </c>
      <c r="AJ1370" s="133">
        <f t="shared" si="638"/>
        <v>1</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510</v>
      </c>
      <c r="P1371" s="121" t="s">
        <v>422</v>
      </c>
      <c r="Q1371" s="121" t="s">
        <v>694</v>
      </c>
      <c r="R1371" s="121"/>
      <c r="S1371" s="133">
        <f>M1366</f>
        <v>1</v>
      </c>
      <c r="T1371" s="120"/>
      <c r="U1371" s="121" t="s">
        <v>293</v>
      </c>
      <c r="V1371" s="133">
        <f t="shared" si="632"/>
        <v>1</v>
      </c>
      <c r="W1371" s="133">
        <f>VLOOKUP(U1371,Sheet1!$B$6:$C$45,2,FALSE)*V1371</f>
        <v>0</v>
      </c>
      <c r="X1371" s="141"/>
      <c r="Y1371" s="121" t="s">
        <v>293</v>
      </c>
      <c r="Z1371" s="146">
        <f>VLOOKUP(Takeoffs!Y1371,Sheet1!$B$6:$C$124,2,FALSE)</f>
        <v>0</v>
      </c>
      <c r="AA1371" s="146">
        <f t="shared" si="633"/>
        <v>0</v>
      </c>
      <c r="AB1371" s="143">
        <f t="shared" si="634"/>
        <v>2</v>
      </c>
      <c r="AC1371" s="133">
        <f t="shared" si="635"/>
        <v>1</v>
      </c>
      <c r="AD1371" s="142">
        <v>2</v>
      </c>
      <c r="AE1371" s="141"/>
      <c r="AF1371" s="122" t="s">
        <v>268</v>
      </c>
      <c r="AG1371" s="146">
        <f>VLOOKUP(Takeoffs!AF1371,Sheet1!$B$6:$C$124,2,FALSE)</f>
        <v>1.02</v>
      </c>
      <c r="AH1371" s="146">
        <f t="shared" si="636"/>
        <v>10.199999999999999</v>
      </c>
      <c r="AI1371" s="143">
        <f t="shared" si="637"/>
        <v>10</v>
      </c>
      <c r="AJ1371" s="133">
        <f t="shared" si="638"/>
        <v>1</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1</v>
      </c>
      <c r="T1372" s="120"/>
      <c r="U1372" s="121" t="s">
        <v>293</v>
      </c>
      <c r="V1372" s="133">
        <f t="shared" si="632"/>
        <v>1</v>
      </c>
      <c r="W1372" s="133">
        <f>VLOOKUP(U1372,Sheet1!$B$6:$C$45,2,FALSE)*V1372</f>
        <v>0</v>
      </c>
      <c r="X1372" s="141"/>
      <c r="Y1372" s="121" t="s">
        <v>293</v>
      </c>
      <c r="Z1372" s="146">
        <f>VLOOKUP(Takeoffs!Y1372,Sheet1!$B$6:$C$124,2,FALSE)</f>
        <v>0</v>
      </c>
      <c r="AA1372" s="146">
        <f t="shared" si="633"/>
        <v>0</v>
      </c>
      <c r="AB1372" s="143">
        <f t="shared" si="634"/>
        <v>1</v>
      </c>
      <c r="AC1372" s="133">
        <f t="shared" si="635"/>
        <v>1</v>
      </c>
      <c r="AD1372" s="142">
        <v>1</v>
      </c>
      <c r="AE1372" s="141"/>
      <c r="AF1372" s="121" t="s">
        <v>293</v>
      </c>
      <c r="AG1372" s="146">
        <f>VLOOKUP(Takeoffs!AF1372,Sheet1!$B$6:$C$124,2,FALSE)</f>
        <v>0</v>
      </c>
      <c r="AH1372" s="146">
        <f t="shared" si="636"/>
        <v>0</v>
      </c>
      <c r="AI1372" s="143">
        <f t="shared" si="637"/>
        <v>0</v>
      </c>
      <c r="AJ1372" s="133">
        <f t="shared" si="638"/>
        <v>1</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1</v>
      </c>
      <c r="T1373" s="120"/>
      <c r="U1373" s="121" t="s">
        <v>293</v>
      </c>
      <c r="V1373" s="133">
        <f t="shared" si="632"/>
        <v>1</v>
      </c>
      <c r="W1373" s="133">
        <f>VLOOKUP(U1373,Sheet1!$B$6:$C$45,2,FALSE)*V1373</f>
        <v>0</v>
      </c>
      <c r="X1373" s="141"/>
      <c r="Y1373" s="121" t="s">
        <v>293</v>
      </c>
      <c r="Z1373" s="146">
        <f>VLOOKUP(Takeoffs!Y1373,Sheet1!$B$6:$C$124,2,FALSE)</f>
        <v>0</v>
      </c>
      <c r="AA1373" s="146">
        <f t="shared" si="633"/>
        <v>0</v>
      </c>
      <c r="AB1373" s="143">
        <f t="shared" si="634"/>
        <v>1</v>
      </c>
      <c r="AC1373" s="133">
        <f t="shared" si="635"/>
        <v>1</v>
      </c>
      <c r="AD1373" s="142">
        <v>1</v>
      </c>
      <c r="AE1373" s="141"/>
      <c r="AF1373" s="121" t="s">
        <v>293</v>
      </c>
      <c r="AG1373" s="146">
        <f>VLOOKUP(Takeoffs!AF1373,Sheet1!$B$6:$C$124,2,FALSE)</f>
        <v>0</v>
      </c>
      <c r="AH1373" s="146">
        <f t="shared" si="636"/>
        <v>0</v>
      </c>
      <c r="AI1373" s="143">
        <f t="shared" si="637"/>
        <v>0</v>
      </c>
      <c r="AJ1373" s="133">
        <f t="shared" si="638"/>
        <v>1</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1</v>
      </c>
      <c r="T1374" s="120"/>
      <c r="U1374" s="121" t="s">
        <v>293</v>
      </c>
      <c r="V1374" s="133">
        <f t="shared" si="632"/>
        <v>1</v>
      </c>
      <c r="W1374" s="133">
        <f>VLOOKUP(U1374,Sheet1!$B$6:$C$45,2,FALSE)*V1374</f>
        <v>0</v>
      </c>
      <c r="X1374" s="141"/>
      <c r="Y1374" s="121" t="s">
        <v>293</v>
      </c>
      <c r="Z1374" s="146">
        <f>VLOOKUP(Takeoffs!Y1374,Sheet1!$B$6:$C$124,2,FALSE)</f>
        <v>0</v>
      </c>
      <c r="AA1374" s="146">
        <f t="shared" si="633"/>
        <v>0</v>
      </c>
      <c r="AB1374" s="143">
        <f t="shared" si="634"/>
        <v>1</v>
      </c>
      <c r="AC1374" s="133">
        <f t="shared" si="635"/>
        <v>1</v>
      </c>
      <c r="AD1374" s="142">
        <v>1</v>
      </c>
      <c r="AE1374" s="141"/>
      <c r="AF1374" s="121" t="s">
        <v>293</v>
      </c>
      <c r="AG1374" s="146">
        <f>VLOOKUP(Takeoffs!AF1374,Sheet1!$B$6:$C$124,2,FALSE)</f>
        <v>0</v>
      </c>
      <c r="AH1374" s="146">
        <f t="shared" si="636"/>
        <v>0</v>
      </c>
      <c r="AI1374" s="143">
        <f t="shared" si="637"/>
        <v>0</v>
      </c>
      <c r="AJ1374" s="133">
        <f t="shared" si="638"/>
        <v>1</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1</v>
      </c>
      <c r="T1375" s="120"/>
      <c r="U1375" s="121" t="s">
        <v>293</v>
      </c>
      <c r="V1375" s="133">
        <f t="shared" si="632"/>
        <v>1</v>
      </c>
      <c r="W1375" s="133">
        <f>VLOOKUP(U1375,Sheet1!$B$6:$C$45,2,FALSE)*V1375</f>
        <v>0</v>
      </c>
      <c r="X1375" s="141"/>
      <c r="Y1375" s="121" t="s">
        <v>293</v>
      </c>
      <c r="Z1375" s="146">
        <f>VLOOKUP(Takeoffs!Y1375,Sheet1!$B$6:$C$124,2,FALSE)</f>
        <v>0</v>
      </c>
      <c r="AA1375" s="146">
        <f t="shared" si="633"/>
        <v>0</v>
      </c>
      <c r="AB1375" s="143">
        <f t="shared" si="634"/>
        <v>1</v>
      </c>
      <c r="AC1375" s="133">
        <f t="shared" si="635"/>
        <v>1</v>
      </c>
      <c r="AD1375" s="142">
        <v>1</v>
      </c>
      <c r="AE1375" s="141"/>
      <c r="AF1375" s="121" t="s">
        <v>293</v>
      </c>
      <c r="AG1375" s="146">
        <f>VLOOKUP(Takeoffs!AF1375,Sheet1!$B$6:$C$124,2,FALSE)</f>
        <v>0</v>
      </c>
      <c r="AH1375" s="146">
        <f t="shared" si="636"/>
        <v>0</v>
      </c>
      <c r="AI1375" s="143">
        <f t="shared" si="637"/>
        <v>0</v>
      </c>
      <c r="AJ1375" s="133">
        <f t="shared" ref="AJ1375:AJ1386" si="641">S1375</f>
        <v>1</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1</v>
      </c>
      <c r="T1376" s="120"/>
      <c r="U1376" s="121" t="s">
        <v>293</v>
      </c>
      <c r="V1376" s="133">
        <f t="shared" si="632"/>
        <v>1</v>
      </c>
      <c r="W1376" s="133">
        <f>VLOOKUP(U1376,Sheet1!$B$6:$C$45,2,FALSE)*V1376</f>
        <v>0</v>
      </c>
      <c r="X1376" s="141"/>
      <c r="Y1376" s="121" t="s">
        <v>293</v>
      </c>
      <c r="Z1376" s="146">
        <f>VLOOKUP(Takeoffs!Y1376,Sheet1!$B$6:$C$124,2,FALSE)</f>
        <v>0</v>
      </c>
      <c r="AA1376" s="146">
        <f t="shared" si="633"/>
        <v>0</v>
      </c>
      <c r="AB1376" s="143">
        <f t="shared" si="634"/>
        <v>1</v>
      </c>
      <c r="AC1376" s="133">
        <f t="shared" si="635"/>
        <v>1</v>
      </c>
      <c r="AD1376" s="142">
        <v>1</v>
      </c>
      <c r="AE1376" s="141"/>
      <c r="AF1376" s="121" t="s">
        <v>293</v>
      </c>
      <c r="AG1376" s="146">
        <f>VLOOKUP(Takeoffs!AF1376,Sheet1!$B$6:$C$124,2,FALSE)</f>
        <v>0</v>
      </c>
      <c r="AH1376" s="146">
        <f t="shared" si="636"/>
        <v>0</v>
      </c>
      <c r="AI1376" s="143">
        <f t="shared" si="637"/>
        <v>0</v>
      </c>
      <c r="AJ1376" s="133">
        <f t="shared" si="641"/>
        <v>1</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1</v>
      </c>
      <c r="T1377" s="120"/>
      <c r="U1377" s="121" t="s">
        <v>293</v>
      </c>
      <c r="V1377" s="133">
        <f t="shared" si="632"/>
        <v>1</v>
      </c>
      <c r="W1377" s="133">
        <f>VLOOKUP(U1377,Sheet1!$B$6:$C$45,2,FALSE)*V1377</f>
        <v>0</v>
      </c>
      <c r="X1377" s="141"/>
      <c r="Y1377" s="121" t="s">
        <v>293</v>
      </c>
      <c r="Z1377" s="146">
        <f>VLOOKUP(Takeoffs!Y1377,Sheet1!$B$6:$C$124,2,FALSE)</f>
        <v>0</v>
      </c>
      <c r="AA1377" s="146">
        <f t="shared" si="633"/>
        <v>0</v>
      </c>
      <c r="AB1377" s="143">
        <f t="shared" si="634"/>
        <v>1</v>
      </c>
      <c r="AC1377" s="133">
        <f t="shared" si="635"/>
        <v>1</v>
      </c>
      <c r="AD1377" s="142">
        <v>1</v>
      </c>
      <c r="AE1377" s="141"/>
      <c r="AF1377" s="121" t="s">
        <v>293</v>
      </c>
      <c r="AG1377" s="146">
        <f>VLOOKUP(Takeoffs!AF1377,Sheet1!$B$6:$C$124,2,FALSE)</f>
        <v>0</v>
      </c>
      <c r="AH1377" s="146">
        <f t="shared" si="636"/>
        <v>0</v>
      </c>
      <c r="AI1377" s="143">
        <f t="shared" si="637"/>
        <v>0</v>
      </c>
      <c r="AJ1377" s="133">
        <f t="shared" si="641"/>
        <v>1</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1</v>
      </c>
      <c r="T1378" s="120"/>
      <c r="U1378" s="121" t="s">
        <v>293</v>
      </c>
      <c r="V1378" s="133">
        <f t="shared" si="632"/>
        <v>1</v>
      </c>
      <c r="W1378" s="133">
        <f>VLOOKUP(U1378,Sheet1!$B$6:$C$45,2,FALSE)*V1378</f>
        <v>0</v>
      </c>
      <c r="X1378" s="141"/>
      <c r="Y1378" s="121" t="s">
        <v>293</v>
      </c>
      <c r="Z1378" s="146">
        <f>VLOOKUP(Takeoffs!Y1378,Sheet1!$B$6:$C$124,2,FALSE)</f>
        <v>0</v>
      </c>
      <c r="AA1378" s="146">
        <f t="shared" si="633"/>
        <v>0</v>
      </c>
      <c r="AB1378" s="143">
        <f t="shared" si="634"/>
        <v>1</v>
      </c>
      <c r="AC1378" s="133">
        <f t="shared" si="635"/>
        <v>1</v>
      </c>
      <c r="AD1378" s="142">
        <v>1</v>
      </c>
      <c r="AE1378" s="141"/>
      <c r="AF1378" s="121" t="s">
        <v>293</v>
      </c>
      <c r="AG1378" s="146">
        <f>VLOOKUP(Takeoffs!AF1378,Sheet1!$B$6:$C$124,2,FALSE)</f>
        <v>0</v>
      </c>
      <c r="AH1378" s="146">
        <f t="shared" si="636"/>
        <v>0</v>
      </c>
      <c r="AI1378" s="143">
        <f t="shared" si="637"/>
        <v>0</v>
      </c>
      <c r="AJ1378" s="133">
        <f t="shared" si="641"/>
        <v>1</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1</v>
      </c>
      <c r="T1379" s="120"/>
      <c r="U1379" s="121" t="s">
        <v>293</v>
      </c>
      <c r="V1379" s="133">
        <f t="shared" si="632"/>
        <v>1</v>
      </c>
      <c r="W1379" s="133">
        <f>VLOOKUP(U1379,Sheet1!$B$6:$C$45,2,FALSE)*V1379</f>
        <v>0</v>
      </c>
      <c r="X1379" s="141"/>
      <c r="Y1379" s="121" t="s">
        <v>293</v>
      </c>
      <c r="Z1379" s="146">
        <f>VLOOKUP(Takeoffs!Y1379,Sheet1!$B$6:$C$124,2,FALSE)</f>
        <v>0</v>
      </c>
      <c r="AA1379" s="146">
        <f t="shared" si="633"/>
        <v>0</v>
      </c>
      <c r="AB1379" s="143">
        <f t="shared" si="634"/>
        <v>1</v>
      </c>
      <c r="AC1379" s="133">
        <f t="shared" si="635"/>
        <v>1</v>
      </c>
      <c r="AD1379" s="142">
        <v>1</v>
      </c>
      <c r="AE1379" s="141"/>
      <c r="AF1379" s="121" t="s">
        <v>293</v>
      </c>
      <c r="AG1379" s="146">
        <f>VLOOKUP(Takeoffs!AF1379,Sheet1!$B$6:$C$124,2,FALSE)</f>
        <v>0</v>
      </c>
      <c r="AH1379" s="146">
        <f t="shared" si="636"/>
        <v>0</v>
      </c>
      <c r="AI1379" s="143">
        <f t="shared" si="637"/>
        <v>0</v>
      </c>
      <c r="AJ1379" s="133">
        <f t="shared" si="641"/>
        <v>1</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1</v>
      </c>
      <c r="T1380" s="120"/>
      <c r="U1380" s="121" t="s">
        <v>293</v>
      </c>
      <c r="V1380" s="133">
        <f t="shared" si="632"/>
        <v>1</v>
      </c>
      <c r="W1380" s="133">
        <f>VLOOKUP(U1380,Sheet1!$B$6:$C$45,2,FALSE)*V1380</f>
        <v>0</v>
      </c>
      <c r="X1380" s="141"/>
      <c r="Y1380" s="121" t="s">
        <v>293</v>
      </c>
      <c r="Z1380" s="146">
        <f>VLOOKUP(Takeoffs!Y1380,Sheet1!$B$6:$C$124,2,FALSE)</f>
        <v>0</v>
      </c>
      <c r="AA1380" s="146">
        <f t="shared" si="633"/>
        <v>0</v>
      </c>
      <c r="AB1380" s="143">
        <f t="shared" si="634"/>
        <v>1</v>
      </c>
      <c r="AC1380" s="133">
        <f t="shared" si="635"/>
        <v>1</v>
      </c>
      <c r="AD1380" s="142">
        <v>1</v>
      </c>
      <c r="AE1380" s="141"/>
      <c r="AF1380" s="121" t="s">
        <v>293</v>
      </c>
      <c r="AG1380" s="146">
        <f>VLOOKUP(Takeoffs!AF1380,Sheet1!$B$6:$C$124,2,FALSE)</f>
        <v>0</v>
      </c>
      <c r="AH1380" s="146">
        <f t="shared" si="636"/>
        <v>0</v>
      </c>
      <c r="AI1380" s="143">
        <f t="shared" si="637"/>
        <v>0</v>
      </c>
      <c r="AJ1380" s="133">
        <f t="shared" si="641"/>
        <v>1</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1</v>
      </c>
      <c r="T1381" s="120"/>
      <c r="U1381" s="121" t="s">
        <v>293</v>
      </c>
      <c r="V1381" s="133">
        <f t="shared" si="632"/>
        <v>1</v>
      </c>
      <c r="W1381" s="133">
        <f>VLOOKUP(U1381,Sheet1!$B$6:$C$45,2,FALSE)*V1381</f>
        <v>0</v>
      </c>
      <c r="X1381" s="141"/>
      <c r="Y1381" s="121" t="s">
        <v>293</v>
      </c>
      <c r="Z1381" s="146">
        <f>VLOOKUP(Takeoffs!Y1381,Sheet1!$B$6:$C$124,2,FALSE)</f>
        <v>0</v>
      </c>
      <c r="AA1381" s="146">
        <f t="shared" si="633"/>
        <v>0</v>
      </c>
      <c r="AB1381" s="143">
        <f t="shared" si="634"/>
        <v>1</v>
      </c>
      <c r="AC1381" s="133">
        <f t="shared" si="635"/>
        <v>1</v>
      </c>
      <c r="AD1381" s="142">
        <v>1</v>
      </c>
      <c r="AE1381" s="141"/>
      <c r="AF1381" s="121" t="s">
        <v>293</v>
      </c>
      <c r="AG1381" s="146">
        <f>VLOOKUP(Takeoffs!AF1381,Sheet1!$B$6:$C$124,2,FALSE)</f>
        <v>0</v>
      </c>
      <c r="AH1381" s="146">
        <f t="shared" si="636"/>
        <v>0</v>
      </c>
      <c r="AI1381" s="143">
        <f t="shared" si="637"/>
        <v>0</v>
      </c>
      <c r="AJ1381" s="133">
        <f t="shared" si="641"/>
        <v>1</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1</v>
      </c>
      <c r="T1382" s="120"/>
      <c r="U1382" s="121" t="s">
        <v>293</v>
      </c>
      <c r="V1382" s="133">
        <f t="shared" si="632"/>
        <v>1</v>
      </c>
      <c r="W1382" s="133">
        <f>VLOOKUP(U1382,Sheet1!$B$6:$C$45,2,FALSE)*V1382</f>
        <v>0</v>
      </c>
      <c r="X1382" s="141"/>
      <c r="Y1382" s="121" t="s">
        <v>293</v>
      </c>
      <c r="Z1382" s="146">
        <f>VLOOKUP(Takeoffs!Y1382,Sheet1!$B$6:$C$124,2,FALSE)</f>
        <v>0</v>
      </c>
      <c r="AA1382" s="146">
        <f t="shared" si="633"/>
        <v>0</v>
      </c>
      <c r="AB1382" s="143">
        <f t="shared" si="634"/>
        <v>1</v>
      </c>
      <c r="AC1382" s="133">
        <f t="shared" si="635"/>
        <v>1</v>
      </c>
      <c r="AD1382" s="142">
        <v>1</v>
      </c>
      <c r="AE1382" s="141"/>
      <c r="AF1382" s="121" t="s">
        <v>293</v>
      </c>
      <c r="AG1382" s="146">
        <f>VLOOKUP(Takeoffs!AF1382,Sheet1!$B$6:$C$124,2,FALSE)</f>
        <v>0</v>
      </c>
      <c r="AH1382" s="146">
        <f t="shared" si="636"/>
        <v>0</v>
      </c>
      <c r="AI1382" s="143">
        <f t="shared" si="637"/>
        <v>0</v>
      </c>
      <c r="AJ1382" s="133">
        <f t="shared" si="641"/>
        <v>1</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1</v>
      </c>
      <c r="T1383" s="120"/>
      <c r="U1383" s="121" t="s">
        <v>293</v>
      </c>
      <c r="V1383" s="133">
        <f t="shared" si="632"/>
        <v>1</v>
      </c>
      <c r="W1383" s="133">
        <f>VLOOKUP(U1383,Sheet1!$B$6:$C$45,2,FALSE)*V1383</f>
        <v>0</v>
      </c>
      <c r="X1383" s="141"/>
      <c r="Y1383" s="121" t="s">
        <v>293</v>
      </c>
      <c r="Z1383" s="146">
        <f>VLOOKUP(Takeoffs!Y1383,Sheet1!$B$6:$C$124,2,FALSE)</f>
        <v>0</v>
      </c>
      <c r="AA1383" s="146">
        <f t="shared" si="633"/>
        <v>0</v>
      </c>
      <c r="AB1383" s="143">
        <f t="shared" si="634"/>
        <v>1</v>
      </c>
      <c r="AC1383" s="133">
        <f t="shared" si="635"/>
        <v>1</v>
      </c>
      <c r="AD1383" s="142">
        <v>1</v>
      </c>
      <c r="AE1383" s="141"/>
      <c r="AF1383" s="121" t="s">
        <v>293</v>
      </c>
      <c r="AG1383" s="146">
        <f>VLOOKUP(Takeoffs!AF1383,Sheet1!$B$6:$C$124,2,FALSE)</f>
        <v>0</v>
      </c>
      <c r="AH1383" s="146">
        <f t="shared" si="636"/>
        <v>0</v>
      </c>
      <c r="AI1383" s="143">
        <f t="shared" si="637"/>
        <v>0</v>
      </c>
      <c r="AJ1383" s="133">
        <f t="shared" si="641"/>
        <v>1</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1</v>
      </c>
      <c r="T1384" s="120"/>
      <c r="U1384" s="121" t="s">
        <v>293</v>
      </c>
      <c r="V1384" s="133">
        <f t="shared" si="632"/>
        <v>1</v>
      </c>
      <c r="W1384" s="133">
        <f>VLOOKUP(U1384,Sheet1!$B$6:$C$45,2,FALSE)*V1384</f>
        <v>0</v>
      </c>
      <c r="X1384" s="141"/>
      <c r="Y1384" s="121" t="s">
        <v>293</v>
      </c>
      <c r="Z1384" s="146">
        <f>VLOOKUP(Takeoffs!Y1384,Sheet1!$B$6:$C$124,2,FALSE)</f>
        <v>0</v>
      </c>
      <c r="AA1384" s="146">
        <f t="shared" si="633"/>
        <v>0</v>
      </c>
      <c r="AB1384" s="143">
        <f t="shared" si="634"/>
        <v>1</v>
      </c>
      <c r="AC1384" s="133">
        <f t="shared" si="635"/>
        <v>1</v>
      </c>
      <c r="AD1384" s="142">
        <v>1</v>
      </c>
      <c r="AE1384" s="141"/>
      <c r="AF1384" s="121" t="s">
        <v>293</v>
      </c>
      <c r="AG1384" s="146">
        <f>VLOOKUP(Takeoffs!AF1384,Sheet1!$B$6:$C$124,2,FALSE)</f>
        <v>0</v>
      </c>
      <c r="AH1384" s="146">
        <f t="shared" si="636"/>
        <v>0</v>
      </c>
      <c r="AI1384" s="143">
        <f t="shared" si="637"/>
        <v>0</v>
      </c>
      <c r="AJ1384" s="133">
        <f t="shared" si="641"/>
        <v>1</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1</v>
      </c>
      <c r="T1385" s="120"/>
      <c r="U1385" s="121" t="s">
        <v>293</v>
      </c>
      <c r="V1385" s="133">
        <f t="shared" si="632"/>
        <v>1</v>
      </c>
      <c r="W1385" s="133">
        <f>VLOOKUP(U1385,Sheet1!$B$6:$C$45,2,FALSE)*V1385</f>
        <v>0</v>
      </c>
      <c r="X1385" s="141"/>
      <c r="Y1385" s="121" t="s">
        <v>293</v>
      </c>
      <c r="Z1385" s="146">
        <f>VLOOKUP(Takeoffs!Y1385,Sheet1!$B$6:$C$124,2,FALSE)</f>
        <v>0</v>
      </c>
      <c r="AA1385" s="146">
        <f t="shared" si="633"/>
        <v>0</v>
      </c>
      <c r="AB1385" s="143">
        <f t="shared" si="634"/>
        <v>1</v>
      </c>
      <c r="AC1385" s="133">
        <f t="shared" si="635"/>
        <v>1</v>
      </c>
      <c r="AD1385" s="142">
        <v>1</v>
      </c>
      <c r="AE1385" s="141"/>
      <c r="AF1385" s="121" t="s">
        <v>293</v>
      </c>
      <c r="AG1385" s="146">
        <f>VLOOKUP(Takeoffs!AF1385,Sheet1!$B$6:$C$124,2,FALSE)</f>
        <v>0</v>
      </c>
      <c r="AH1385" s="146">
        <f t="shared" si="636"/>
        <v>0</v>
      </c>
      <c r="AI1385" s="143">
        <f t="shared" si="637"/>
        <v>0</v>
      </c>
      <c r="AJ1385" s="133">
        <f t="shared" si="641"/>
        <v>1</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1</v>
      </c>
      <c r="T1386" s="120"/>
      <c r="U1386" s="121" t="s">
        <v>293</v>
      </c>
      <c r="V1386" s="133">
        <f t="shared" si="632"/>
        <v>1</v>
      </c>
      <c r="W1386" s="133">
        <f>VLOOKUP(U1386,Sheet1!$B$6:$C$45,2,FALSE)*V1386</f>
        <v>0</v>
      </c>
      <c r="X1386" s="141"/>
      <c r="Y1386" s="121" t="s">
        <v>293</v>
      </c>
      <c r="Z1386" s="146">
        <f>VLOOKUP(Takeoffs!Y1386,Sheet1!$B$6:$C$124,2,FALSE)</f>
        <v>0</v>
      </c>
      <c r="AA1386" s="146">
        <f t="shared" si="633"/>
        <v>0</v>
      </c>
      <c r="AB1386" s="143">
        <f t="shared" si="634"/>
        <v>1</v>
      </c>
      <c r="AC1386" s="133">
        <f t="shared" si="635"/>
        <v>1</v>
      </c>
      <c r="AD1386" s="142">
        <v>1</v>
      </c>
      <c r="AE1386" s="141"/>
      <c r="AF1386" s="121" t="s">
        <v>293</v>
      </c>
      <c r="AG1386" s="146">
        <f>VLOOKUP(Takeoffs!AF1386,Sheet1!$B$6:$C$124,2,FALSE)</f>
        <v>0</v>
      </c>
      <c r="AH1386" s="146">
        <f t="shared" si="636"/>
        <v>0</v>
      </c>
      <c r="AI1386" s="143">
        <f t="shared" si="637"/>
        <v>0</v>
      </c>
      <c r="AJ1386" s="133">
        <f t="shared" si="641"/>
        <v>1</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379</v>
      </c>
      <c r="L1387" s="128" t="s">
        <v>380</v>
      </c>
      <c r="N1387" s="129"/>
      <c r="O1387" s="130" t="s">
        <v>359</v>
      </c>
      <c r="P1387" s="131">
        <f>V1387+AA1387+AH1387</f>
        <v>230.96</v>
      </c>
      <c r="Q1387" s="131"/>
      <c r="R1387" s="131"/>
      <c r="S1387" s="130"/>
      <c r="T1387" s="127"/>
      <c r="U1387" s="126" t="s">
        <v>353</v>
      </c>
      <c r="V1387" s="127">
        <f>W1387*80</f>
        <v>200</v>
      </c>
      <c r="W1387" s="147">
        <f>SUM(W1366:W1386)</f>
        <v>2.5</v>
      </c>
      <c r="X1387" s="148"/>
      <c r="Y1387" s="127" t="s">
        <v>354</v>
      </c>
      <c r="Z1387" s="116"/>
      <c r="AA1387" s="116">
        <f>SUM(AA1366:AA1386)</f>
        <v>0</v>
      </c>
      <c r="AB1387" s="149"/>
      <c r="AC1387" s="149"/>
      <c r="AD1387" s="149"/>
      <c r="AE1387" s="149"/>
      <c r="AF1387" s="127" t="s">
        <v>358</v>
      </c>
      <c r="AG1387" s="116"/>
      <c r="AH1387" s="116">
        <f>SUM(AH1366:AH1386)</f>
        <v>30.959999999999997</v>
      </c>
      <c r="AI1387" s="149"/>
      <c r="AJ1387" s="149"/>
      <c r="AK1387" s="149"/>
      <c r="AL1387" s="149"/>
      <c r="AM1387" s="150">
        <f>P1387</f>
        <v>230.96</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494</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v>1</v>
      </c>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one (1)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230.96</v>
      </c>
      <c r="L1388" s="234" t="str">
        <f>CONCATENATE(Q1367,Q1368,Q1369,Q1370,Q1371,Q1372,Q1373,Q1374,Q1375,Q1376,Q1377,Q1378,Q1379,Q1380,Q1381,Q1382,Q1383,Q1384,Q1385,Q1386,)</f>
        <v>wireless air-conditioning controllers. power supply to outdoor unit</v>
      </c>
      <c r="M1388" s="166" t="s">
        <v>369</v>
      </c>
      <c r="N1388" s="160" t="str">
        <f>N1366</f>
        <v>Multihead split AC systems (local power supply) - 3 indoor units with wireless controlers</v>
      </c>
      <c r="O1388" s="160" t="s">
        <v>367</v>
      </c>
      <c r="P1388" s="64">
        <f>P1387/M1366</f>
        <v>230.96</v>
      </c>
      <c r="Q1388" s="161"/>
      <c r="R1388" s="161"/>
      <c r="S1388" s="160"/>
      <c r="T1388" s="161"/>
      <c r="U1388" s="327" t="s">
        <v>368</v>
      </c>
      <c r="V1388" s="327"/>
      <c r="W1388" s="162">
        <f>W1387/M1366</f>
        <v>2.5</v>
      </c>
      <c r="X1388" s="163"/>
      <c r="Y1388" s="325" t="s">
        <v>367</v>
      </c>
      <c r="Z1388" s="325"/>
      <c r="AA1388" s="164">
        <f>AA1387/M1366</f>
        <v>0</v>
      </c>
      <c r="AB1388" s="161"/>
      <c r="AC1388" s="161"/>
      <c r="AD1388" s="161"/>
      <c r="AE1388" s="161"/>
      <c r="AF1388" s="325" t="s">
        <v>367</v>
      </c>
      <c r="AG1388" s="325"/>
      <c r="AH1388" s="164">
        <f>AH1387/M1366</f>
        <v>30.959999999999997</v>
      </c>
      <c r="AI1388" s="161"/>
      <c r="AJ1388" s="161"/>
      <c r="AK1388" s="161"/>
      <c r="AL1388" s="247"/>
      <c r="AM1388" s="257"/>
      <c r="AN1388" s="236">
        <f>K1388*1.25</f>
        <v>288.7</v>
      </c>
      <c r="AO1388" s="286"/>
      <c r="AP1388" s="284">
        <f t="shared" si="627"/>
        <v>230.96</v>
      </c>
      <c r="AQ1388" s="281">
        <f t="shared" si="628"/>
        <v>200</v>
      </c>
      <c r="AR1388" s="284">
        <f t="shared" si="629"/>
        <v>0</v>
      </c>
      <c r="AS1388" s="281">
        <f t="shared" si="630"/>
        <v>30.959999999999997</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454</v>
      </c>
      <c r="M1389" s="116" t="s">
        <v>299</v>
      </c>
      <c r="N1389" s="116" t="s">
        <v>108</v>
      </c>
      <c r="O1389" s="170" t="s">
        <v>388</v>
      </c>
      <c r="P1389" s="326" t="s">
        <v>377</v>
      </c>
      <c r="Q1389" s="326"/>
      <c r="R1389" s="101" t="s">
        <v>454</v>
      </c>
      <c r="S1389" s="116" t="s">
        <v>0</v>
      </c>
      <c r="T1389" s="118"/>
      <c r="U1389" s="116" t="s">
        <v>288</v>
      </c>
      <c r="V1389" s="116" t="s">
        <v>289</v>
      </c>
      <c r="W1389" s="116" t="s">
        <v>292</v>
      </c>
      <c r="X1389" s="140"/>
      <c r="Y1389" s="116" t="s">
        <v>290</v>
      </c>
      <c r="Z1389" s="116" t="s">
        <v>356</v>
      </c>
      <c r="AA1389" s="116" t="s">
        <v>357</v>
      </c>
      <c r="AB1389" s="116" t="s">
        <v>319</v>
      </c>
      <c r="AC1389" s="116" t="s">
        <v>320</v>
      </c>
      <c r="AD1389" s="116" t="s">
        <v>318</v>
      </c>
      <c r="AE1389" s="140"/>
      <c r="AF1389" s="116" t="s">
        <v>294</v>
      </c>
      <c r="AG1389" s="116" t="s">
        <v>356</v>
      </c>
      <c r="AH1389" s="116" t="s">
        <v>357</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one</v>
      </c>
      <c r="M1390" s="121">
        <f>I1412</f>
        <v>1</v>
      </c>
      <c r="N1390" s="132" t="s">
        <v>695</v>
      </c>
      <c r="O1390" s="121" t="s">
        <v>138</v>
      </c>
      <c r="P1390" s="169" t="s">
        <v>381</v>
      </c>
      <c r="Q1390" s="169" t="s">
        <v>377</v>
      </c>
      <c r="R1390" s="169"/>
      <c r="S1390" s="133">
        <f>M1390</f>
        <v>1</v>
      </c>
      <c r="T1390" s="119"/>
      <c r="U1390" s="121" t="s">
        <v>293</v>
      </c>
      <c r="V1390" s="133">
        <f>S1390</f>
        <v>1</v>
      </c>
      <c r="W1390" s="133">
        <f>VLOOKUP(U1390,Sheet1!$B$6:$C$45,2,FALSE)*V1390</f>
        <v>0</v>
      </c>
      <c r="X1390" s="141"/>
      <c r="Y1390" s="121" t="s">
        <v>293</v>
      </c>
      <c r="Z1390" s="146">
        <f>VLOOKUP(Takeoffs!Y1390,Sheet1!$B$6:$C$124,2,FALSE)</f>
        <v>0</v>
      </c>
      <c r="AA1390" s="146">
        <f>Z1390*AB1390</f>
        <v>0</v>
      </c>
      <c r="AB1390" s="143">
        <f>AD1390*AC1390</f>
        <v>1</v>
      </c>
      <c r="AC1390" s="133">
        <f>S1390</f>
        <v>1</v>
      </c>
      <c r="AD1390" s="142">
        <v>1</v>
      </c>
      <c r="AE1390" s="141"/>
      <c r="AF1390" s="121" t="s">
        <v>293</v>
      </c>
      <c r="AG1390" s="146">
        <f>VLOOKUP(Takeoffs!AF1390,Sheet1!$B$6:$C$124,2,FALSE)</f>
        <v>0</v>
      </c>
      <c r="AH1390" s="146">
        <f>AG1390*AI1390</f>
        <v>0</v>
      </c>
      <c r="AI1390" s="143">
        <f>AK1390*AJ1390</f>
        <v>0</v>
      </c>
      <c r="AJ1390" s="133">
        <f>S1390</f>
        <v>1</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428</v>
      </c>
      <c r="P1391" s="121"/>
      <c r="Q1391" s="121"/>
      <c r="R1391" s="121"/>
      <c r="S1391" s="133">
        <f>M1390</f>
        <v>1</v>
      </c>
      <c r="T1391" s="120"/>
      <c r="U1391" s="117" t="s">
        <v>603</v>
      </c>
      <c r="V1391" s="133">
        <f t="shared" ref="V1391:V1410" si="642">S1391</f>
        <v>1</v>
      </c>
      <c r="W1391" s="133">
        <f>VLOOKUP(U1391,Sheet1!$B$6:$C$45,2,FALSE)*V1391</f>
        <v>1.5</v>
      </c>
      <c r="X1391" s="141"/>
      <c r="Y1391" s="121" t="s">
        <v>293</v>
      </c>
      <c r="Z1391" s="146">
        <f>VLOOKUP(Takeoffs!Y1391,Sheet1!$B$6:$C$124,2,FALSE)</f>
        <v>0</v>
      </c>
      <c r="AA1391" s="146">
        <f t="shared" ref="AA1391:AA1410" si="643">Z1391*AB1391</f>
        <v>0</v>
      </c>
      <c r="AB1391" s="143">
        <f t="shared" ref="AB1391:AB1410" si="644">AD1391*AC1391</f>
        <v>1</v>
      </c>
      <c r="AC1391" s="133">
        <f t="shared" ref="AC1391:AC1410" si="645">S1391</f>
        <v>1</v>
      </c>
      <c r="AD1391" s="142">
        <v>1</v>
      </c>
      <c r="AE1391" s="141"/>
      <c r="AF1391" s="122" t="s">
        <v>269</v>
      </c>
      <c r="AG1391" s="146">
        <f>VLOOKUP(Takeoffs!AF1391,Sheet1!$B$6:$C$124,2,FALSE)</f>
        <v>1.056</v>
      </c>
      <c r="AH1391" s="146">
        <f t="shared" ref="AH1391:AH1410" si="646">AG1391*AI1391</f>
        <v>10.56</v>
      </c>
      <c r="AI1391" s="143">
        <f t="shared" ref="AI1391:AI1410" si="647">AK1391*AJ1391</f>
        <v>10</v>
      </c>
      <c r="AJ1391" s="133">
        <f t="shared" ref="AJ1391:AJ1399" si="648">S1391</f>
        <v>1</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394</v>
      </c>
      <c r="P1392" s="121"/>
      <c r="Q1392" s="121"/>
      <c r="R1392" s="121"/>
      <c r="S1392" s="133">
        <f>M1390</f>
        <v>1</v>
      </c>
      <c r="T1392" s="120"/>
      <c r="U1392" s="117" t="s">
        <v>303</v>
      </c>
      <c r="V1392" s="133">
        <f t="shared" si="642"/>
        <v>1</v>
      </c>
      <c r="W1392" s="133">
        <f>VLOOKUP(U1392,Sheet1!$B$6:$C$45,2,FALSE)*V1392</f>
        <v>0.5</v>
      </c>
      <c r="X1392" s="141"/>
      <c r="Y1392" s="121" t="s">
        <v>293</v>
      </c>
      <c r="Z1392" s="146">
        <f>VLOOKUP(Takeoffs!Y1392,Sheet1!$B$6:$C$124,2,FALSE)</f>
        <v>0</v>
      </c>
      <c r="AA1392" s="146">
        <f t="shared" si="643"/>
        <v>0</v>
      </c>
      <c r="AB1392" s="143">
        <f t="shared" si="644"/>
        <v>1</v>
      </c>
      <c r="AC1392" s="133">
        <f t="shared" si="645"/>
        <v>1</v>
      </c>
      <c r="AD1392" s="142">
        <v>1</v>
      </c>
      <c r="AE1392" s="141"/>
      <c r="AF1392" s="122" t="s">
        <v>268</v>
      </c>
      <c r="AG1392" s="146">
        <f>VLOOKUP(Takeoffs!AF1392,Sheet1!$B$6:$C$124,2,FALSE)</f>
        <v>1.02</v>
      </c>
      <c r="AH1392" s="146">
        <f t="shared" si="646"/>
        <v>10.199999999999999</v>
      </c>
      <c r="AI1392" s="143">
        <f t="shared" si="647"/>
        <v>10</v>
      </c>
      <c r="AJ1392" s="133">
        <f t="shared" si="648"/>
        <v>1</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415</v>
      </c>
      <c r="P1393" s="121"/>
      <c r="Q1393" s="121"/>
      <c r="R1393" s="121"/>
      <c r="S1393" s="133">
        <f>M1390</f>
        <v>1</v>
      </c>
      <c r="T1393" s="120"/>
      <c r="U1393" s="121" t="s">
        <v>293</v>
      </c>
      <c r="V1393" s="133">
        <f t="shared" si="642"/>
        <v>1</v>
      </c>
      <c r="W1393" s="133">
        <f>VLOOKUP(U1393,Sheet1!$B$6:$C$45,2,FALSE)*V1393</f>
        <v>0</v>
      </c>
      <c r="X1393" s="141"/>
      <c r="Y1393" s="121" t="s">
        <v>293</v>
      </c>
      <c r="Z1393" s="146">
        <f>VLOOKUP(Takeoffs!Y1393,Sheet1!$B$6:$C$124,2,FALSE)</f>
        <v>0</v>
      </c>
      <c r="AA1393" s="146">
        <f t="shared" si="643"/>
        <v>0</v>
      </c>
      <c r="AB1393" s="143">
        <f t="shared" si="644"/>
        <v>2</v>
      </c>
      <c r="AC1393" s="133">
        <f t="shared" si="645"/>
        <v>1</v>
      </c>
      <c r="AD1393" s="142">
        <v>2</v>
      </c>
      <c r="AE1393" s="141"/>
      <c r="AF1393" s="121" t="s">
        <v>293</v>
      </c>
      <c r="AG1393" s="146">
        <f>VLOOKUP(Takeoffs!AF1393,Sheet1!$B$6:$C$124,2,FALSE)</f>
        <v>0</v>
      </c>
      <c r="AH1393" s="146">
        <f t="shared" si="646"/>
        <v>0</v>
      </c>
      <c r="AI1393" s="143">
        <f t="shared" si="647"/>
        <v>0</v>
      </c>
      <c r="AJ1393" s="133">
        <f t="shared" si="648"/>
        <v>1</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449</v>
      </c>
      <c r="Q1394" s="121" t="s">
        <v>692</v>
      </c>
      <c r="R1394" s="121"/>
      <c r="S1394" s="133">
        <f>M1390</f>
        <v>1</v>
      </c>
      <c r="T1394" s="120"/>
      <c r="U1394" s="121" t="s">
        <v>293</v>
      </c>
      <c r="V1394" s="133">
        <f t="shared" si="642"/>
        <v>1</v>
      </c>
      <c r="W1394" s="133">
        <f>VLOOKUP(U1394,Sheet1!$B$6:$C$45,2,FALSE)*V1394</f>
        <v>0</v>
      </c>
      <c r="X1394" s="141"/>
      <c r="Y1394" s="121" t="s">
        <v>293</v>
      </c>
      <c r="Z1394" s="146">
        <f>VLOOKUP(Takeoffs!Y1394,Sheet1!$B$6:$C$124,2,FALSE)</f>
        <v>0</v>
      </c>
      <c r="AA1394" s="146">
        <f t="shared" si="643"/>
        <v>0</v>
      </c>
      <c r="AB1394" s="143">
        <f t="shared" si="644"/>
        <v>1</v>
      </c>
      <c r="AC1394" s="133">
        <f t="shared" si="645"/>
        <v>1</v>
      </c>
      <c r="AD1394" s="142">
        <v>1</v>
      </c>
      <c r="AE1394" s="141"/>
      <c r="AF1394" s="121" t="s">
        <v>293</v>
      </c>
      <c r="AG1394" s="146">
        <f>VLOOKUP(Takeoffs!AF1394,Sheet1!$B$6:$C$124,2,FALSE)</f>
        <v>0</v>
      </c>
      <c r="AH1394" s="146">
        <f t="shared" si="646"/>
        <v>0</v>
      </c>
      <c r="AI1394" s="143">
        <f t="shared" si="647"/>
        <v>0</v>
      </c>
      <c r="AJ1394" s="133">
        <f t="shared" si="648"/>
        <v>1</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510</v>
      </c>
      <c r="P1395" s="121" t="s">
        <v>422</v>
      </c>
      <c r="Q1395" s="121" t="s">
        <v>694</v>
      </c>
      <c r="R1395" s="121"/>
      <c r="S1395" s="133">
        <f>M1390</f>
        <v>1</v>
      </c>
      <c r="T1395" s="120"/>
      <c r="U1395" s="121" t="s">
        <v>293</v>
      </c>
      <c r="V1395" s="133">
        <f t="shared" si="642"/>
        <v>1</v>
      </c>
      <c r="W1395" s="133">
        <f>VLOOKUP(U1395,Sheet1!$B$6:$C$45,2,FALSE)*V1395</f>
        <v>0</v>
      </c>
      <c r="X1395" s="141"/>
      <c r="Y1395" s="121" t="s">
        <v>293</v>
      </c>
      <c r="Z1395" s="146">
        <f>VLOOKUP(Takeoffs!Y1395,Sheet1!$B$6:$C$124,2,FALSE)</f>
        <v>0</v>
      </c>
      <c r="AA1395" s="146">
        <f t="shared" si="643"/>
        <v>0</v>
      </c>
      <c r="AB1395" s="143">
        <f t="shared" si="644"/>
        <v>2</v>
      </c>
      <c r="AC1395" s="133">
        <f t="shared" si="645"/>
        <v>1</v>
      </c>
      <c r="AD1395" s="142">
        <v>2</v>
      </c>
      <c r="AE1395" s="141"/>
      <c r="AF1395" s="122" t="s">
        <v>268</v>
      </c>
      <c r="AG1395" s="146">
        <f>VLOOKUP(Takeoffs!AF1395,Sheet1!$B$6:$C$124,2,FALSE)</f>
        <v>1.02</v>
      </c>
      <c r="AH1395" s="146">
        <f t="shared" si="646"/>
        <v>10.199999999999999</v>
      </c>
      <c r="AI1395" s="143">
        <f t="shared" si="647"/>
        <v>10</v>
      </c>
      <c r="AJ1395" s="133">
        <f t="shared" si="648"/>
        <v>1</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1</v>
      </c>
      <c r="T1396" s="120"/>
      <c r="U1396" s="121" t="s">
        <v>293</v>
      </c>
      <c r="V1396" s="133">
        <f t="shared" si="642"/>
        <v>1</v>
      </c>
      <c r="W1396" s="133">
        <f>VLOOKUP(U1396,Sheet1!$B$6:$C$45,2,FALSE)*V1396</f>
        <v>0</v>
      </c>
      <c r="X1396" s="141"/>
      <c r="Y1396" s="121" t="s">
        <v>293</v>
      </c>
      <c r="Z1396" s="146">
        <f>VLOOKUP(Takeoffs!Y1396,Sheet1!$B$6:$C$124,2,FALSE)</f>
        <v>0</v>
      </c>
      <c r="AA1396" s="146">
        <f t="shared" si="643"/>
        <v>0</v>
      </c>
      <c r="AB1396" s="143">
        <f t="shared" si="644"/>
        <v>1</v>
      </c>
      <c r="AC1396" s="133">
        <f t="shared" si="645"/>
        <v>1</v>
      </c>
      <c r="AD1396" s="142">
        <v>1</v>
      </c>
      <c r="AE1396" s="141"/>
      <c r="AF1396" s="121" t="s">
        <v>293</v>
      </c>
      <c r="AG1396" s="146">
        <f>VLOOKUP(Takeoffs!AF1396,Sheet1!$B$6:$C$124,2,FALSE)</f>
        <v>0</v>
      </c>
      <c r="AH1396" s="146">
        <f t="shared" si="646"/>
        <v>0</v>
      </c>
      <c r="AI1396" s="143">
        <f t="shared" si="647"/>
        <v>0</v>
      </c>
      <c r="AJ1396" s="133">
        <f t="shared" si="648"/>
        <v>1</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1</v>
      </c>
      <c r="T1397" s="120"/>
      <c r="U1397" s="121" t="s">
        <v>293</v>
      </c>
      <c r="V1397" s="133">
        <f t="shared" si="642"/>
        <v>1</v>
      </c>
      <c r="W1397" s="133">
        <f>VLOOKUP(U1397,Sheet1!$B$6:$C$45,2,FALSE)*V1397</f>
        <v>0</v>
      </c>
      <c r="X1397" s="141"/>
      <c r="Y1397" s="121" t="s">
        <v>293</v>
      </c>
      <c r="Z1397" s="146">
        <f>VLOOKUP(Takeoffs!Y1397,Sheet1!$B$6:$C$124,2,FALSE)</f>
        <v>0</v>
      </c>
      <c r="AA1397" s="146">
        <f t="shared" si="643"/>
        <v>0</v>
      </c>
      <c r="AB1397" s="143">
        <f t="shared" si="644"/>
        <v>1</v>
      </c>
      <c r="AC1397" s="133">
        <f t="shared" si="645"/>
        <v>1</v>
      </c>
      <c r="AD1397" s="142">
        <v>1</v>
      </c>
      <c r="AE1397" s="141"/>
      <c r="AF1397" s="121" t="s">
        <v>293</v>
      </c>
      <c r="AG1397" s="146">
        <f>VLOOKUP(Takeoffs!AF1397,Sheet1!$B$6:$C$124,2,FALSE)</f>
        <v>0</v>
      </c>
      <c r="AH1397" s="146">
        <f t="shared" si="646"/>
        <v>0</v>
      </c>
      <c r="AI1397" s="143">
        <f t="shared" si="647"/>
        <v>0</v>
      </c>
      <c r="AJ1397" s="133">
        <f t="shared" si="648"/>
        <v>1</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1</v>
      </c>
      <c r="T1398" s="120"/>
      <c r="U1398" s="121" t="s">
        <v>293</v>
      </c>
      <c r="V1398" s="133">
        <f t="shared" si="642"/>
        <v>1</v>
      </c>
      <c r="W1398" s="133">
        <f>VLOOKUP(U1398,Sheet1!$B$6:$C$45,2,FALSE)*V1398</f>
        <v>0</v>
      </c>
      <c r="X1398" s="141"/>
      <c r="Y1398" s="121" t="s">
        <v>293</v>
      </c>
      <c r="Z1398" s="146">
        <f>VLOOKUP(Takeoffs!Y1398,Sheet1!$B$6:$C$124,2,FALSE)</f>
        <v>0</v>
      </c>
      <c r="AA1398" s="146">
        <f t="shared" si="643"/>
        <v>0</v>
      </c>
      <c r="AB1398" s="143">
        <f t="shared" si="644"/>
        <v>1</v>
      </c>
      <c r="AC1398" s="133">
        <f t="shared" si="645"/>
        <v>1</v>
      </c>
      <c r="AD1398" s="142">
        <v>1</v>
      </c>
      <c r="AE1398" s="141"/>
      <c r="AF1398" s="121" t="s">
        <v>293</v>
      </c>
      <c r="AG1398" s="146">
        <f>VLOOKUP(Takeoffs!AF1398,Sheet1!$B$6:$C$124,2,FALSE)</f>
        <v>0</v>
      </c>
      <c r="AH1398" s="146">
        <f t="shared" si="646"/>
        <v>0</v>
      </c>
      <c r="AI1398" s="143">
        <f t="shared" si="647"/>
        <v>0</v>
      </c>
      <c r="AJ1398" s="133">
        <f t="shared" si="648"/>
        <v>1</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1</v>
      </c>
      <c r="T1399" s="120"/>
      <c r="U1399" s="121" t="s">
        <v>293</v>
      </c>
      <c r="V1399" s="133">
        <f t="shared" si="642"/>
        <v>1</v>
      </c>
      <c r="W1399" s="133">
        <f>VLOOKUP(U1399,Sheet1!$B$6:$C$45,2,FALSE)*V1399</f>
        <v>0</v>
      </c>
      <c r="X1399" s="141"/>
      <c r="Y1399" s="121" t="s">
        <v>293</v>
      </c>
      <c r="Z1399" s="146">
        <f>VLOOKUP(Takeoffs!Y1399,Sheet1!$B$6:$C$124,2,FALSE)</f>
        <v>0</v>
      </c>
      <c r="AA1399" s="146">
        <f t="shared" si="643"/>
        <v>0</v>
      </c>
      <c r="AB1399" s="143">
        <f t="shared" si="644"/>
        <v>1</v>
      </c>
      <c r="AC1399" s="133">
        <f t="shared" si="645"/>
        <v>1</v>
      </c>
      <c r="AD1399" s="142">
        <v>1</v>
      </c>
      <c r="AE1399" s="141"/>
      <c r="AF1399" s="121" t="s">
        <v>293</v>
      </c>
      <c r="AG1399" s="146">
        <f>VLOOKUP(Takeoffs!AF1399,Sheet1!$B$6:$C$124,2,FALSE)</f>
        <v>0</v>
      </c>
      <c r="AH1399" s="146">
        <f t="shared" si="646"/>
        <v>0</v>
      </c>
      <c r="AI1399" s="143">
        <f t="shared" si="647"/>
        <v>0</v>
      </c>
      <c r="AJ1399" s="133">
        <f t="shared" si="648"/>
        <v>1</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1</v>
      </c>
      <c r="T1400" s="120"/>
      <c r="U1400" s="121" t="s">
        <v>293</v>
      </c>
      <c r="V1400" s="133">
        <f t="shared" si="642"/>
        <v>1</v>
      </c>
      <c r="W1400" s="133">
        <f>VLOOKUP(U1400,Sheet1!$B$6:$C$45,2,FALSE)*V1400</f>
        <v>0</v>
      </c>
      <c r="X1400" s="141"/>
      <c r="Y1400" s="121" t="s">
        <v>293</v>
      </c>
      <c r="Z1400" s="146">
        <f>VLOOKUP(Takeoffs!Y1400,Sheet1!$B$6:$C$124,2,FALSE)</f>
        <v>0</v>
      </c>
      <c r="AA1400" s="146">
        <f t="shared" si="643"/>
        <v>0</v>
      </c>
      <c r="AB1400" s="143">
        <f t="shared" si="644"/>
        <v>1</v>
      </c>
      <c r="AC1400" s="133">
        <f t="shared" si="645"/>
        <v>1</v>
      </c>
      <c r="AD1400" s="142">
        <v>1</v>
      </c>
      <c r="AE1400" s="141"/>
      <c r="AF1400" s="121" t="s">
        <v>293</v>
      </c>
      <c r="AG1400" s="146">
        <f>VLOOKUP(Takeoffs!AF1400,Sheet1!$B$6:$C$124,2,FALSE)</f>
        <v>0</v>
      </c>
      <c r="AH1400" s="146">
        <f t="shared" si="646"/>
        <v>0</v>
      </c>
      <c r="AI1400" s="143">
        <f t="shared" si="647"/>
        <v>0</v>
      </c>
      <c r="AJ1400" s="133">
        <f t="shared" ref="AJ1400:AJ1410" si="651">S1400</f>
        <v>1</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1</v>
      </c>
      <c r="T1401" s="120"/>
      <c r="U1401" s="121" t="s">
        <v>293</v>
      </c>
      <c r="V1401" s="133">
        <f t="shared" si="642"/>
        <v>1</v>
      </c>
      <c r="W1401" s="133">
        <f>VLOOKUP(U1401,Sheet1!$B$6:$C$45,2,FALSE)*V1401</f>
        <v>0</v>
      </c>
      <c r="X1401" s="141"/>
      <c r="Y1401" s="121" t="s">
        <v>293</v>
      </c>
      <c r="Z1401" s="146">
        <f>VLOOKUP(Takeoffs!Y1401,Sheet1!$B$6:$C$124,2,FALSE)</f>
        <v>0</v>
      </c>
      <c r="AA1401" s="146">
        <f t="shared" si="643"/>
        <v>0</v>
      </c>
      <c r="AB1401" s="143">
        <f t="shared" si="644"/>
        <v>1</v>
      </c>
      <c r="AC1401" s="133">
        <f t="shared" si="645"/>
        <v>1</v>
      </c>
      <c r="AD1401" s="142">
        <v>1</v>
      </c>
      <c r="AE1401" s="141"/>
      <c r="AF1401" s="121" t="s">
        <v>293</v>
      </c>
      <c r="AG1401" s="146">
        <f>VLOOKUP(Takeoffs!AF1401,Sheet1!$B$6:$C$124,2,FALSE)</f>
        <v>0</v>
      </c>
      <c r="AH1401" s="146">
        <f t="shared" si="646"/>
        <v>0</v>
      </c>
      <c r="AI1401" s="143">
        <f t="shared" si="647"/>
        <v>0</v>
      </c>
      <c r="AJ1401" s="133">
        <f t="shared" si="651"/>
        <v>1</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1</v>
      </c>
      <c r="T1402" s="120"/>
      <c r="U1402" s="121" t="s">
        <v>293</v>
      </c>
      <c r="V1402" s="133">
        <f t="shared" si="642"/>
        <v>1</v>
      </c>
      <c r="W1402" s="133">
        <f>VLOOKUP(U1402,Sheet1!$B$6:$C$45,2,FALSE)*V1402</f>
        <v>0</v>
      </c>
      <c r="X1402" s="141"/>
      <c r="Y1402" s="121" t="s">
        <v>293</v>
      </c>
      <c r="Z1402" s="146">
        <f>VLOOKUP(Takeoffs!Y1402,Sheet1!$B$6:$C$124,2,FALSE)</f>
        <v>0</v>
      </c>
      <c r="AA1402" s="146">
        <f t="shared" si="643"/>
        <v>0</v>
      </c>
      <c r="AB1402" s="143">
        <f t="shared" si="644"/>
        <v>1</v>
      </c>
      <c r="AC1402" s="133">
        <f t="shared" si="645"/>
        <v>1</v>
      </c>
      <c r="AD1402" s="142">
        <v>1</v>
      </c>
      <c r="AE1402" s="141"/>
      <c r="AF1402" s="121" t="s">
        <v>293</v>
      </c>
      <c r="AG1402" s="146">
        <f>VLOOKUP(Takeoffs!AF1402,Sheet1!$B$6:$C$124,2,FALSE)</f>
        <v>0</v>
      </c>
      <c r="AH1402" s="146">
        <f t="shared" si="646"/>
        <v>0</v>
      </c>
      <c r="AI1402" s="143">
        <f t="shared" si="647"/>
        <v>0</v>
      </c>
      <c r="AJ1402" s="133">
        <f t="shared" si="651"/>
        <v>1</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1</v>
      </c>
      <c r="T1403" s="120"/>
      <c r="U1403" s="121" t="s">
        <v>293</v>
      </c>
      <c r="V1403" s="133">
        <f t="shared" si="642"/>
        <v>1</v>
      </c>
      <c r="W1403" s="133">
        <f>VLOOKUP(U1403,Sheet1!$B$6:$C$45,2,FALSE)*V1403</f>
        <v>0</v>
      </c>
      <c r="X1403" s="141"/>
      <c r="Y1403" s="121" t="s">
        <v>293</v>
      </c>
      <c r="Z1403" s="146">
        <f>VLOOKUP(Takeoffs!Y1403,Sheet1!$B$6:$C$124,2,FALSE)</f>
        <v>0</v>
      </c>
      <c r="AA1403" s="146">
        <f t="shared" si="643"/>
        <v>0</v>
      </c>
      <c r="AB1403" s="143">
        <f t="shared" si="644"/>
        <v>1</v>
      </c>
      <c r="AC1403" s="133">
        <f t="shared" si="645"/>
        <v>1</v>
      </c>
      <c r="AD1403" s="142">
        <v>1</v>
      </c>
      <c r="AE1403" s="141"/>
      <c r="AF1403" s="121" t="s">
        <v>293</v>
      </c>
      <c r="AG1403" s="146">
        <f>VLOOKUP(Takeoffs!AF1403,Sheet1!$B$6:$C$124,2,FALSE)</f>
        <v>0</v>
      </c>
      <c r="AH1403" s="146">
        <f t="shared" si="646"/>
        <v>0</v>
      </c>
      <c r="AI1403" s="143">
        <f t="shared" si="647"/>
        <v>0</v>
      </c>
      <c r="AJ1403" s="133">
        <f t="shared" si="651"/>
        <v>1</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1</v>
      </c>
      <c r="T1404" s="120"/>
      <c r="U1404" s="121" t="s">
        <v>293</v>
      </c>
      <c r="V1404" s="133">
        <f t="shared" si="642"/>
        <v>1</v>
      </c>
      <c r="W1404" s="133">
        <f>VLOOKUP(U1404,Sheet1!$B$6:$C$45,2,FALSE)*V1404</f>
        <v>0</v>
      </c>
      <c r="X1404" s="141"/>
      <c r="Y1404" s="121" t="s">
        <v>293</v>
      </c>
      <c r="Z1404" s="146">
        <f>VLOOKUP(Takeoffs!Y1404,Sheet1!$B$6:$C$124,2,FALSE)</f>
        <v>0</v>
      </c>
      <c r="AA1404" s="146">
        <f t="shared" si="643"/>
        <v>0</v>
      </c>
      <c r="AB1404" s="143">
        <f t="shared" si="644"/>
        <v>1</v>
      </c>
      <c r="AC1404" s="133">
        <f t="shared" si="645"/>
        <v>1</v>
      </c>
      <c r="AD1404" s="142">
        <v>1</v>
      </c>
      <c r="AE1404" s="141"/>
      <c r="AF1404" s="121" t="s">
        <v>293</v>
      </c>
      <c r="AG1404" s="146">
        <f>VLOOKUP(Takeoffs!AF1404,Sheet1!$B$6:$C$124,2,FALSE)</f>
        <v>0</v>
      </c>
      <c r="AH1404" s="146">
        <f t="shared" si="646"/>
        <v>0</v>
      </c>
      <c r="AI1404" s="143">
        <f t="shared" si="647"/>
        <v>0</v>
      </c>
      <c r="AJ1404" s="133">
        <f t="shared" si="651"/>
        <v>1</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1</v>
      </c>
      <c r="T1405" s="120"/>
      <c r="U1405" s="121" t="s">
        <v>293</v>
      </c>
      <c r="V1405" s="133">
        <f t="shared" si="642"/>
        <v>1</v>
      </c>
      <c r="W1405" s="133">
        <f>VLOOKUP(U1405,Sheet1!$B$6:$C$45,2,FALSE)*V1405</f>
        <v>0</v>
      </c>
      <c r="X1405" s="141"/>
      <c r="Y1405" s="121" t="s">
        <v>293</v>
      </c>
      <c r="Z1405" s="146">
        <f>VLOOKUP(Takeoffs!Y1405,Sheet1!$B$6:$C$124,2,FALSE)</f>
        <v>0</v>
      </c>
      <c r="AA1405" s="146">
        <f t="shared" si="643"/>
        <v>0</v>
      </c>
      <c r="AB1405" s="143">
        <f t="shared" si="644"/>
        <v>1</v>
      </c>
      <c r="AC1405" s="133">
        <f t="shared" si="645"/>
        <v>1</v>
      </c>
      <c r="AD1405" s="142">
        <v>1</v>
      </c>
      <c r="AE1405" s="141"/>
      <c r="AF1405" s="121" t="s">
        <v>293</v>
      </c>
      <c r="AG1405" s="146">
        <f>VLOOKUP(Takeoffs!AF1405,Sheet1!$B$6:$C$124,2,FALSE)</f>
        <v>0</v>
      </c>
      <c r="AH1405" s="146">
        <f t="shared" si="646"/>
        <v>0</v>
      </c>
      <c r="AI1405" s="143">
        <f t="shared" si="647"/>
        <v>0</v>
      </c>
      <c r="AJ1405" s="133">
        <f t="shared" si="651"/>
        <v>1</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1</v>
      </c>
      <c r="T1406" s="120"/>
      <c r="U1406" s="121" t="s">
        <v>293</v>
      </c>
      <c r="V1406" s="133">
        <f t="shared" si="642"/>
        <v>1</v>
      </c>
      <c r="W1406" s="133">
        <f>VLOOKUP(U1406,Sheet1!$B$6:$C$45,2,FALSE)*V1406</f>
        <v>0</v>
      </c>
      <c r="X1406" s="141"/>
      <c r="Y1406" s="121" t="s">
        <v>293</v>
      </c>
      <c r="Z1406" s="146">
        <f>VLOOKUP(Takeoffs!Y1406,Sheet1!$B$6:$C$124,2,FALSE)</f>
        <v>0</v>
      </c>
      <c r="AA1406" s="146">
        <f t="shared" si="643"/>
        <v>0</v>
      </c>
      <c r="AB1406" s="143">
        <f t="shared" si="644"/>
        <v>1</v>
      </c>
      <c r="AC1406" s="133">
        <f t="shared" si="645"/>
        <v>1</v>
      </c>
      <c r="AD1406" s="142">
        <v>1</v>
      </c>
      <c r="AE1406" s="141"/>
      <c r="AF1406" s="121" t="s">
        <v>293</v>
      </c>
      <c r="AG1406" s="146">
        <f>VLOOKUP(Takeoffs!AF1406,Sheet1!$B$6:$C$124,2,FALSE)</f>
        <v>0</v>
      </c>
      <c r="AH1406" s="146">
        <f t="shared" si="646"/>
        <v>0</v>
      </c>
      <c r="AI1406" s="143">
        <f t="shared" si="647"/>
        <v>0</v>
      </c>
      <c r="AJ1406" s="133">
        <f t="shared" si="651"/>
        <v>1</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1</v>
      </c>
      <c r="T1407" s="120"/>
      <c r="U1407" s="121" t="s">
        <v>293</v>
      </c>
      <c r="V1407" s="133">
        <f t="shared" si="642"/>
        <v>1</v>
      </c>
      <c r="W1407" s="133">
        <f>VLOOKUP(U1407,Sheet1!$B$6:$C$45,2,FALSE)*V1407</f>
        <v>0</v>
      </c>
      <c r="X1407" s="141"/>
      <c r="Y1407" s="121" t="s">
        <v>293</v>
      </c>
      <c r="Z1407" s="146">
        <f>VLOOKUP(Takeoffs!Y1407,Sheet1!$B$6:$C$124,2,FALSE)</f>
        <v>0</v>
      </c>
      <c r="AA1407" s="146">
        <f t="shared" si="643"/>
        <v>0</v>
      </c>
      <c r="AB1407" s="143">
        <f t="shared" si="644"/>
        <v>1</v>
      </c>
      <c r="AC1407" s="133">
        <f t="shared" si="645"/>
        <v>1</v>
      </c>
      <c r="AD1407" s="142">
        <v>1</v>
      </c>
      <c r="AE1407" s="141"/>
      <c r="AF1407" s="121" t="s">
        <v>293</v>
      </c>
      <c r="AG1407" s="146">
        <f>VLOOKUP(Takeoffs!AF1407,Sheet1!$B$6:$C$124,2,FALSE)</f>
        <v>0</v>
      </c>
      <c r="AH1407" s="146">
        <f t="shared" si="646"/>
        <v>0</v>
      </c>
      <c r="AI1407" s="143">
        <f t="shared" si="647"/>
        <v>0</v>
      </c>
      <c r="AJ1407" s="133">
        <f t="shared" si="651"/>
        <v>1</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1</v>
      </c>
      <c r="T1408" s="120"/>
      <c r="U1408" s="121" t="s">
        <v>293</v>
      </c>
      <c r="V1408" s="133">
        <f t="shared" si="642"/>
        <v>1</v>
      </c>
      <c r="W1408" s="133">
        <f>VLOOKUP(U1408,Sheet1!$B$6:$C$45,2,FALSE)*V1408</f>
        <v>0</v>
      </c>
      <c r="X1408" s="141"/>
      <c r="Y1408" s="121" t="s">
        <v>293</v>
      </c>
      <c r="Z1408" s="146">
        <f>VLOOKUP(Takeoffs!Y1408,Sheet1!$B$6:$C$124,2,FALSE)</f>
        <v>0</v>
      </c>
      <c r="AA1408" s="146">
        <f t="shared" si="643"/>
        <v>0</v>
      </c>
      <c r="AB1408" s="143">
        <f t="shared" si="644"/>
        <v>1</v>
      </c>
      <c r="AC1408" s="133">
        <f t="shared" si="645"/>
        <v>1</v>
      </c>
      <c r="AD1408" s="142">
        <v>1</v>
      </c>
      <c r="AE1408" s="141"/>
      <c r="AF1408" s="121" t="s">
        <v>293</v>
      </c>
      <c r="AG1408" s="146">
        <f>VLOOKUP(Takeoffs!AF1408,Sheet1!$B$6:$C$124,2,FALSE)</f>
        <v>0</v>
      </c>
      <c r="AH1408" s="146">
        <f t="shared" si="646"/>
        <v>0</v>
      </c>
      <c r="AI1408" s="143">
        <f t="shared" si="647"/>
        <v>0</v>
      </c>
      <c r="AJ1408" s="133">
        <f t="shared" si="651"/>
        <v>1</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1</v>
      </c>
      <c r="T1409" s="120"/>
      <c r="U1409" s="121" t="s">
        <v>293</v>
      </c>
      <c r="V1409" s="133">
        <f t="shared" si="642"/>
        <v>1</v>
      </c>
      <c r="W1409" s="133">
        <f>VLOOKUP(U1409,Sheet1!$B$6:$C$45,2,FALSE)*V1409</f>
        <v>0</v>
      </c>
      <c r="X1409" s="141"/>
      <c r="Y1409" s="121" t="s">
        <v>293</v>
      </c>
      <c r="Z1409" s="146">
        <f>VLOOKUP(Takeoffs!Y1409,Sheet1!$B$6:$C$124,2,FALSE)</f>
        <v>0</v>
      </c>
      <c r="AA1409" s="146">
        <f t="shared" si="643"/>
        <v>0</v>
      </c>
      <c r="AB1409" s="143">
        <f t="shared" si="644"/>
        <v>1</v>
      </c>
      <c r="AC1409" s="133">
        <f t="shared" si="645"/>
        <v>1</v>
      </c>
      <c r="AD1409" s="142">
        <v>1</v>
      </c>
      <c r="AE1409" s="141"/>
      <c r="AF1409" s="121" t="s">
        <v>293</v>
      </c>
      <c r="AG1409" s="146">
        <f>VLOOKUP(Takeoffs!AF1409,Sheet1!$B$6:$C$124,2,FALSE)</f>
        <v>0</v>
      </c>
      <c r="AH1409" s="146">
        <f t="shared" si="646"/>
        <v>0</v>
      </c>
      <c r="AI1409" s="143">
        <f t="shared" si="647"/>
        <v>0</v>
      </c>
      <c r="AJ1409" s="133">
        <f t="shared" si="651"/>
        <v>1</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1</v>
      </c>
      <c r="T1410" s="120"/>
      <c r="U1410" s="121" t="s">
        <v>293</v>
      </c>
      <c r="V1410" s="133">
        <f t="shared" si="642"/>
        <v>1</v>
      </c>
      <c r="W1410" s="133">
        <f>VLOOKUP(U1410,Sheet1!$B$6:$C$45,2,FALSE)*V1410</f>
        <v>0</v>
      </c>
      <c r="X1410" s="141"/>
      <c r="Y1410" s="121" t="s">
        <v>293</v>
      </c>
      <c r="Z1410" s="146">
        <f>VLOOKUP(Takeoffs!Y1410,Sheet1!$B$6:$C$124,2,FALSE)</f>
        <v>0</v>
      </c>
      <c r="AA1410" s="146">
        <f t="shared" si="643"/>
        <v>0</v>
      </c>
      <c r="AB1410" s="143">
        <f t="shared" si="644"/>
        <v>1</v>
      </c>
      <c r="AC1410" s="133">
        <f t="shared" si="645"/>
        <v>1</v>
      </c>
      <c r="AD1410" s="142">
        <v>1</v>
      </c>
      <c r="AE1410" s="141"/>
      <c r="AF1410" s="121" t="s">
        <v>293</v>
      </c>
      <c r="AG1410" s="146">
        <f>VLOOKUP(Takeoffs!AF1410,Sheet1!$B$6:$C$124,2,FALSE)</f>
        <v>0</v>
      </c>
      <c r="AH1410" s="146">
        <f t="shared" si="646"/>
        <v>0</v>
      </c>
      <c r="AI1410" s="143">
        <f t="shared" si="647"/>
        <v>0</v>
      </c>
      <c r="AJ1410" s="133">
        <f t="shared" si="651"/>
        <v>1</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379</v>
      </c>
      <c r="L1411" s="128" t="s">
        <v>380</v>
      </c>
      <c r="N1411" s="129"/>
      <c r="O1411" s="130" t="s">
        <v>359</v>
      </c>
      <c r="P1411" s="131">
        <f>V1411+AA1411+AH1411</f>
        <v>190.96</v>
      </c>
      <c r="Q1411" s="131"/>
      <c r="R1411" s="131"/>
      <c r="S1411" s="130"/>
      <c r="T1411" s="127"/>
      <c r="U1411" s="126" t="s">
        <v>353</v>
      </c>
      <c r="V1411" s="127">
        <f>W1411*80</f>
        <v>160</v>
      </c>
      <c r="W1411" s="147">
        <f>SUM(W1390:W1410)</f>
        <v>2</v>
      </c>
      <c r="X1411" s="148"/>
      <c r="Y1411" s="127" t="s">
        <v>354</v>
      </c>
      <c r="Z1411" s="116"/>
      <c r="AA1411" s="116">
        <f>SUM(AA1390:AA1410)</f>
        <v>0</v>
      </c>
      <c r="AB1411" s="149"/>
      <c r="AC1411" s="149"/>
      <c r="AD1411" s="149"/>
      <c r="AE1411" s="149"/>
      <c r="AF1411" s="127" t="s">
        <v>358</v>
      </c>
      <c r="AG1411" s="116"/>
      <c r="AH1411" s="116">
        <f>SUM(AH1390:AH1410)</f>
        <v>30.959999999999997</v>
      </c>
      <c r="AI1411" s="149"/>
      <c r="AJ1411" s="149"/>
      <c r="AK1411" s="149"/>
      <c r="AL1411" s="149"/>
      <c r="AM1411" s="150">
        <f>P1411</f>
        <v>190.96</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494</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v>1</v>
      </c>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one (1)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190.96</v>
      </c>
      <c r="L1412" s="234" t="str">
        <f>CONCATENATE(Q1391,Q1392,Q1393,Q1394,Q1395,Q1396,Q1397,Q1398,Q1399,Q1400,Q1401,Q1402,Q1403,Q1404,Q1405,Q1406,Q1407,Q1408,Q1409,Q1410,)</f>
        <v>wireless air-conditioning controllers. power supply to outdoor unit</v>
      </c>
      <c r="M1412" s="166" t="s">
        <v>369</v>
      </c>
      <c r="N1412" s="160" t="str">
        <f>N1390</f>
        <v>Multihead split AC systems (local power supply) - 2 indoor units with wireless controlers</v>
      </c>
      <c r="O1412" s="160" t="s">
        <v>367</v>
      </c>
      <c r="P1412" s="64">
        <f>P1411/M1390</f>
        <v>190.96</v>
      </c>
      <c r="Q1412" s="161"/>
      <c r="R1412" s="161"/>
      <c r="S1412" s="160"/>
      <c r="T1412" s="161"/>
      <c r="U1412" s="327" t="s">
        <v>368</v>
      </c>
      <c r="V1412" s="327"/>
      <c r="W1412" s="162">
        <f>W1411/M1390</f>
        <v>2</v>
      </c>
      <c r="X1412" s="163"/>
      <c r="Y1412" s="325" t="s">
        <v>367</v>
      </c>
      <c r="Z1412" s="325"/>
      <c r="AA1412" s="164">
        <f>AA1411/M1390</f>
        <v>0</v>
      </c>
      <c r="AB1412" s="161"/>
      <c r="AC1412" s="161"/>
      <c r="AD1412" s="161"/>
      <c r="AE1412" s="161"/>
      <c r="AF1412" s="325" t="s">
        <v>367</v>
      </c>
      <c r="AG1412" s="325"/>
      <c r="AH1412" s="164">
        <f>AH1411/M1390</f>
        <v>30.959999999999997</v>
      </c>
      <c r="AI1412" s="161"/>
      <c r="AJ1412" s="161"/>
      <c r="AK1412" s="161"/>
      <c r="AL1412" s="247"/>
      <c r="AM1412" s="257"/>
      <c r="AN1412" s="236">
        <f>K1412*1.25</f>
        <v>238.70000000000002</v>
      </c>
      <c r="AO1412" s="286"/>
      <c r="AP1412" s="284">
        <f t="shared" si="627"/>
        <v>190.96</v>
      </c>
      <c r="AQ1412" s="281">
        <f t="shared" si="628"/>
        <v>160</v>
      </c>
      <c r="AR1412" s="284">
        <f t="shared" si="629"/>
        <v>0</v>
      </c>
      <c r="AS1412" s="281">
        <f t="shared" si="630"/>
        <v>30.959999999999997</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454</v>
      </c>
      <c r="M1413" s="116" t="s">
        <v>299</v>
      </c>
      <c r="N1413" s="116" t="s">
        <v>108</v>
      </c>
      <c r="O1413" s="170" t="s">
        <v>388</v>
      </c>
      <c r="P1413" s="326" t="s">
        <v>377</v>
      </c>
      <c r="Q1413" s="326"/>
      <c r="R1413" s="101" t="s">
        <v>454</v>
      </c>
      <c r="S1413" s="116" t="s">
        <v>0</v>
      </c>
      <c r="T1413" s="118"/>
      <c r="U1413" s="116" t="s">
        <v>288</v>
      </c>
      <c r="V1413" s="116" t="s">
        <v>289</v>
      </c>
      <c r="W1413" s="116" t="s">
        <v>292</v>
      </c>
      <c r="X1413" s="140"/>
      <c r="Y1413" s="116" t="s">
        <v>290</v>
      </c>
      <c r="Z1413" s="116" t="s">
        <v>356</v>
      </c>
      <c r="AA1413" s="116" t="s">
        <v>357</v>
      </c>
      <c r="AB1413" s="116" t="s">
        <v>319</v>
      </c>
      <c r="AC1413" s="116" t="s">
        <v>320</v>
      </c>
      <c r="AD1413" s="116" t="s">
        <v>318</v>
      </c>
      <c r="AE1413" s="140"/>
      <c r="AF1413" s="116" t="s">
        <v>294</v>
      </c>
      <c r="AG1413" s="116" t="s">
        <v>356</v>
      </c>
      <c r="AH1413" s="116" t="s">
        <v>357</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one</v>
      </c>
      <c r="M1414" s="121">
        <f>I1436</f>
        <v>1</v>
      </c>
      <c r="N1414" s="132" t="s">
        <v>569</v>
      </c>
      <c r="O1414" s="121" t="s">
        <v>138</v>
      </c>
      <c r="P1414" s="169" t="s">
        <v>381</v>
      </c>
      <c r="Q1414" s="169" t="s">
        <v>377</v>
      </c>
      <c r="R1414" s="169"/>
      <c r="S1414" s="133">
        <f>M1414</f>
        <v>1</v>
      </c>
      <c r="T1414" s="119"/>
      <c r="U1414" s="121" t="s">
        <v>293</v>
      </c>
      <c r="V1414" s="133">
        <f>S1414</f>
        <v>1</v>
      </c>
      <c r="W1414" s="133">
        <f>VLOOKUP(U1414,Sheet1!$B$6:$C$45,2,FALSE)*V1414</f>
        <v>0</v>
      </c>
      <c r="X1414" s="141"/>
      <c r="Y1414" s="121" t="s">
        <v>293</v>
      </c>
      <c r="Z1414" s="146">
        <f>VLOOKUP(Takeoffs!Y1414,Sheet1!$B$6:$C$124,2,FALSE)</f>
        <v>0</v>
      </c>
      <c r="AA1414" s="146">
        <f>Z1414*AB1414</f>
        <v>0</v>
      </c>
      <c r="AB1414" s="143">
        <f>AD1414*AC1414</f>
        <v>1</v>
      </c>
      <c r="AC1414" s="133">
        <f>S1414</f>
        <v>1</v>
      </c>
      <c r="AD1414" s="142">
        <v>1</v>
      </c>
      <c r="AE1414" s="141"/>
      <c r="AF1414" s="121" t="s">
        <v>293</v>
      </c>
      <c r="AG1414" s="146">
        <f>VLOOKUP(Takeoffs!AF1414,Sheet1!$B$6:$C$124,2,FALSE)</f>
        <v>0</v>
      </c>
      <c r="AH1414" s="146">
        <f>AG1414*AI1414</f>
        <v>0</v>
      </c>
      <c r="AI1414" s="143">
        <f>AK1414*AJ1414</f>
        <v>0</v>
      </c>
      <c r="AJ1414" s="133">
        <f>S1414</f>
        <v>1</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428</v>
      </c>
      <c r="P1415" s="121"/>
      <c r="Q1415" s="121"/>
      <c r="R1415" s="121"/>
      <c r="S1415" s="133">
        <f>M1414</f>
        <v>1</v>
      </c>
      <c r="T1415" s="120"/>
      <c r="U1415" s="121" t="s">
        <v>293</v>
      </c>
      <c r="V1415" s="133">
        <f t="shared" ref="V1415:V1434" si="652">S1415</f>
        <v>1</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1</v>
      </c>
      <c r="AC1415" s="133">
        <f t="shared" ref="AC1415:AC1434" si="655">S1415</f>
        <v>1</v>
      </c>
      <c r="AD1415" s="142">
        <v>1</v>
      </c>
      <c r="AE1415" s="141"/>
      <c r="AF1415" s="122" t="s">
        <v>269</v>
      </c>
      <c r="AG1415" s="146">
        <f>VLOOKUP(Takeoffs!AF1415,Sheet1!$B$6:$C$124,2,FALSE)</f>
        <v>1.056</v>
      </c>
      <c r="AH1415" s="146">
        <f t="shared" ref="AH1415:AH1434" si="656">AG1415*AI1415</f>
        <v>10.56</v>
      </c>
      <c r="AI1415" s="143">
        <f t="shared" ref="AI1415:AI1434" si="657">AK1415*AJ1415</f>
        <v>10</v>
      </c>
      <c r="AJ1415" s="133">
        <f t="shared" ref="AJ1415:AJ1434" si="658">S1415</f>
        <v>1</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394</v>
      </c>
      <c r="P1416" s="121"/>
      <c r="Q1416" s="121"/>
      <c r="R1416" s="121"/>
      <c r="S1416" s="133">
        <f>M1414</f>
        <v>1</v>
      </c>
      <c r="T1416" s="120"/>
      <c r="U1416" s="121" t="s">
        <v>287</v>
      </c>
      <c r="V1416" s="133">
        <f t="shared" si="652"/>
        <v>1</v>
      </c>
      <c r="W1416" s="133">
        <f>VLOOKUP(U1416,Sheet1!$B$6:$C$45,2,FALSE)*V1416</f>
        <v>4</v>
      </c>
      <c r="X1416" s="141"/>
      <c r="Y1416" s="121" t="s">
        <v>293</v>
      </c>
      <c r="Z1416" s="146">
        <f>VLOOKUP(Takeoffs!Y1416,Sheet1!$B$6:$C$124,2,FALSE)</f>
        <v>0</v>
      </c>
      <c r="AA1416" s="146">
        <f t="shared" si="653"/>
        <v>0</v>
      </c>
      <c r="AB1416" s="143">
        <f t="shared" si="654"/>
        <v>1</v>
      </c>
      <c r="AC1416" s="133">
        <f t="shared" si="655"/>
        <v>1</v>
      </c>
      <c r="AD1416" s="142">
        <v>1</v>
      </c>
      <c r="AE1416" s="141"/>
      <c r="AF1416" s="122" t="s">
        <v>268</v>
      </c>
      <c r="AG1416" s="146">
        <f>VLOOKUP(Takeoffs!AF1416,Sheet1!$B$6:$C$124,2,FALSE)</f>
        <v>1.02</v>
      </c>
      <c r="AH1416" s="146">
        <f t="shared" si="656"/>
        <v>10.199999999999999</v>
      </c>
      <c r="AI1416" s="143">
        <f t="shared" si="657"/>
        <v>10</v>
      </c>
      <c r="AJ1416" s="133">
        <f t="shared" si="658"/>
        <v>1</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415</v>
      </c>
      <c r="P1417" s="121"/>
      <c r="Q1417" s="121"/>
      <c r="R1417" s="121"/>
      <c r="S1417" s="133">
        <f>M1414</f>
        <v>1</v>
      </c>
      <c r="T1417" s="120"/>
      <c r="U1417" s="121" t="s">
        <v>293</v>
      </c>
      <c r="V1417" s="133">
        <f t="shared" si="652"/>
        <v>1</v>
      </c>
      <c r="W1417" s="133">
        <f>VLOOKUP(U1417,Sheet1!$B$6:$C$45,2,FALSE)*V1417</f>
        <v>0</v>
      </c>
      <c r="X1417" s="141"/>
      <c r="Y1417" s="122" t="s">
        <v>247</v>
      </c>
      <c r="Z1417" s="146">
        <f>VLOOKUP(Takeoffs!Y1417,Sheet1!$B$6:$C$124,2,FALSE)</f>
        <v>23.76</v>
      </c>
      <c r="AA1417" s="146">
        <f t="shared" si="653"/>
        <v>23.76</v>
      </c>
      <c r="AB1417" s="143">
        <f t="shared" si="654"/>
        <v>1</v>
      </c>
      <c r="AC1417" s="133">
        <f t="shared" si="655"/>
        <v>1</v>
      </c>
      <c r="AD1417" s="142">
        <v>1</v>
      </c>
      <c r="AE1417" s="141"/>
      <c r="AF1417" s="121" t="s">
        <v>293</v>
      </c>
      <c r="AG1417" s="146">
        <f>VLOOKUP(Takeoffs!AF1417,Sheet1!$B$6:$C$124,2,FALSE)</f>
        <v>0</v>
      </c>
      <c r="AH1417" s="146">
        <f t="shared" si="656"/>
        <v>0</v>
      </c>
      <c r="AI1417" s="143">
        <f t="shared" si="657"/>
        <v>0</v>
      </c>
      <c r="AJ1417" s="133">
        <f t="shared" si="658"/>
        <v>1</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416</v>
      </c>
      <c r="P1418" s="121" t="s">
        <v>449</v>
      </c>
      <c r="Q1418" s="121" t="s">
        <v>451</v>
      </c>
      <c r="R1418" s="121"/>
      <c r="S1418" s="133">
        <f>M1414</f>
        <v>1</v>
      </c>
      <c r="T1418" s="120"/>
      <c r="U1418" s="121" t="s">
        <v>293</v>
      </c>
      <c r="V1418" s="133">
        <f t="shared" si="652"/>
        <v>1</v>
      </c>
      <c r="W1418" s="133">
        <f>VLOOKUP(U1418,Sheet1!$B$6:$C$45,2,FALSE)*V1418</f>
        <v>0</v>
      </c>
      <c r="X1418" s="141"/>
      <c r="Y1418" s="121" t="s">
        <v>293</v>
      </c>
      <c r="Z1418" s="146">
        <f>VLOOKUP(Takeoffs!Y1418,Sheet1!$B$6:$C$124,2,FALSE)</f>
        <v>0</v>
      </c>
      <c r="AA1418" s="146">
        <f t="shared" si="653"/>
        <v>0</v>
      </c>
      <c r="AB1418" s="143">
        <f t="shared" si="654"/>
        <v>1</v>
      </c>
      <c r="AC1418" s="133">
        <f t="shared" si="655"/>
        <v>1</v>
      </c>
      <c r="AD1418" s="142">
        <v>1</v>
      </c>
      <c r="AE1418" s="141"/>
      <c r="AF1418" s="121" t="s">
        <v>293</v>
      </c>
      <c r="AG1418" s="146">
        <f>VLOOKUP(Takeoffs!AF1418,Sheet1!$B$6:$C$124,2,FALSE)</f>
        <v>0</v>
      </c>
      <c r="AH1418" s="146">
        <f t="shared" si="656"/>
        <v>0</v>
      </c>
      <c r="AI1418" s="143">
        <f t="shared" si="657"/>
        <v>0</v>
      </c>
      <c r="AJ1418" s="133">
        <f t="shared" si="658"/>
        <v>1</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570</v>
      </c>
      <c r="P1419" s="121"/>
      <c r="Q1419" s="121"/>
      <c r="R1419" s="121"/>
      <c r="S1419" s="133">
        <f>M1414</f>
        <v>1</v>
      </c>
      <c r="T1419" s="120"/>
      <c r="U1419" s="117" t="s">
        <v>481</v>
      </c>
      <c r="V1419" s="133">
        <f t="shared" si="652"/>
        <v>1</v>
      </c>
      <c r="W1419" s="133">
        <f>VLOOKUP(U1419,Sheet1!$B$6:$C$45,2,FALSE)*V1419</f>
        <v>2</v>
      </c>
      <c r="X1419" s="141"/>
      <c r="Y1419" s="52" t="s">
        <v>253</v>
      </c>
      <c r="Z1419" s="146">
        <f>VLOOKUP(Takeoffs!Y1419,Sheet1!$B$6:$C$124,2,FALSE)</f>
        <v>10.139999999999999</v>
      </c>
      <c r="AA1419" s="146">
        <f t="shared" si="653"/>
        <v>10.139999999999999</v>
      </c>
      <c r="AB1419" s="143">
        <f t="shared" si="654"/>
        <v>1</v>
      </c>
      <c r="AC1419" s="133">
        <f t="shared" si="655"/>
        <v>1</v>
      </c>
      <c r="AD1419" s="142">
        <v>1</v>
      </c>
      <c r="AE1419" s="141"/>
      <c r="AF1419" s="122" t="s">
        <v>268</v>
      </c>
      <c r="AG1419" s="146">
        <f>VLOOKUP(Takeoffs!AF1419,Sheet1!$B$6:$C$124,2,FALSE)</f>
        <v>1.02</v>
      </c>
      <c r="AH1419" s="146">
        <f t="shared" si="656"/>
        <v>10.199999999999999</v>
      </c>
      <c r="AI1419" s="143">
        <f t="shared" si="657"/>
        <v>10</v>
      </c>
      <c r="AJ1419" s="133">
        <f t="shared" si="658"/>
        <v>1</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1</v>
      </c>
      <c r="T1420" s="120"/>
      <c r="U1420" s="121" t="s">
        <v>293</v>
      </c>
      <c r="V1420" s="133">
        <f t="shared" si="652"/>
        <v>1</v>
      </c>
      <c r="W1420" s="133">
        <f>VLOOKUP(U1420,Sheet1!$B$6:$C$45,2,FALSE)*V1420</f>
        <v>0</v>
      </c>
      <c r="X1420" s="141"/>
      <c r="Y1420" s="121" t="s">
        <v>293</v>
      </c>
      <c r="Z1420" s="146">
        <f>VLOOKUP(Takeoffs!Y1420,Sheet1!$B$6:$C$124,2,FALSE)</f>
        <v>0</v>
      </c>
      <c r="AA1420" s="146">
        <f t="shared" si="653"/>
        <v>0</v>
      </c>
      <c r="AB1420" s="143">
        <f t="shared" si="654"/>
        <v>1</v>
      </c>
      <c r="AC1420" s="133">
        <f t="shared" si="655"/>
        <v>1</v>
      </c>
      <c r="AD1420" s="142">
        <v>1</v>
      </c>
      <c r="AE1420" s="141"/>
      <c r="AF1420" s="121" t="s">
        <v>293</v>
      </c>
      <c r="AG1420" s="146">
        <f>VLOOKUP(Takeoffs!AF1420,Sheet1!$B$6:$C$124,2,FALSE)</f>
        <v>0</v>
      </c>
      <c r="AH1420" s="146">
        <f t="shared" si="656"/>
        <v>0</v>
      </c>
      <c r="AI1420" s="143">
        <f t="shared" si="657"/>
        <v>0</v>
      </c>
      <c r="AJ1420" s="133">
        <f t="shared" si="658"/>
        <v>1</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1</v>
      </c>
      <c r="T1421" s="120"/>
      <c r="U1421" s="121" t="s">
        <v>293</v>
      </c>
      <c r="V1421" s="133">
        <f t="shared" si="652"/>
        <v>1</v>
      </c>
      <c r="W1421" s="133">
        <f>VLOOKUP(U1421,Sheet1!$B$6:$C$45,2,FALSE)*V1421</f>
        <v>0</v>
      </c>
      <c r="X1421" s="141"/>
      <c r="Y1421" s="121" t="s">
        <v>293</v>
      </c>
      <c r="Z1421" s="146">
        <f>VLOOKUP(Takeoffs!Y1421,Sheet1!$B$6:$C$124,2,FALSE)</f>
        <v>0</v>
      </c>
      <c r="AA1421" s="146">
        <f t="shared" si="653"/>
        <v>0</v>
      </c>
      <c r="AB1421" s="143">
        <f t="shared" si="654"/>
        <v>1</v>
      </c>
      <c r="AC1421" s="133">
        <f t="shared" si="655"/>
        <v>1</v>
      </c>
      <c r="AD1421" s="142">
        <v>1</v>
      </c>
      <c r="AE1421" s="141"/>
      <c r="AF1421" s="121" t="s">
        <v>293</v>
      </c>
      <c r="AG1421" s="146">
        <f>VLOOKUP(Takeoffs!AF1421,Sheet1!$B$6:$C$124,2,FALSE)</f>
        <v>0</v>
      </c>
      <c r="AH1421" s="146">
        <f t="shared" si="656"/>
        <v>0</v>
      </c>
      <c r="AI1421" s="143">
        <f t="shared" si="657"/>
        <v>0</v>
      </c>
      <c r="AJ1421" s="133">
        <f t="shared" si="658"/>
        <v>1</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1</v>
      </c>
      <c r="T1422" s="120"/>
      <c r="U1422" s="121" t="s">
        <v>293</v>
      </c>
      <c r="V1422" s="133">
        <f t="shared" si="652"/>
        <v>1</v>
      </c>
      <c r="W1422" s="133">
        <f>VLOOKUP(U1422,Sheet1!$B$6:$C$45,2,FALSE)*V1422</f>
        <v>0</v>
      </c>
      <c r="X1422" s="141"/>
      <c r="Y1422" s="121" t="s">
        <v>293</v>
      </c>
      <c r="Z1422" s="146">
        <f>VLOOKUP(Takeoffs!Y1422,Sheet1!$B$6:$C$124,2,FALSE)</f>
        <v>0</v>
      </c>
      <c r="AA1422" s="146">
        <f t="shared" si="653"/>
        <v>0</v>
      </c>
      <c r="AB1422" s="143">
        <f t="shared" si="654"/>
        <v>1</v>
      </c>
      <c r="AC1422" s="133">
        <f t="shared" si="655"/>
        <v>1</v>
      </c>
      <c r="AD1422" s="142">
        <v>1</v>
      </c>
      <c r="AE1422" s="141"/>
      <c r="AF1422" s="121" t="s">
        <v>293</v>
      </c>
      <c r="AG1422" s="146">
        <f>VLOOKUP(Takeoffs!AF1422,Sheet1!$B$6:$C$124,2,FALSE)</f>
        <v>0</v>
      </c>
      <c r="AH1422" s="146">
        <f t="shared" si="656"/>
        <v>0</v>
      </c>
      <c r="AI1422" s="143">
        <f t="shared" si="657"/>
        <v>0</v>
      </c>
      <c r="AJ1422" s="133">
        <f t="shared" si="658"/>
        <v>1</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1</v>
      </c>
      <c r="T1423" s="120"/>
      <c r="U1423" s="121" t="s">
        <v>293</v>
      </c>
      <c r="V1423" s="133">
        <f t="shared" si="652"/>
        <v>1</v>
      </c>
      <c r="W1423" s="133">
        <f>VLOOKUP(U1423,Sheet1!$B$6:$C$45,2,FALSE)*V1423</f>
        <v>0</v>
      </c>
      <c r="X1423" s="141"/>
      <c r="Y1423" s="121" t="s">
        <v>293</v>
      </c>
      <c r="Z1423" s="146">
        <f>VLOOKUP(Takeoffs!Y1423,Sheet1!$B$6:$C$124,2,FALSE)</f>
        <v>0</v>
      </c>
      <c r="AA1423" s="146">
        <f t="shared" si="653"/>
        <v>0</v>
      </c>
      <c r="AB1423" s="143">
        <f t="shared" si="654"/>
        <v>1</v>
      </c>
      <c r="AC1423" s="133">
        <f t="shared" si="655"/>
        <v>1</v>
      </c>
      <c r="AD1423" s="142">
        <v>1</v>
      </c>
      <c r="AE1423" s="141"/>
      <c r="AF1423" s="121" t="s">
        <v>293</v>
      </c>
      <c r="AG1423" s="146">
        <f>VLOOKUP(Takeoffs!AF1423,Sheet1!$B$6:$C$124,2,FALSE)</f>
        <v>0</v>
      </c>
      <c r="AH1423" s="146">
        <f t="shared" si="656"/>
        <v>0</v>
      </c>
      <c r="AI1423" s="143">
        <f t="shared" si="657"/>
        <v>0</v>
      </c>
      <c r="AJ1423" s="133">
        <f t="shared" si="658"/>
        <v>1</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1</v>
      </c>
      <c r="T1424" s="120"/>
      <c r="U1424" s="121" t="s">
        <v>293</v>
      </c>
      <c r="V1424" s="133">
        <f t="shared" si="652"/>
        <v>1</v>
      </c>
      <c r="W1424" s="133">
        <f>VLOOKUP(U1424,Sheet1!$B$6:$C$45,2,FALSE)*V1424</f>
        <v>0</v>
      </c>
      <c r="X1424" s="141"/>
      <c r="Y1424" s="121" t="s">
        <v>293</v>
      </c>
      <c r="Z1424" s="146">
        <f>VLOOKUP(Takeoffs!Y1424,Sheet1!$B$6:$C$124,2,FALSE)</f>
        <v>0</v>
      </c>
      <c r="AA1424" s="146">
        <f t="shared" si="653"/>
        <v>0</v>
      </c>
      <c r="AB1424" s="143">
        <f t="shared" si="654"/>
        <v>1</v>
      </c>
      <c r="AC1424" s="133">
        <f t="shared" si="655"/>
        <v>1</v>
      </c>
      <c r="AD1424" s="142">
        <v>1</v>
      </c>
      <c r="AE1424" s="141"/>
      <c r="AF1424" s="121" t="s">
        <v>293</v>
      </c>
      <c r="AG1424" s="146">
        <f>VLOOKUP(Takeoffs!AF1424,Sheet1!$B$6:$C$124,2,FALSE)</f>
        <v>0</v>
      </c>
      <c r="AH1424" s="146">
        <f t="shared" si="656"/>
        <v>0</v>
      </c>
      <c r="AI1424" s="143">
        <f t="shared" si="657"/>
        <v>0</v>
      </c>
      <c r="AJ1424" s="133">
        <f t="shared" si="658"/>
        <v>1</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1</v>
      </c>
      <c r="T1425" s="120"/>
      <c r="U1425" s="121" t="s">
        <v>293</v>
      </c>
      <c r="V1425" s="133">
        <f t="shared" si="652"/>
        <v>1</v>
      </c>
      <c r="W1425" s="133">
        <f>VLOOKUP(U1425,Sheet1!$B$6:$C$45,2,FALSE)*V1425</f>
        <v>0</v>
      </c>
      <c r="X1425" s="141"/>
      <c r="Y1425" s="121" t="s">
        <v>293</v>
      </c>
      <c r="Z1425" s="146">
        <f>VLOOKUP(Takeoffs!Y1425,Sheet1!$B$6:$C$124,2,FALSE)</f>
        <v>0</v>
      </c>
      <c r="AA1425" s="146">
        <f t="shared" si="653"/>
        <v>0</v>
      </c>
      <c r="AB1425" s="143">
        <f t="shared" si="654"/>
        <v>1</v>
      </c>
      <c r="AC1425" s="133">
        <f t="shared" si="655"/>
        <v>1</v>
      </c>
      <c r="AD1425" s="142">
        <v>1</v>
      </c>
      <c r="AE1425" s="141"/>
      <c r="AF1425" s="121" t="s">
        <v>293</v>
      </c>
      <c r="AG1425" s="146">
        <f>VLOOKUP(Takeoffs!AF1425,Sheet1!$B$6:$C$124,2,FALSE)</f>
        <v>0</v>
      </c>
      <c r="AH1425" s="146">
        <f t="shared" si="656"/>
        <v>0</v>
      </c>
      <c r="AI1425" s="143">
        <f t="shared" si="657"/>
        <v>0</v>
      </c>
      <c r="AJ1425" s="133">
        <f t="shared" si="658"/>
        <v>1</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1</v>
      </c>
      <c r="T1426" s="120"/>
      <c r="U1426" s="121" t="s">
        <v>293</v>
      </c>
      <c r="V1426" s="133">
        <f t="shared" si="652"/>
        <v>1</v>
      </c>
      <c r="W1426" s="133">
        <f>VLOOKUP(U1426,Sheet1!$B$6:$C$45,2,FALSE)*V1426</f>
        <v>0</v>
      </c>
      <c r="X1426" s="141"/>
      <c r="Y1426" s="121" t="s">
        <v>293</v>
      </c>
      <c r="Z1426" s="146">
        <f>VLOOKUP(Takeoffs!Y1426,Sheet1!$B$6:$C$124,2,FALSE)</f>
        <v>0</v>
      </c>
      <c r="AA1426" s="146">
        <f t="shared" si="653"/>
        <v>0</v>
      </c>
      <c r="AB1426" s="143">
        <f t="shared" si="654"/>
        <v>1</v>
      </c>
      <c r="AC1426" s="133">
        <f t="shared" si="655"/>
        <v>1</v>
      </c>
      <c r="AD1426" s="142">
        <v>1</v>
      </c>
      <c r="AE1426" s="141"/>
      <c r="AF1426" s="121" t="s">
        <v>293</v>
      </c>
      <c r="AG1426" s="146">
        <f>VLOOKUP(Takeoffs!AF1426,Sheet1!$B$6:$C$124,2,FALSE)</f>
        <v>0</v>
      </c>
      <c r="AH1426" s="146">
        <f t="shared" si="656"/>
        <v>0</v>
      </c>
      <c r="AI1426" s="143">
        <f t="shared" si="657"/>
        <v>0</v>
      </c>
      <c r="AJ1426" s="133">
        <f t="shared" si="658"/>
        <v>1</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1</v>
      </c>
      <c r="T1427" s="120"/>
      <c r="U1427" s="121" t="s">
        <v>293</v>
      </c>
      <c r="V1427" s="133">
        <f t="shared" si="652"/>
        <v>1</v>
      </c>
      <c r="W1427" s="133">
        <f>VLOOKUP(U1427,Sheet1!$B$6:$C$45,2,FALSE)*V1427</f>
        <v>0</v>
      </c>
      <c r="X1427" s="141"/>
      <c r="Y1427" s="121" t="s">
        <v>293</v>
      </c>
      <c r="Z1427" s="146">
        <f>VLOOKUP(Takeoffs!Y1427,Sheet1!$B$6:$C$124,2,FALSE)</f>
        <v>0</v>
      </c>
      <c r="AA1427" s="146">
        <f t="shared" si="653"/>
        <v>0</v>
      </c>
      <c r="AB1427" s="143">
        <f t="shared" si="654"/>
        <v>1</v>
      </c>
      <c r="AC1427" s="133">
        <f t="shared" si="655"/>
        <v>1</v>
      </c>
      <c r="AD1427" s="142">
        <v>1</v>
      </c>
      <c r="AE1427" s="141"/>
      <c r="AF1427" s="121" t="s">
        <v>293</v>
      </c>
      <c r="AG1427" s="146">
        <f>VLOOKUP(Takeoffs!AF1427,Sheet1!$B$6:$C$124,2,FALSE)</f>
        <v>0</v>
      </c>
      <c r="AH1427" s="146">
        <f t="shared" si="656"/>
        <v>0</v>
      </c>
      <c r="AI1427" s="143">
        <f t="shared" si="657"/>
        <v>0</v>
      </c>
      <c r="AJ1427" s="133">
        <f t="shared" si="658"/>
        <v>1</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1</v>
      </c>
      <c r="T1428" s="120"/>
      <c r="U1428" s="121" t="s">
        <v>293</v>
      </c>
      <c r="V1428" s="133">
        <f t="shared" si="652"/>
        <v>1</v>
      </c>
      <c r="W1428" s="133">
        <f>VLOOKUP(U1428,Sheet1!$B$6:$C$45,2,FALSE)*V1428</f>
        <v>0</v>
      </c>
      <c r="X1428" s="141"/>
      <c r="Y1428" s="121" t="s">
        <v>293</v>
      </c>
      <c r="Z1428" s="146">
        <f>VLOOKUP(Takeoffs!Y1428,Sheet1!$B$6:$C$124,2,FALSE)</f>
        <v>0</v>
      </c>
      <c r="AA1428" s="146">
        <f t="shared" si="653"/>
        <v>0</v>
      </c>
      <c r="AB1428" s="143">
        <f t="shared" si="654"/>
        <v>1</v>
      </c>
      <c r="AC1428" s="133">
        <f t="shared" si="655"/>
        <v>1</v>
      </c>
      <c r="AD1428" s="142">
        <v>1</v>
      </c>
      <c r="AE1428" s="141"/>
      <c r="AF1428" s="121" t="s">
        <v>293</v>
      </c>
      <c r="AG1428" s="146">
        <f>VLOOKUP(Takeoffs!AF1428,Sheet1!$B$6:$C$124,2,FALSE)</f>
        <v>0</v>
      </c>
      <c r="AH1428" s="146">
        <f t="shared" si="656"/>
        <v>0</v>
      </c>
      <c r="AI1428" s="143">
        <f t="shared" si="657"/>
        <v>0</v>
      </c>
      <c r="AJ1428" s="133">
        <f t="shared" si="658"/>
        <v>1</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1</v>
      </c>
      <c r="T1429" s="120"/>
      <c r="U1429" s="121" t="s">
        <v>293</v>
      </c>
      <c r="V1429" s="133">
        <f t="shared" si="652"/>
        <v>1</v>
      </c>
      <c r="W1429" s="133">
        <f>VLOOKUP(U1429,Sheet1!$B$6:$C$45,2,FALSE)*V1429</f>
        <v>0</v>
      </c>
      <c r="X1429" s="141"/>
      <c r="Y1429" s="121" t="s">
        <v>293</v>
      </c>
      <c r="Z1429" s="146">
        <f>VLOOKUP(Takeoffs!Y1429,Sheet1!$B$6:$C$124,2,FALSE)</f>
        <v>0</v>
      </c>
      <c r="AA1429" s="146">
        <f t="shared" si="653"/>
        <v>0</v>
      </c>
      <c r="AB1429" s="143">
        <f t="shared" si="654"/>
        <v>1</v>
      </c>
      <c r="AC1429" s="133">
        <f t="shared" si="655"/>
        <v>1</v>
      </c>
      <c r="AD1429" s="142">
        <v>1</v>
      </c>
      <c r="AE1429" s="141"/>
      <c r="AF1429" s="121" t="s">
        <v>293</v>
      </c>
      <c r="AG1429" s="146">
        <f>VLOOKUP(Takeoffs!AF1429,Sheet1!$B$6:$C$124,2,FALSE)</f>
        <v>0</v>
      </c>
      <c r="AH1429" s="146">
        <f t="shared" si="656"/>
        <v>0</v>
      </c>
      <c r="AI1429" s="143">
        <f t="shared" si="657"/>
        <v>0</v>
      </c>
      <c r="AJ1429" s="133">
        <f t="shared" si="658"/>
        <v>1</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1</v>
      </c>
      <c r="T1430" s="120"/>
      <c r="U1430" s="121" t="s">
        <v>293</v>
      </c>
      <c r="V1430" s="133">
        <f t="shared" si="652"/>
        <v>1</v>
      </c>
      <c r="W1430" s="133">
        <f>VLOOKUP(U1430,Sheet1!$B$6:$C$45,2,FALSE)*V1430</f>
        <v>0</v>
      </c>
      <c r="X1430" s="141"/>
      <c r="Y1430" s="121" t="s">
        <v>293</v>
      </c>
      <c r="Z1430" s="146">
        <f>VLOOKUP(Takeoffs!Y1430,Sheet1!$B$6:$C$124,2,FALSE)</f>
        <v>0</v>
      </c>
      <c r="AA1430" s="146">
        <f t="shared" si="653"/>
        <v>0</v>
      </c>
      <c r="AB1430" s="143">
        <f t="shared" si="654"/>
        <v>1</v>
      </c>
      <c r="AC1430" s="133">
        <f t="shared" si="655"/>
        <v>1</v>
      </c>
      <c r="AD1430" s="142">
        <v>1</v>
      </c>
      <c r="AE1430" s="141"/>
      <c r="AF1430" s="121" t="s">
        <v>293</v>
      </c>
      <c r="AG1430" s="146">
        <f>VLOOKUP(Takeoffs!AF1430,Sheet1!$B$6:$C$124,2,FALSE)</f>
        <v>0</v>
      </c>
      <c r="AH1430" s="146">
        <f t="shared" si="656"/>
        <v>0</v>
      </c>
      <c r="AI1430" s="143">
        <f t="shared" si="657"/>
        <v>0</v>
      </c>
      <c r="AJ1430" s="133">
        <f t="shared" si="658"/>
        <v>1</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1</v>
      </c>
      <c r="T1431" s="120"/>
      <c r="U1431" s="121" t="s">
        <v>293</v>
      </c>
      <c r="V1431" s="133">
        <f t="shared" si="652"/>
        <v>1</v>
      </c>
      <c r="W1431" s="133">
        <f>VLOOKUP(U1431,Sheet1!$B$6:$C$45,2,FALSE)*V1431</f>
        <v>0</v>
      </c>
      <c r="X1431" s="141"/>
      <c r="Y1431" s="121" t="s">
        <v>293</v>
      </c>
      <c r="Z1431" s="146">
        <f>VLOOKUP(Takeoffs!Y1431,Sheet1!$B$6:$C$124,2,FALSE)</f>
        <v>0</v>
      </c>
      <c r="AA1431" s="146">
        <f t="shared" si="653"/>
        <v>0</v>
      </c>
      <c r="AB1431" s="143">
        <f t="shared" si="654"/>
        <v>1</v>
      </c>
      <c r="AC1431" s="133">
        <f t="shared" si="655"/>
        <v>1</v>
      </c>
      <c r="AD1431" s="142">
        <v>1</v>
      </c>
      <c r="AE1431" s="141"/>
      <c r="AF1431" s="121" t="s">
        <v>293</v>
      </c>
      <c r="AG1431" s="146">
        <f>VLOOKUP(Takeoffs!AF1431,Sheet1!$B$6:$C$124,2,FALSE)</f>
        <v>0</v>
      </c>
      <c r="AH1431" s="146">
        <f t="shared" si="656"/>
        <v>0</v>
      </c>
      <c r="AI1431" s="143">
        <f t="shared" si="657"/>
        <v>0</v>
      </c>
      <c r="AJ1431" s="133">
        <f t="shared" si="658"/>
        <v>1</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1</v>
      </c>
      <c r="T1432" s="120"/>
      <c r="U1432" s="121" t="s">
        <v>293</v>
      </c>
      <c r="V1432" s="133">
        <f t="shared" si="652"/>
        <v>1</v>
      </c>
      <c r="W1432" s="133">
        <f>VLOOKUP(U1432,Sheet1!$B$6:$C$45,2,FALSE)*V1432</f>
        <v>0</v>
      </c>
      <c r="X1432" s="141"/>
      <c r="Y1432" s="121" t="s">
        <v>293</v>
      </c>
      <c r="Z1432" s="146">
        <f>VLOOKUP(Takeoffs!Y1432,Sheet1!$B$6:$C$124,2,FALSE)</f>
        <v>0</v>
      </c>
      <c r="AA1432" s="146">
        <f t="shared" si="653"/>
        <v>0</v>
      </c>
      <c r="AB1432" s="143">
        <f t="shared" si="654"/>
        <v>1</v>
      </c>
      <c r="AC1432" s="133">
        <f t="shared" si="655"/>
        <v>1</v>
      </c>
      <c r="AD1432" s="142">
        <v>1</v>
      </c>
      <c r="AE1432" s="141"/>
      <c r="AF1432" s="121" t="s">
        <v>293</v>
      </c>
      <c r="AG1432" s="146">
        <f>VLOOKUP(Takeoffs!AF1432,Sheet1!$B$6:$C$124,2,FALSE)</f>
        <v>0</v>
      </c>
      <c r="AH1432" s="146">
        <f t="shared" si="656"/>
        <v>0</v>
      </c>
      <c r="AI1432" s="143">
        <f t="shared" si="657"/>
        <v>0</v>
      </c>
      <c r="AJ1432" s="133">
        <f t="shared" si="658"/>
        <v>1</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1</v>
      </c>
      <c r="T1433" s="120"/>
      <c r="U1433" s="121" t="s">
        <v>293</v>
      </c>
      <c r="V1433" s="133">
        <f t="shared" si="652"/>
        <v>1</v>
      </c>
      <c r="W1433" s="133">
        <f>VLOOKUP(U1433,Sheet1!$B$6:$C$45,2,FALSE)*V1433</f>
        <v>0</v>
      </c>
      <c r="X1433" s="141"/>
      <c r="Y1433" s="121" t="s">
        <v>293</v>
      </c>
      <c r="Z1433" s="146">
        <f>VLOOKUP(Takeoffs!Y1433,Sheet1!$B$6:$C$124,2,FALSE)</f>
        <v>0</v>
      </c>
      <c r="AA1433" s="146">
        <f t="shared" si="653"/>
        <v>0</v>
      </c>
      <c r="AB1433" s="143">
        <f t="shared" si="654"/>
        <v>1</v>
      </c>
      <c r="AC1433" s="133">
        <f t="shared" si="655"/>
        <v>1</v>
      </c>
      <c r="AD1433" s="142">
        <v>1</v>
      </c>
      <c r="AE1433" s="141"/>
      <c r="AF1433" s="121" t="s">
        <v>293</v>
      </c>
      <c r="AG1433" s="146">
        <f>VLOOKUP(Takeoffs!AF1433,Sheet1!$B$6:$C$124,2,FALSE)</f>
        <v>0</v>
      </c>
      <c r="AH1433" s="146">
        <f t="shared" si="656"/>
        <v>0</v>
      </c>
      <c r="AI1433" s="143">
        <f t="shared" si="657"/>
        <v>0</v>
      </c>
      <c r="AJ1433" s="133">
        <f t="shared" si="658"/>
        <v>1</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1</v>
      </c>
      <c r="T1434" s="120"/>
      <c r="U1434" s="121" t="s">
        <v>293</v>
      </c>
      <c r="V1434" s="133">
        <f t="shared" si="652"/>
        <v>1</v>
      </c>
      <c r="W1434" s="133">
        <f>VLOOKUP(U1434,Sheet1!$B$6:$C$45,2,FALSE)*V1434</f>
        <v>0</v>
      </c>
      <c r="X1434" s="141"/>
      <c r="Y1434" s="121" t="s">
        <v>293</v>
      </c>
      <c r="Z1434" s="146">
        <f>VLOOKUP(Takeoffs!Y1434,Sheet1!$B$6:$C$124,2,FALSE)</f>
        <v>0</v>
      </c>
      <c r="AA1434" s="146">
        <f t="shared" si="653"/>
        <v>0</v>
      </c>
      <c r="AB1434" s="143">
        <f t="shared" si="654"/>
        <v>1</v>
      </c>
      <c r="AC1434" s="133">
        <f t="shared" si="655"/>
        <v>1</v>
      </c>
      <c r="AD1434" s="142">
        <v>1</v>
      </c>
      <c r="AE1434" s="141"/>
      <c r="AF1434" s="121" t="s">
        <v>293</v>
      </c>
      <c r="AG1434" s="146">
        <f>VLOOKUP(Takeoffs!AF1434,Sheet1!$B$6:$C$124,2,FALSE)</f>
        <v>0</v>
      </c>
      <c r="AH1434" s="146">
        <f t="shared" si="656"/>
        <v>0</v>
      </c>
      <c r="AI1434" s="143">
        <f t="shared" si="657"/>
        <v>0</v>
      </c>
      <c r="AJ1434" s="133">
        <f t="shared" si="658"/>
        <v>1</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379</v>
      </c>
      <c r="L1435" s="128" t="s">
        <v>380</v>
      </c>
      <c r="N1435" s="129"/>
      <c r="O1435" s="130" t="s">
        <v>359</v>
      </c>
      <c r="P1435" s="131">
        <f>V1435+AA1435+AH1435</f>
        <v>544.86</v>
      </c>
      <c r="Q1435" s="131"/>
      <c r="R1435" s="131"/>
      <c r="S1435" s="130"/>
      <c r="T1435" s="127"/>
      <c r="U1435" s="126" t="s">
        <v>353</v>
      </c>
      <c r="V1435" s="127">
        <f>W1435*80</f>
        <v>480</v>
      </c>
      <c r="W1435" s="147">
        <f>SUM(W1414:W1434)</f>
        <v>6</v>
      </c>
      <c r="X1435" s="148"/>
      <c r="Y1435" s="127" t="s">
        <v>354</v>
      </c>
      <c r="Z1435" s="116"/>
      <c r="AA1435" s="116">
        <f>SUM(AA1414:AA1434)</f>
        <v>33.9</v>
      </c>
      <c r="AB1435" s="149"/>
      <c r="AC1435" s="149"/>
      <c r="AD1435" s="149"/>
      <c r="AE1435" s="149"/>
      <c r="AF1435" s="127" t="s">
        <v>358</v>
      </c>
      <c r="AG1435" s="116"/>
      <c r="AH1435" s="116">
        <f>SUM(AH1414:AH1434)</f>
        <v>30.959999999999997</v>
      </c>
      <c r="AI1435" s="149"/>
      <c r="AJ1435" s="149"/>
      <c r="AK1435" s="149"/>
      <c r="AL1435" s="149"/>
      <c r="AM1435" s="150">
        <f>P1435</f>
        <v>544.86</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494</v>
      </c>
      <c r="C1436" s="217" t="str">
        <f>N1414</f>
        <v>split AC systems (local power supply)</v>
      </c>
      <c r="D1436" s="260" t="str">
        <f>IF(B1436="Shopping List",IF(ISNUMBER(SEARCH("MSSB",C1436)),"MSSB",IF(ISNUMBER(SEARCH("local",C1436)),"LOCAL","")))</f>
        <v>LOCAL</v>
      </c>
      <c r="E1436" s="238">
        <v>4</v>
      </c>
      <c r="F1436" s="217"/>
      <c r="G1436" s="217">
        <v>6</v>
      </c>
      <c r="H1436" s="245">
        <v>10</v>
      </c>
      <c r="I1436" s="270">
        <v>1</v>
      </c>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one (1)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544.86</v>
      </c>
      <c r="L1436" s="234" t="str">
        <f>CONCATENATE(Q1415,Q1416,Q1417,Q1418,Q1419,Q1420,Q1421,Q1422,Q1423,Q1424,Q1425,Q1426,Q1427,Q1428,Q1429,Q1430,Q1431,Q1432,Q1433,Q1434,)</f>
        <v xml:space="preserve">proprietary air-conditioning controllers. </v>
      </c>
      <c r="M1436" s="166" t="s">
        <v>369</v>
      </c>
      <c r="N1436" s="160" t="str">
        <f>N1414</f>
        <v>split AC systems (local power supply)</v>
      </c>
      <c r="O1436" s="160" t="s">
        <v>367</v>
      </c>
      <c r="P1436" s="64">
        <f>P1435/M1414</f>
        <v>544.86</v>
      </c>
      <c r="Q1436" s="161"/>
      <c r="R1436" s="161"/>
      <c r="S1436" s="160"/>
      <c r="T1436" s="161"/>
      <c r="U1436" s="327" t="s">
        <v>368</v>
      </c>
      <c r="V1436" s="327"/>
      <c r="W1436" s="162">
        <f>W1435/M1414</f>
        <v>6</v>
      </c>
      <c r="X1436" s="163"/>
      <c r="Y1436" s="325" t="s">
        <v>367</v>
      </c>
      <c r="Z1436" s="325"/>
      <c r="AA1436" s="164">
        <f>AA1435/M1414</f>
        <v>33.9</v>
      </c>
      <c r="AB1436" s="161"/>
      <c r="AC1436" s="161"/>
      <c r="AD1436" s="161"/>
      <c r="AE1436" s="161"/>
      <c r="AF1436" s="325" t="s">
        <v>367</v>
      </c>
      <c r="AG1436" s="325"/>
      <c r="AH1436" s="164">
        <f>AH1435/M1414</f>
        <v>30.959999999999997</v>
      </c>
      <c r="AI1436" s="161"/>
      <c r="AJ1436" s="161"/>
      <c r="AK1436" s="161"/>
      <c r="AL1436" s="247"/>
      <c r="AM1436" s="257"/>
      <c r="AN1436" s="236">
        <f>K1436*1.25</f>
        <v>681.07500000000005</v>
      </c>
      <c r="AO1436" s="286"/>
      <c r="AP1436" s="284">
        <f t="shared" si="661"/>
        <v>544.86</v>
      </c>
      <c r="AQ1436" s="281">
        <f t="shared" si="662"/>
        <v>480</v>
      </c>
      <c r="AR1436" s="284">
        <f t="shared" si="663"/>
        <v>33.9</v>
      </c>
      <c r="AS1436" s="281">
        <f t="shared" si="664"/>
        <v>30.959999999999997</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454</v>
      </c>
      <c r="M1437" s="2" t="s">
        <v>299</v>
      </c>
      <c r="N1437" s="2" t="s">
        <v>108</v>
      </c>
      <c r="O1437" s="97" t="s">
        <v>388</v>
      </c>
      <c r="P1437" s="326" t="s">
        <v>377</v>
      </c>
      <c r="Q1437" s="326"/>
      <c r="R1437" s="101" t="s">
        <v>454</v>
      </c>
      <c r="S1437" s="2" t="s">
        <v>0</v>
      </c>
      <c r="T1437" s="9"/>
      <c r="U1437" s="2" t="s">
        <v>288</v>
      </c>
      <c r="V1437" s="2" t="s">
        <v>289</v>
      </c>
      <c r="W1437" s="2" t="s">
        <v>292</v>
      </c>
      <c r="X1437" s="58"/>
      <c r="Y1437" s="2" t="s">
        <v>290</v>
      </c>
      <c r="Z1437" s="2" t="s">
        <v>356</v>
      </c>
      <c r="AA1437" s="2" t="s">
        <v>357</v>
      </c>
      <c r="AB1437" s="2" t="s">
        <v>319</v>
      </c>
      <c r="AC1437" s="2" t="s">
        <v>320</v>
      </c>
      <c r="AD1437" s="2" t="s">
        <v>318</v>
      </c>
      <c r="AE1437" s="58"/>
      <c r="AF1437" s="2" t="s">
        <v>294</v>
      </c>
      <c r="AG1437" s="2" t="s">
        <v>356</v>
      </c>
      <c r="AH1437" s="2" t="s">
        <v>357</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one</v>
      </c>
      <c r="M1438" s="121">
        <f>I1460</f>
        <v>1</v>
      </c>
      <c r="N1438" s="27" t="s">
        <v>429</v>
      </c>
      <c r="O1438" s="12" t="s">
        <v>138</v>
      </c>
      <c r="P1438" s="96" t="s">
        <v>381</v>
      </c>
      <c r="Q1438" s="96" t="s">
        <v>377</v>
      </c>
      <c r="R1438" s="96"/>
      <c r="S1438" s="28">
        <f>M1438</f>
        <v>1</v>
      </c>
      <c r="T1438" s="10"/>
      <c r="U1438" s="12" t="s">
        <v>293</v>
      </c>
      <c r="V1438" s="28">
        <f>S1438</f>
        <v>1</v>
      </c>
      <c r="W1438" s="28">
        <f>VLOOKUP(U1438,Sheet1!$B$6:$C$45,2,FALSE)*V1438</f>
        <v>0</v>
      </c>
      <c r="X1438" s="59"/>
      <c r="Y1438" s="12" t="s">
        <v>293</v>
      </c>
      <c r="Z1438" s="68">
        <f>VLOOKUP(Takeoffs!Y1438,Sheet1!$B$6:$C$124,2,FALSE)</f>
        <v>0</v>
      </c>
      <c r="AA1438" s="68">
        <f>Z1438*AB1438</f>
        <v>0</v>
      </c>
      <c r="AB1438" s="63">
        <f>AD1438*AC1438</f>
        <v>1</v>
      </c>
      <c r="AC1438" s="28">
        <f>S1438</f>
        <v>1</v>
      </c>
      <c r="AD1438" s="61">
        <v>1</v>
      </c>
      <c r="AE1438" s="59"/>
      <c r="AF1438" s="12" t="s">
        <v>293</v>
      </c>
      <c r="AG1438" s="68">
        <f>VLOOKUP(Takeoffs!AF1438,Sheet1!$B$6:$C$124,2,FALSE)</f>
        <v>0</v>
      </c>
      <c r="AH1438" s="68">
        <f>AG1438*AI1438</f>
        <v>0</v>
      </c>
      <c r="AI1438" s="63">
        <f>AK1438*AJ1438</f>
        <v>0</v>
      </c>
      <c r="AJ1438" s="28">
        <f>S1438</f>
        <v>1</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428</v>
      </c>
      <c r="P1439" s="12"/>
      <c r="Q1439" s="12"/>
      <c r="R1439" s="12"/>
      <c r="S1439" s="28">
        <f>M1438</f>
        <v>1</v>
      </c>
      <c r="T1439" s="11"/>
      <c r="U1439" s="12" t="s">
        <v>293</v>
      </c>
      <c r="V1439" s="28">
        <f t="shared" ref="V1439:V1458" si="666">S1439</f>
        <v>1</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1</v>
      </c>
      <c r="AC1439" s="28">
        <f>S1439</f>
        <v>1</v>
      </c>
      <c r="AD1439" s="61">
        <v>1</v>
      </c>
      <c r="AE1439" s="59"/>
      <c r="AF1439" s="13" t="s">
        <v>269</v>
      </c>
      <c r="AG1439" s="68">
        <f>VLOOKUP(Takeoffs!AF1439,Sheet1!$B$6:$C$124,2,FALSE)</f>
        <v>1.056</v>
      </c>
      <c r="AH1439" s="68">
        <f t="shared" ref="AH1439:AH1458" si="669">AG1439*AI1439</f>
        <v>10.56</v>
      </c>
      <c r="AI1439" s="63">
        <f t="shared" ref="AI1439:AI1458" si="670">AK1439*AJ1439</f>
        <v>10</v>
      </c>
      <c r="AJ1439" s="28">
        <f t="shared" ref="AJ1439:AJ1458" si="671">S1439</f>
        <v>1</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394</v>
      </c>
      <c r="P1440" s="12"/>
      <c r="Q1440" s="12"/>
      <c r="R1440" s="12"/>
      <c r="S1440" s="28">
        <f>M1438</f>
        <v>1</v>
      </c>
      <c r="T1440" s="11"/>
      <c r="U1440" s="12" t="s">
        <v>287</v>
      </c>
      <c r="V1440" s="28">
        <f t="shared" si="666"/>
        <v>1</v>
      </c>
      <c r="W1440" s="28">
        <f>VLOOKUP(U1440,Sheet1!$B$6:$C$45,2,FALSE)*V1440</f>
        <v>4</v>
      </c>
      <c r="X1440" s="59"/>
      <c r="Y1440" s="12" t="s">
        <v>293</v>
      </c>
      <c r="Z1440" s="68">
        <f>VLOOKUP(Takeoffs!Y1440,Sheet1!$B$6:$C$124,2,FALSE)</f>
        <v>0</v>
      </c>
      <c r="AA1440" s="68">
        <f t="shared" si="667"/>
        <v>0</v>
      </c>
      <c r="AB1440" s="63">
        <f t="shared" si="668"/>
        <v>1</v>
      </c>
      <c r="AC1440" s="28">
        <f>S1440</f>
        <v>1</v>
      </c>
      <c r="AD1440" s="61">
        <v>1</v>
      </c>
      <c r="AE1440" s="59"/>
      <c r="AF1440" s="13" t="s">
        <v>268</v>
      </c>
      <c r="AG1440" s="68">
        <f>VLOOKUP(Takeoffs!AF1440,Sheet1!$B$6:$C$124,2,FALSE)</f>
        <v>1.02</v>
      </c>
      <c r="AH1440" s="68">
        <f t="shared" si="669"/>
        <v>10.199999999999999</v>
      </c>
      <c r="AI1440" s="63">
        <f t="shared" si="670"/>
        <v>10</v>
      </c>
      <c r="AJ1440" s="28">
        <f t="shared" si="671"/>
        <v>1</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415</v>
      </c>
      <c r="P1441" s="12"/>
      <c r="Q1441" s="12"/>
      <c r="R1441" s="12"/>
      <c r="S1441" s="28">
        <f>M1438</f>
        <v>1</v>
      </c>
      <c r="T1441" s="11"/>
      <c r="U1441" s="12" t="s">
        <v>293</v>
      </c>
      <c r="V1441" s="28">
        <f t="shared" si="666"/>
        <v>1</v>
      </c>
      <c r="W1441" s="28">
        <f>VLOOKUP(U1441,Sheet1!$B$6:$C$45,2,FALSE)*V1441</f>
        <v>0</v>
      </c>
      <c r="X1441" s="59"/>
      <c r="Y1441" s="13" t="s">
        <v>247</v>
      </c>
      <c r="Z1441" s="68">
        <f>VLOOKUP(Takeoffs!Y1441,Sheet1!$B$6:$C$124,2,FALSE)</f>
        <v>23.76</v>
      </c>
      <c r="AA1441" s="68">
        <f t="shared" si="667"/>
        <v>23.76</v>
      </c>
      <c r="AB1441" s="63">
        <f t="shared" si="668"/>
        <v>1</v>
      </c>
      <c r="AC1441" s="28">
        <f t="shared" ref="AC1441:AC1458" si="673">S1441</f>
        <v>1</v>
      </c>
      <c r="AD1441" s="61">
        <v>1</v>
      </c>
      <c r="AE1441" s="59"/>
      <c r="AF1441" s="12" t="s">
        <v>293</v>
      </c>
      <c r="AG1441" s="68">
        <f>VLOOKUP(Takeoffs!AF1441,Sheet1!$B$6:$C$124,2,FALSE)</f>
        <v>0</v>
      </c>
      <c r="AH1441" s="68">
        <f t="shared" si="669"/>
        <v>0</v>
      </c>
      <c r="AI1441" s="63">
        <f t="shared" si="670"/>
        <v>0</v>
      </c>
      <c r="AJ1441" s="28">
        <f t="shared" si="671"/>
        <v>1</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416</v>
      </c>
      <c r="P1442" s="12" t="s">
        <v>449</v>
      </c>
      <c r="Q1442" s="12" t="s">
        <v>451</v>
      </c>
      <c r="R1442" s="12"/>
      <c r="S1442" s="28">
        <f>M1438</f>
        <v>1</v>
      </c>
      <c r="T1442" s="11"/>
      <c r="U1442" s="12" t="s">
        <v>293</v>
      </c>
      <c r="V1442" s="28">
        <f t="shared" si="666"/>
        <v>1</v>
      </c>
      <c r="W1442" s="28">
        <f>VLOOKUP(U1442,Sheet1!$B$6:$C$45,2,FALSE)*V1442</f>
        <v>0</v>
      </c>
      <c r="X1442" s="59"/>
      <c r="Y1442" s="12" t="s">
        <v>293</v>
      </c>
      <c r="Z1442" s="68">
        <f>VLOOKUP(Takeoffs!Y1442,Sheet1!$B$6:$C$124,2,FALSE)</f>
        <v>0</v>
      </c>
      <c r="AA1442" s="68">
        <f t="shared" si="667"/>
        <v>0</v>
      </c>
      <c r="AB1442" s="63">
        <f t="shared" si="668"/>
        <v>1</v>
      </c>
      <c r="AC1442" s="28">
        <f t="shared" si="673"/>
        <v>1</v>
      </c>
      <c r="AD1442" s="61">
        <v>1</v>
      </c>
      <c r="AE1442" s="59"/>
      <c r="AF1442" s="12" t="s">
        <v>293</v>
      </c>
      <c r="AG1442" s="68">
        <f>VLOOKUP(Takeoffs!AF1442,Sheet1!$B$6:$C$124,2,FALSE)</f>
        <v>0</v>
      </c>
      <c r="AH1442" s="68">
        <f t="shared" si="669"/>
        <v>0</v>
      </c>
      <c r="AI1442" s="63">
        <f t="shared" si="670"/>
        <v>0</v>
      </c>
      <c r="AJ1442" s="28">
        <f t="shared" si="671"/>
        <v>1</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510</v>
      </c>
      <c r="P1443" s="12" t="s">
        <v>450</v>
      </c>
      <c r="Q1443" s="12" t="s">
        <v>417</v>
      </c>
      <c r="R1443" s="12"/>
      <c r="S1443" s="28">
        <f>M1438</f>
        <v>1</v>
      </c>
      <c r="T1443" s="11"/>
      <c r="U1443" s="12" t="s">
        <v>293</v>
      </c>
      <c r="V1443" s="28">
        <f t="shared" si="666"/>
        <v>1</v>
      </c>
      <c r="W1443" s="28">
        <f>VLOOKUP(U1443,Sheet1!$B$6:$C$45,2,FALSE)*V1443</f>
        <v>0</v>
      </c>
      <c r="X1443" s="59"/>
      <c r="Y1443" s="12" t="s">
        <v>293</v>
      </c>
      <c r="Z1443" s="68">
        <f>VLOOKUP(Takeoffs!Y1443,Sheet1!$B$6:$C$124,2,FALSE)</f>
        <v>0</v>
      </c>
      <c r="AA1443" s="68">
        <f t="shared" si="667"/>
        <v>0</v>
      </c>
      <c r="AB1443" s="63">
        <f t="shared" si="668"/>
        <v>1</v>
      </c>
      <c r="AC1443" s="28">
        <f t="shared" si="673"/>
        <v>1</v>
      </c>
      <c r="AD1443" s="61">
        <v>1</v>
      </c>
      <c r="AE1443" s="59"/>
      <c r="AF1443" s="13" t="s">
        <v>268</v>
      </c>
      <c r="AG1443" s="68">
        <f>VLOOKUP(Takeoffs!AF1443,Sheet1!$B$6:$C$124,2,FALSE)</f>
        <v>1.02</v>
      </c>
      <c r="AH1443" s="68">
        <f t="shared" si="669"/>
        <v>10.199999999999999</v>
      </c>
      <c r="AI1443" s="63">
        <f t="shared" si="670"/>
        <v>10</v>
      </c>
      <c r="AJ1443" s="28">
        <f t="shared" si="671"/>
        <v>1</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1</v>
      </c>
      <c r="T1444" s="11"/>
      <c r="U1444" s="12" t="s">
        <v>293</v>
      </c>
      <c r="V1444" s="28">
        <f t="shared" si="666"/>
        <v>1</v>
      </c>
      <c r="W1444" s="28">
        <f>VLOOKUP(U1444,Sheet1!$B$6:$C$45,2,FALSE)*V1444</f>
        <v>0</v>
      </c>
      <c r="X1444" s="59"/>
      <c r="Y1444" s="12" t="s">
        <v>293</v>
      </c>
      <c r="Z1444" s="68">
        <f>VLOOKUP(Takeoffs!Y1444,Sheet1!$B$6:$C$124,2,FALSE)</f>
        <v>0</v>
      </c>
      <c r="AA1444" s="68">
        <f t="shared" si="667"/>
        <v>0</v>
      </c>
      <c r="AB1444" s="63">
        <f t="shared" si="668"/>
        <v>1</v>
      </c>
      <c r="AC1444" s="28">
        <f t="shared" si="673"/>
        <v>1</v>
      </c>
      <c r="AD1444" s="61">
        <v>1</v>
      </c>
      <c r="AE1444" s="59"/>
      <c r="AF1444" s="12" t="s">
        <v>293</v>
      </c>
      <c r="AG1444" s="68">
        <f>VLOOKUP(Takeoffs!AF1444,Sheet1!$B$6:$C$124,2,FALSE)</f>
        <v>0</v>
      </c>
      <c r="AH1444" s="68">
        <f t="shared" si="669"/>
        <v>0</v>
      </c>
      <c r="AI1444" s="63">
        <f t="shared" si="670"/>
        <v>0</v>
      </c>
      <c r="AJ1444" s="28">
        <f t="shared" si="671"/>
        <v>1</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1</v>
      </c>
      <c r="T1445" s="11"/>
      <c r="U1445" s="12" t="s">
        <v>293</v>
      </c>
      <c r="V1445" s="28">
        <f t="shared" si="666"/>
        <v>1</v>
      </c>
      <c r="W1445" s="28">
        <f>VLOOKUP(U1445,Sheet1!$B$6:$C$45,2,FALSE)*V1445</f>
        <v>0</v>
      </c>
      <c r="X1445" s="59"/>
      <c r="Y1445" s="12" t="s">
        <v>293</v>
      </c>
      <c r="Z1445" s="68">
        <f>VLOOKUP(Takeoffs!Y1445,Sheet1!$B$6:$C$124,2,FALSE)</f>
        <v>0</v>
      </c>
      <c r="AA1445" s="68">
        <f t="shared" si="667"/>
        <v>0</v>
      </c>
      <c r="AB1445" s="63">
        <f t="shared" si="668"/>
        <v>1</v>
      </c>
      <c r="AC1445" s="28">
        <f t="shared" si="673"/>
        <v>1</v>
      </c>
      <c r="AD1445" s="61">
        <v>1</v>
      </c>
      <c r="AE1445" s="59"/>
      <c r="AF1445" s="12" t="s">
        <v>293</v>
      </c>
      <c r="AG1445" s="68">
        <f>VLOOKUP(Takeoffs!AF1445,Sheet1!$B$6:$C$124,2,FALSE)</f>
        <v>0</v>
      </c>
      <c r="AH1445" s="68">
        <f t="shared" si="669"/>
        <v>0</v>
      </c>
      <c r="AI1445" s="63">
        <f t="shared" si="670"/>
        <v>0</v>
      </c>
      <c r="AJ1445" s="28">
        <f t="shared" si="671"/>
        <v>1</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1</v>
      </c>
      <c r="T1446" s="11"/>
      <c r="U1446" s="12" t="s">
        <v>293</v>
      </c>
      <c r="V1446" s="28">
        <f t="shared" si="666"/>
        <v>1</v>
      </c>
      <c r="W1446" s="28">
        <f>VLOOKUP(U1446,Sheet1!$B$6:$C$45,2,FALSE)*V1446</f>
        <v>0</v>
      </c>
      <c r="X1446" s="59"/>
      <c r="Y1446" s="12" t="s">
        <v>293</v>
      </c>
      <c r="Z1446" s="68">
        <f>VLOOKUP(Takeoffs!Y1446,Sheet1!$B$6:$C$124,2,FALSE)</f>
        <v>0</v>
      </c>
      <c r="AA1446" s="68">
        <f t="shared" si="667"/>
        <v>0</v>
      </c>
      <c r="AB1446" s="63">
        <f t="shared" si="668"/>
        <v>1</v>
      </c>
      <c r="AC1446" s="28">
        <f t="shared" si="673"/>
        <v>1</v>
      </c>
      <c r="AD1446" s="61">
        <v>1</v>
      </c>
      <c r="AE1446" s="59"/>
      <c r="AF1446" s="12" t="s">
        <v>293</v>
      </c>
      <c r="AG1446" s="68">
        <f>VLOOKUP(Takeoffs!AF1446,Sheet1!$B$6:$C$124,2,FALSE)</f>
        <v>0</v>
      </c>
      <c r="AH1446" s="68">
        <f t="shared" si="669"/>
        <v>0</v>
      </c>
      <c r="AI1446" s="63">
        <f t="shared" si="670"/>
        <v>0</v>
      </c>
      <c r="AJ1446" s="28">
        <f t="shared" si="671"/>
        <v>1</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1</v>
      </c>
      <c r="T1447" s="11"/>
      <c r="U1447" s="12" t="s">
        <v>293</v>
      </c>
      <c r="V1447" s="28">
        <f t="shared" si="666"/>
        <v>1</v>
      </c>
      <c r="W1447" s="28">
        <f>VLOOKUP(U1447,Sheet1!$B$6:$C$45,2,FALSE)*V1447</f>
        <v>0</v>
      </c>
      <c r="X1447" s="59"/>
      <c r="Y1447" s="12" t="s">
        <v>293</v>
      </c>
      <c r="Z1447" s="68">
        <f>VLOOKUP(Takeoffs!Y1447,Sheet1!$B$6:$C$124,2,FALSE)</f>
        <v>0</v>
      </c>
      <c r="AA1447" s="68">
        <f t="shared" si="667"/>
        <v>0</v>
      </c>
      <c r="AB1447" s="63">
        <f t="shared" si="668"/>
        <v>1</v>
      </c>
      <c r="AC1447" s="28">
        <f t="shared" si="673"/>
        <v>1</v>
      </c>
      <c r="AD1447" s="61">
        <v>1</v>
      </c>
      <c r="AE1447" s="59"/>
      <c r="AF1447" s="12" t="s">
        <v>293</v>
      </c>
      <c r="AG1447" s="68">
        <f>VLOOKUP(Takeoffs!AF1447,Sheet1!$B$6:$C$124,2,FALSE)</f>
        <v>0</v>
      </c>
      <c r="AH1447" s="68">
        <f t="shared" si="669"/>
        <v>0</v>
      </c>
      <c r="AI1447" s="63">
        <f t="shared" si="670"/>
        <v>0</v>
      </c>
      <c r="AJ1447" s="28">
        <f t="shared" si="671"/>
        <v>1</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1</v>
      </c>
      <c r="T1448" s="11"/>
      <c r="U1448" s="12" t="s">
        <v>293</v>
      </c>
      <c r="V1448" s="28">
        <f t="shared" si="666"/>
        <v>1</v>
      </c>
      <c r="W1448" s="28">
        <f>VLOOKUP(U1448,Sheet1!$B$6:$C$45,2,FALSE)*V1448</f>
        <v>0</v>
      </c>
      <c r="X1448" s="59"/>
      <c r="Y1448" s="12" t="s">
        <v>293</v>
      </c>
      <c r="Z1448" s="68">
        <f>VLOOKUP(Takeoffs!Y1448,Sheet1!$B$6:$C$124,2,FALSE)</f>
        <v>0</v>
      </c>
      <c r="AA1448" s="68">
        <f t="shared" si="667"/>
        <v>0</v>
      </c>
      <c r="AB1448" s="63">
        <f t="shared" si="668"/>
        <v>1</v>
      </c>
      <c r="AC1448" s="28">
        <f t="shared" si="673"/>
        <v>1</v>
      </c>
      <c r="AD1448" s="61">
        <v>1</v>
      </c>
      <c r="AE1448" s="59"/>
      <c r="AF1448" s="12" t="s">
        <v>293</v>
      </c>
      <c r="AG1448" s="68">
        <f>VLOOKUP(Takeoffs!AF1448,Sheet1!$B$6:$C$124,2,FALSE)</f>
        <v>0</v>
      </c>
      <c r="AH1448" s="68">
        <f t="shared" si="669"/>
        <v>0</v>
      </c>
      <c r="AI1448" s="63">
        <f t="shared" si="670"/>
        <v>0</v>
      </c>
      <c r="AJ1448" s="28">
        <f t="shared" si="671"/>
        <v>1</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1</v>
      </c>
      <c r="T1449" s="11"/>
      <c r="U1449" s="12" t="s">
        <v>293</v>
      </c>
      <c r="V1449" s="28">
        <f t="shared" si="666"/>
        <v>1</v>
      </c>
      <c r="W1449" s="28">
        <f>VLOOKUP(U1449,Sheet1!$B$6:$C$45,2,FALSE)*V1449</f>
        <v>0</v>
      </c>
      <c r="X1449" s="59"/>
      <c r="Y1449" s="12" t="s">
        <v>293</v>
      </c>
      <c r="Z1449" s="68">
        <f>VLOOKUP(Takeoffs!Y1449,Sheet1!$B$6:$C$124,2,FALSE)</f>
        <v>0</v>
      </c>
      <c r="AA1449" s="68">
        <f t="shared" si="667"/>
        <v>0</v>
      </c>
      <c r="AB1449" s="63">
        <f t="shared" si="668"/>
        <v>1</v>
      </c>
      <c r="AC1449" s="28">
        <f t="shared" si="673"/>
        <v>1</v>
      </c>
      <c r="AD1449" s="61">
        <v>1</v>
      </c>
      <c r="AE1449" s="59"/>
      <c r="AF1449" s="12" t="s">
        <v>293</v>
      </c>
      <c r="AG1449" s="68">
        <f>VLOOKUP(Takeoffs!AF1449,Sheet1!$B$6:$C$124,2,FALSE)</f>
        <v>0</v>
      </c>
      <c r="AH1449" s="68">
        <f t="shared" si="669"/>
        <v>0</v>
      </c>
      <c r="AI1449" s="63">
        <f t="shared" si="670"/>
        <v>0</v>
      </c>
      <c r="AJ1449" s="28">
        <f t="shared" si="671"/>
        <v>1</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1</v>
      </c>
      <c r="T1450" s="11"/>
      <c r="U1450" s="12" t="s">
        <v>293</v>
      </c>
      <c r="V1450" s="28">
        <f t="shared" si="666"/>
        <v>1</v>
      </c>
      <c r="W1450" s="28">
        <f>VLOOKUP(U1450,Sheet1!$B$6:$C$45,2,FALSE)*V1450</f>
        <v>0</v>
      </c>
      <c r="X1450" s="59"/>
      <c r="Y1450" s="12" t="s">
        <v>293</v>
      </c>
      <c r="Z1450" s="68">
        <f>VLOOKUP(Takeoffs!Y1450,Sheet1!$B$6:$C$124,2,FALSE)</f>
        <v>0</v>
      </c>
      <c r="AA1450" s="68">
        <f t="shared" si="667"/>
        <v>0</v>
      </c>
      <c r="AB1450" s="63">
        <f t="shared" si="668"/>
        <v>1</v>
      </c>
      <c r="AC1450" s="28">
        <f t="shared" si="673"/>
        <v>1</v>
      </c>
      <c r="AD1450" s="61">
        <v>1</v>
      </c>
      <c r="AE1450" s="59"/>
      <c r="AF1450" s="12" t="s">
        <v>293</v>
      </c>
      <c r="AG1450" s="68">
        <f>VLOOKUP(Takeoffs!AF1450,Sheet1!$B$6:$C$124,2,FALSE)</f>
        <v>0</v>
      </c>
      <c r="AH1450" s="68">
        <f t="shared" si="669"/>
        <v>0</v>
      </c>
      <c r="AI1450" s="63">
        <f t="shared" si="670"/>
        <v>0</v>
      </c>
      <c r="AJ1450" s="28">
        <f t="shared" si="671"/>
        <v>1</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1</v>
      </c>
      <c r="T1451" s="11"/>
      <c r="U1451" s="12" t="s">
        <v>293</v>
      </c>
      <c r="V1451" s="28">
        <f t="shared" si="666"/>
        <v>1</v>
      </c>
      <c r="W1451" s="28">
        <f>VLOOKUP(U1451,Sheet1!$B$6:$C$45,2,FALSE)*V1451</f>
        <v>0</v>
      </c>
      <c r="X1451" s="59"/>
      <c r="Y1451" s="12" t="s">
        <v>293</v>
      </c>
      <c r="Z1451" s="68">
        <f>VLOOKUP(Takeoffs!Y1451,Sheet1!$B$6:$C$124,2,FALSE)</f>
        <v>0</v>
      </c>
      <c r="AA1451" s="68">
        <f t="shared" si="667"/>
        <v>0</v>
      </c>
      <c r="AB1451" s="63">
        <f t="shared" si="668"/>
        <v>1</v>
      </c>
      <c r="AC1451" s="28">
        <f t="shared" si="673"/>
        <v>1</v>
      </c>
      <c r="AD1451" s="61">
        <v>1</v>
      </c>
      <c r="AE1451" s="59"/>
      <c r="AF1451" s="12" t="s">
        <v>293</v>
      </c>
      <c r="AG1451" s="68">
        <f>VLOOKUP(Takeoffs!AF1451,Sheet1!$B$6:$C$124,2,FALSE)</f>
        <v>0</v>
      </c>
      <c r="AH1451" s="68">
        <f t="shared" si="669"/>
        <v>0</v>
      </c>
      <c r="AI1451" s="63">
        <f t="shared" si="670"/>
        <v>0</v>
      </c>
      <c r="AJ1451" s="28">
        <f t="shared" si="671"/>
        <v>1</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1</v>
      </c>
      <c r="T1452" s="11"/>
      <c r="U1452" s="12" t="s">
        <v>293</v>
      </c>
      <c r="V1452" s="28">
        <f t="shared" si="666"/>
        <v>1</v>
      </c>
      <c r="W1452" s="28">
        <f>VLOOKUP(U1452,Sheet1!$B$6:$C$45,2,FALSE)*V1452</f>
        <v>0</v>
      </c>
      <c r="X1452" s="59"/>
      <c r="Y1452" s="12" t="s">
        <v>293</v>
      </c>
      <c r="Z1452" s="68">
        <f>VLOOKUP(Takeoffs!Y1452,Sheet1!$B$6:$C$124,2,FALSE)</f>
        <v>0</v>
      </c>
      <c r="AA1452" s="68">
        <f t="shared" si="667"/>
        <v>0</v>
      </c>
      <c r="AB1452" s="63">
        <f t="shared" si="668"/>
        <v>1</v>
      </c>
      <c r="AC1452" s="28">
        <f t="shared" si="673"/>
        <v>1</v>
      </c>
      <c r="AD1452" s="61">
        <v>1</v>
      </c>
      <c r="AE1452" s="59"/>
      <c r="AF1452" s="12" t="s">
        <v>293</v>
      </c>
      <c r="AG1452" s="68">
        <f>VLOOKUP(Takeoffs!AF1452,Sheet1!$B$6:$C$124,2,FALSE)</f>
        <v>0</v>
      </c>
      <c r="AH1452" s="68">
        <f t="shared" si="669"/>
        <v>0</v>
      </c>
      <c r="AI1452" s="63">
        <f t="shared" si="670"/>
        <v>0</v>
      </c>
      <c r="AJ1452" s="28">
        <f t="shared" si="671"/>
        <v>1</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1</v>
      </c>
      <c r="T1453" s="11"/>
      <c r="U1453" s="12" t="s">
        <v>293</v>
      </c>
      <c r="V1453" s="28">
        <f t="shared" si="666"/>
        <v>1</v>
      </c>
      <c r="W1453" s="28">
        <f>VLOOKUP(U1453,Sheet1!$B$6:$C$45,2,FALSE)*V1453</f>
        <v>0</v>
      </c>
      <c r="X1453" s="59"/>
      <c r="Y1453" s="12" t="s">
        <v>293</v>
      </c>
      <c r="Z1453" s="68">
        <f>VLOOKUP(Takeoffs!Y1453,Sheet1!$B$6:$C$124,2,FALSE)</f>
        <v>0</v>
      </c>
      <c r="AA1453" s="68">
        <f t="shared" si="667"/>
        <v>0</v>
      </c>
      <c r="AB1453" s="63">
        <f t="shared" si="668"/>
        <v>1</v>
      </c>
      <c r="AC1453" s="28">
        <f t="shared" si="673"/>
        <v>1</v>
      </c>
      <c r="AD1453" s="61">
        <v>1</v>
      </c>
      <c r="AE1453" s="59"/>
      <c r="AF1453" s="12" t="s">
        <v>293</v>
      </c>
      <c r="AG1453" s="68">
        <f>VLOOKUP(Takeoffs!AF1453,Sheet1!$B$6:$C$124,2,FALSE)</f>
        <v>0</v>
      </c>
      <c r="AH1453" s="68">
        <f t="shared" si="669"/>
        <v>0</v>
      </c>
      <c r="AI1453" s="63">
        <f t="shared" si="670"/>
        <v>0</v>
      </c>
      <c r="AJ1453" s="28">
        <f t="shared" si="671"/>
        <v>1</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1</v>
      </c>
      <c r="T1454" s="11"/>
      <c r="U1454" s="12" t="s">
        <v>293</v>
      </c>
      <c r="V1454" s="28">
        <f t="shared" si="666"/>
        <v>1</v>
      </c>
      <c r="W1454" s="28">
        <f>VLOOKUP(U1454,Sheet1!$B$6:$C$45,2,FALSE)*V1454</f>
        <v>0</v>
      </c>
      <c r="X1454" s="59"/>
      <c r="Y1454" s="12" t="s">
        <v>293</v>
      </c>
      <c r="Z1454" s="68">
        <f>VLOOKUP(Takeoffs!Y1454,Sheet1!$B$6:$C$124,2,FALSE)</f>
        <v>0</v>
      </c>
      <c r="AA1454" s="68">
        <f t="shared" si="667"/>
        <v>0</v>
      </c>
      <c r="AB1454" s="63">
        <f t="shared" si="668"/>
        <v>1</v>
      </c>
      <c r="AC1454" s="28">
        <f t="shared" si="673"/>
        <v>1</v>
      </c>
      <c r="AD1454" s="61">
        <v>1</v>
      </c>
      <c r="AE1454" s="59"/>
      <c r="AF1454" s="12" t="s">
        <v>293</v>
      </c>
      <c r="AG1454" s="68">
        <f>VLOOKUP(Takeoffs!AF1454,Sheet1!$B$6:$C$124,2,FALSE)</f>
        <v>0</v>
      </c>
      <c r="AH1454" s="68">
        <f t="shared" si="669"/>
        <v>0</v>
      </c>
      <c r="AI1454" s="63">
        <f t="shared" si="670"/>
        <v>0</v>
      </c>
      <c r="AJ1454" s="28">
        <f t="shared" si="671"/>
        <v>1</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1</v>
      </c>
      <c r="T1455" s="11"/>
      <c r="U1455" s="12" t="s">
        <v>293</v>
      </c>
      <c r="V1455" s="28">
        <f t="shared" si="666"/>
        <v>1</v>
      </c>
      <c r="W1455" s="28">
        <f>VLOOKUP(U1455,Sheet1!$B$6:$C$45,2,FALSE)*V1455</f>
        <v>0</v>
      </c>
      <c r="X1455" s="59"/>
      <c r="Y1455" s="12" t="s">
        <v>293</v>
      </c>
      <c r="Z1455" s="68">
        <f>VLOOKUP(Takeoffs!Y1455,Sheet1!$B$6:$C$124,2,FALSE)</f>
        <v>0</v>
      </c>
      <c r="AA1455" s="68">
        <f t="shared" si="667"/>
        <v>0</v>
      </c>
      <c r="AB1455" s="63">
        <f t="shared" si="668"/>
        <v>1</v>
      </c>
      <c r="AC1455" s="28">
        <f t="shared" si="673"/>
        <v>1</v>
      </c>
      <c r="AD1455" s="61">
        <v>1</v>
      </c>
      <c r="AE1455" s="59"/>
      <c r="AF1455" s="12" t="s">
        <v>293</v>
      </c>
      <c r="AG1455" s="68">
        <f>VLOOKUP(Takeoffs!AF1455,Sheet1!$B$6:$C$124,2,FALSE)</f>
        <v>0</v>
      </c>
      <c r="AH1455" s="68">
        <f t="shared" si="669"/>
        <v>0</v>
      </c>
      <c r="AI1455" s="63">
        <f t="shared" si="670"/>
        <v>0</v>
      </c>
      <c r="AJ1455" s="28">
        <f t="shared" si="671"/>
        <v>1</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1</v>
      </c>
      <c r="T1456" s="11"/>
      <c r="U1456" s="12" t="s">
        <v>293</v>
      </c>
      <c r="V1456" s="28">
        <f t="shared" si="666"/>
        <v>1</v>
      </c>
      <c r="W1456" s="28">
        <f>VLOOKUP(U1456,Sheet1!$B$6:$C$45,2,FALSE)*V1456</f>
        <v>0</v>
      </c>
      <c r="X1456" s="59"/>
      <c r="Y1456" s="12" t="s">
        <v>293</v>
      </c>
      <c r="Z1456" s="68">
        <f>VLOOKUP(Takeoffs!Y1456,Sheet1!$B$6:$C$124,2,FALSE)</f>
        <v>0</v>
      </c>
      <c r="AA1456" s="68">
        <f t="shared" si="667"/>
        <v>0</v>
      </c>
      <c r="AB1456" s="63">
        <f t="shared" si="668"/>
        <v>1</v>
      </c>
      <c r="AC1456" s="28">
        <f t="shared" si="673"/>
        <v>1</v>
      </c>
      <c r="AD1456" s="61">
        <v>1</v>
      </c>
      <c r="AE1456" s="59"/>
      <c r="AF1456" s="12" t="s">
        <v>293</v>
      </c>
      <c r="AG1456" s="68">
        <f>VLOOKUP(Takeoffs!AF1456,Sheet1!$B$6:$C$124,2,FALSE)</f>
        <v>0</v>
      </c>
      <c r="AH1456" s="68">
        <f t="shared" si="669"/>
        <v>0</v>
      </c>
      <c r="AI1456" s="63">
        <f t="shared" si="670"/>
        <v>0</v>
      </c>
      <c r="AJ1456" s="28">
        <f t="shared" si="671"/>
        <v>1</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1</v>
      </c>
      <c r="T1457" s="11"/>
      <c r="U1457" s="12" t="s">
        <v>293</v>
      </c>
      <c r="V1457" s="28">
        <f t="shared" si="666"/>
        <v>1</v>
      </c>
      <c r="W1457" s="28">
        <f>VLOOKUP(U1457,Sheet1!$B$6:$C$45,2,FALSE)*V1457</f>
        <v>0</v>
      </c>
      <c r="X1457" s="59"/>
      <c r="Y1457" s="12" t="s">
        <v>293</v>
      </c>
      <c r="Z1457" s="68">
        <f>VLOOKUP(Takeoffs!Y1457,Sheet1!$B$6:$C$124,2,FALSE)</f>
        <v>0</v>
      </c>
      <c r="AA1457" s="68">
        <f t="shared" si="667"/>
        <v>0</v>
      </c>
      <c r="AB1457" s="63">
        <f t="shared" si="668"/>
        <v>1</v>
      </c>
      <c r="AC1457" s="28">
        <f t="shared" si="673"/>
        <v>1</v>
      </c>
      <c r="AD1457" s="61">
        <v>1</v>
      </c>
      <c r="AE1457" s="59"/>
      <c r="AF1457" s="12" t="s">
        <v>293</v>
      </c>
      <c r="AG1457" s="68">
        <f>VLOOKUP(Takeoffs!AF1457,Sheet1!$B$6:$C$124,2,FALSE)</f>
        <v>0</v>
      </c>
      <c r="AH1457" s="68">
        <f t="shared" si="669"/>
        <v>0</v>
      </c>
      <c r="AI1457" s="63">
        <f t="shared" si="670"/>
        <v>0</v>
      </c>
      <c r="AJ1457" s="28">
        <f t="shared" si="671"/>
        <v>1</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1</v>
      </c>
      <c r="T1458" s="11"/>
      <c r="U1458" s="12" t="s">
        <v>293</v>
      </c>
      <c r="V1458" s="28">
        <f t="shared" si="666"/>
        <v>1</v>
      </c>
      <c r="W1458" s="28">
        <f>VLOOKUP(U1458,Sheet1!$B$6:$C$45,2,FALSE)*V1458</f>
        <v>0</v>
      </c>
      <c r="X1458" s="59"/>
      <c r="Y1458" s="12" t="s">
        <v>293</v>
      </c>
      <c r="Z1458" s="68">
        <f>VLOOKUP(Takeoffs!Y1458,Sheet1!$B$6:$C$124,2,FALSE)</f>
        <v>0</v>
      </c>
      <c r="AA1458" s="68">
        <f t="shared" si="667"/>
        <v>0</v>
      </c>
      <c r="AB1458" s="63">
        <f t="shared" si="668"/>
        <v>1</v>
      </c>
      <c r="AC1458" s="28">
        <f t="shared" si="673"/>
        <v>1</v>
      </c>
      <c r="AD1458" s="61">
        <v>1</v>
      </c>
      <c r="AE1458" s="59"/>
      <c r="AF1458" s="12" t="s">
        <v>293</v>
      </c>
      <c r="AG1458" s="68">
        <f>VLOOKUP(Takeoffs!AF1458,Sheet1!$B$6:$C$124,2,FALSE)</f>
        <v>0</v>
      </c>
      <c r="AH1458" s="68">
        <f t="shared" si="669"/>
        <v>0</v>
      </c>
      <c r="AI1458" s="63">
        <f t="shared" si="670"/>
        <v>0</v>
      </c>
      <c r="AJ1458" s="28">
        <f t="shared" si="671"/>
        <v>1</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379</v>
      </c>
      <c r="L1459" s="21" t="s">
        <v>380</v>
      </c>
      <c r="N1459" s="22"/>
      <c r="O1459" s="23" t="s">
        <v>359</v>
      </c>
      <c r="P1459" s="24">
        <f>V1459+AA1459+AH1459</f>
        <v>374.71999999999997</v>
      </c>
      <c r="Q1459" s="24"/>
      <c r="R1459" s="24"/>
      <c r="S1459" s="23"/>
      <c r="T1459" s="20"/>
      <c r="U1459" s="19" t="s">
        <v>353</v>
      </c>
      <c r="V1459" s="20">
        <f>W1459*80</f>
        <v>320</v>
      </c>
      <c r="W1459" s="69">
        <f>SUM(W1438:W1458)</f>
        <v>4</v>
      </c>
      <c r="X1459" s="70"/>
      <c r="Y1459" s="20" t="s">
        <v>354</v>
      </c>
      <c r="Z1459" s="2"/>
      <c r="AA1459" s="2">
        <f>SUM(AA1438:AA1458)</f>
        <v>23.76</v>
      </c>
      <c r="AB1459" s="71"/>
      <c r="AC1459" s="71"/>
      <c r="AD1459" s="71"/>
      <c r="AE1459" s="71"/>
      <c r="AF1459" s="20" t="s">
        <v>358</v>
      </c>
      <c r="AG1459" s="2"/>
      <c r="AH1459" s="2">
        <f>SUM(AH1438:AH1458)</f>
        <v>30.959999999999997</v>
      </c>
      <c r="AI1459" s="71"/>
      <c r="AJ1459" s="71"/>
      <c r="AK1459" s="71"/>
      <c r="AL1459" s="71"/>
      <c r="AM1459" s="150">
        <f>P1459</f>
        <v>374.71999999999997</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494</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v>1</v>
      </c>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one (1)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374.71999999999997</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369</v>
      </c>
      <c r="N1460" s="83" t="str">
        <f>N1438</f>
        <v>common area split AC systems (local power supply)</v>
      </c>
      <c r="O1460" s="83" t="s">
        <v>367</v>
      </c>
      <c r="P1460" s="64">
        <f>P1459/M1438</f>
        <v>374.71999999999997</v>
      </c>
      <c r="Q1460" s="84"/>
      <c r="R1460" s="84"/>
      <c r="S1460" s="83"/>
      <c r="T1460" s="84"/>
      <c r="U1460" s="327" t="s">
        <v>368</v>
      </c>
      <c r="V1460" s="327"/>
      <c r="W1460" s="85">
        <f>W1459/M1438</f>
        <v>4</v>
      </c>
      <c r="X1460" s="86"/>
      <c r="Y1460" s="325" t="s">
        <v>367</v>
      </c>
      <c r="Z1460" s="325"/>
      <c r="AA1460" s="87">
        <f>AA1459/M1438</f>
        <v>23.76</v>
      </c>
      <c r="AB1460" s="84"/>
      <c r="AC1460" s="84"/>
      <c r="AD1460" s="84"/>
      <c r="AE1460" s="84"/>
      <c r="AF1460" s="325" t="s">
        <v>367</v>
      </c>
      <c r="AG1460" s="325"/>
      <c r="AH1460" s="87">
        <f>AH1459/M1438</f>
        <v>30.959999999999997</v>
      </c>
      <c r="AI1460" s="84"/>
      <c r="AJ1460" s="84"/>
      <c r="AK1460" s="84"/>
      <c r="AL1460" s="247"/>
      <c r="AM1460" s="257"/>
      <c r="AN1460" s="236">
        <f>K1460*1.25</f>
        <v>468.4</v>
      </c>
      <c r="AO1460" s="286"/>
      <c r="AP1460" s="284">
        <f t="shared" si="661"/>
        <v>374.71999999999997</v>
      </c>
      <c r="AQ1460" s="281">
        <f t="shared" si="662"/>
        <v>320</v>
      </c>
      <c r="AR1460" s="284">
        <f t="shared" si="663"/>
        <v>23.76</v>
      </c>
      <c r="AS1460" s="281">
        <f t="shared" si="664"/>
        <v>30.959999999999997</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454</v>
      </c>
      <c r="M1461" s="116" t="s">
        <v>299</v>
      </c>
      <c r="N1461" s="116" t="s">
        <v>108</v>
      </c>
      <c r="O1461" s="170" t="s">
        <v>388</v>
      </c>
      <c r="P1461" s="326" t="s">
        <v>377</v>
      </c>
      <c r="Q1461" s="326"/>
      <c r="R1461" s="101" t="s">
        <v>454</v>
      </c>
      <c r="S1461" s="116" t="s">
        <v>0</v>
      </c>
      <c r="T1461" s="118"/>
      <c r="U1461" s="116" t="s">
        <v>288</v>
      </c>
      <c r="V1461" s="116" t="s">
        <v>289</v>
      </c>
      <c r="W1461" s="116" t="s">
        <v>292</v>
      </c>
      <c r="X1461" s="140"/>
      <c r="Y1461" s="116" t="s">
        <v>290</v>
      </c>
      <c r="Z1461" s="116" t="s">
        <v>356</v>
      </c>
      <c r="AA1461" s="116" t="s">
        <v>357</v>
      </c>
      <c r="AB1461" s="116" t="s">
        <v>319</v>
      </c>
      <c r="AC1461" s="116" t="s">
        <v>320</v>
      </c>
      <c r="AD1461" s="116" t="s">
        <v>318</v>
      </c>
      <c r="AE1461" s="140"/>
      <c r="AF1461" s="116" t="s">
        <v>294</v>
      </c>
      <c r="AG1461" s="116" t="s">
        <v>356</v>
      </c>
      <c r="AH1461" s="116" t="s">
        <v>357</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one</v>
      </c>
      <c r="M1462" s="121">
        <f>I1484</f>
        <v>1</v>
      </c>
      <c r="N1462" s="132" t="s">
        <v>646</v>
      </c>
      <c r="O1462" s="121" t="s">
        <v>138</v>
      </c>
      <c r="P1462" s="169" t="s">
        <v>381</v>
      </c>
      <c r="Q1462" s="169" t="s">
        <v>377</v>
      </c>
      <c r="R1462" s="169"/>
      <c r="S1462" s="133">
        <f>M1462</f>
        <v>1</v>
      </c>
      <c r="T1462" s="119"/>
      <c r="U1462" s="121" t="s">
        <v>293</v>
      </c>
      <c r="V1462" s="133">
        <f>S1462</f>
        <v>1</v>
      </c>
      <c r="W1462" s="133">
        <f>VLOOKUP(U1462,Sheet1!$B$6:$C$45,2,FALSE)*V1462</f>
        <v>0</v>
      </c>
      <c r="X1462" s="141"/>
      <c r="Y1462" s="121" t="s">
        <v>293</v>
      </c>
      <c r="Z1462" s="146">
        <f>VLOOKUP(Takeoffs!Y1462,Sheet1!$B$6:$C$124,2,FALSE)</f>
        <v>0</v>
      </c>
      <c r="AA1462" s="146">
        <f>Z1462*AB1462</f>
        <v>0</v>
      </c>
      <c r="AB1462" s="143">
        <f>AD1462*AC1462</f>
        <v>1</v>
      </c>
      <c r="AC1462" s="133">
        <f>S1462</f>
        <v>1</v>
      </c>
      <c r="AD1462" s="142">
        <v>1</v>
      </c>
      <c r="AE1462" s="141"/>
      <c r="AF1462" s="121" t="s">
        <v>293</v>
      </c>
      <c r="AG1462" s="146">
        <f>VLOOKUP(Takeoffs!AF1462,Sheet1!$B$6:$C$124,2,FALSE)</f>
        <v>0</v>
      </c>
      <c r="AH1462" s="146">
        <f>AG1462*AI1462</f>
        <v>0</v>
      </c>
      <c r="AI1462" s="143">
        <f>AK1462*AJ1462</f>
        <v>0</v>
      </c>
      <c r="AJ1462" s="133">
        <f>S1462</f>
        <v>1</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428</v>
      </c>
      <c r="P1463" s="121"/>
      <c r="Q1463" s="121"/>
      <c r="R1463" s="121"/>
      <c r="S1463" s="133">
        <f>M1462</f>
        <v>1</v>
      </c>
      <c r="T1463" s="120"/>
      <c r="U1463" s="121" t="s">
        <v>239</v>
      </c>
      <c r="V1463" s="133">
        <f t="shared" ref="V1463:V1482" si="675">S1463</f>
        <v>1</v>
      </c>
      <c r="W1463" s="133">
        <f>VLOOKUP(U1463,Sheet1!$B$6:$C$45,2,FALSE)*V1463</f>
        <v>0.25</v>
      </c>
      <c r="X1463" s="141"/>
      <c r="Y1463" s="121" t="s">
        <v>293</v>
      </c>
      <c r="Z1463" s="146">
        <f>VLOOKUP(Takeoffs!Y1463,Sheet1!$B$6:$C$124,2,FALSE)</f>
        <v>0</v>
      </c>
      <c r="AA1463" s="146">
        <f t="shared" ref="AA1463:AA1482" si="676">Z1463*AB1463</f>
        <v>0</v>
      </c>
      <c r="AB1463" s="143">
        <f t="shared" ref="AB1463:AB1482" si="677">AD1463*AC1463</f>
        <v>1</v>
      </c>
      <c r="AC1463" s="133">
        <f t="shared" ref="AC1463:AC1482" si="678">S1463</f>
        <v>1</v>
      </c>
      <c r="AD1463" s="142">
        <v>1</v>
      </c>
      <c r="AE1463" s="141"/>
      <c r="AF1463" s="122" t="s">
        <v>269</v>
      </c>
      <c r="AG1463" s="146">
        <f>VLOOKUP(Takeoffs!AF1463,Sheet1!$B$6:$C$124,2,FALSE)</f>
        <v>1.056</v>
      </c>
      <c r="AH1463" s="146">
        <f t="shared" ref="AH1463:AH1482" si="679">AG1463*AI1463</f>
        <v>10.56</v>
      </c>
      <c r="AI1463" s="143">
        <f t="shared" ref="AI1463:AI1482" si="680">AK1463*AJ1463</f>
        <v>10</v>
      </c>
      <c r="AJ1463" s="133">
        <f t="shared" ref="AJ1463:AJ1482" si="681">S1463</f>
        <v>1</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395</v>
      </c>
      <c r="P1464" s="121"/>
      <c r="Q1464" s="121"/>
      <c r="R1464" s="121"/>
      <c r="S1464" s="133">
        <f>M1462</f>
        <v>1</v>
      </c>
      <c r="T1464" s="120"/>
      <c r="U1464" s="121" t="s">
        <v>302</v>
      </c>
      <c r="V1464" s="133">
        <f t="shared" si="675"/>
        <v>1</v>
      </c>
      <c r="W1464" s="133">
        <f>VLOOKUP(U1464,Sheet1!$B$6:$C$45,2,FALSE)*V1464</f>
        <v>2.5</v>
      </c>
      <c r="X1464" s="141"/>
      <c r="Y1464" s="122" t="s">
        <v>253</v>
      </c>
      <c r="Z1464" s="146">
        <f>VLOOKUP(Takeoffs!Y1464,Sheet1!$B$6:$C$124,2,FALSE)</f>
        <v>10.139999999999999</v>
      </c>
      <c r="AA1464" s="146">
        <f t="shared" si="676"/>
        <v>10.139999999999999</v>
      </c>
      <c r="AB1464" s="143">
        <f t="shared" si="677"/>
        <v>1</v>
      </c>
      <c r="AC1464" s="133">
        <f t="shared" si="678"/>
        <v>1</v>
      </c>
      <c r="AD1464" s="142">
        <v>1</v>
      </c>
      <c r="AE1464" s="141"/>
      <c r="AF1464" s="122" t="s">
        <v>268</v>
      </c>
      <c r="AG1464" s="146">
        <f>VLOOKUP(Takeoffs!AF1464,Sheet1!$B$6:$C$124,2,FALSE)</f>
        <v>1.02</v>
      </c>
      <c r="AH1464" s="146">
        <f t="shared" si="679"/>
        <v>10.199999999999999</v>
      </c>
      <c r="AI1464" s="143">
        <f t="shared" si="680"/>
        <v>10</v>
      </c>
      <c r="AJ1464" s="133">
        <f t="shared" si="681"/>
        <v>1</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452</v>
      </c>
      <c r="P1465" s="121"/>
      <c r="Q1465" s="121"/>
      <c r="R1465" s="121"/>
      <c r="S1465" s="133">
        <f>M1462</f>
        <v>1</v>
      </c>
      <c r="T1465" s="120"/>
      <c r="U1465" s="121" t="s">
        <v>293</v>
      </c>
      <c r="V1465" s="133">
        <f t="shared" si="675"/>
        <v>1</v>
      </c>
      <c r="W1465" s="133">
        <f>VLOOKUP(U1465,Sheet1!$B$6:$C$45,2,FALSE)*V1465</f>
        <v>0</v>
      </c>
      <c r="X1465" s="141"/>
      <c r="Y1465" s="122" t="s">
        <v>247</v>
      </c>
      <c r="Z1465" s="146">
        <f>VLOOKUP(Takeoffs!Y1465,Sheet1!$B$6:$C$124,2,FALSE)</f>
        <v>23.76</v>
      </c>
      <c r="AA1465" s="146">
        <f t="shared" si="676"/>
        <v>23.76</v>
      </c>
      <c r="AB1465" s="143">
        <f t="shared" si="677"/>
        <v>1</v>
      </c>
      <c r="AC1465" s="133">
        <f t="shared" si="678"/>
        <v>1</v>
      </c>
      <c r="AD1465" s="142">
        <v>1</v>
      </c>
      <c r="AE1465" s="141"/>
      <c r="AF1465" s="121" t="s">
        <v>293</v>
      </c>
      <c r="AG1465" s="146">
        <f>VLOOKUP(Takeoffs!AF1465,Sheet1!$B$6:$C$124,2,FALSE)</f>
        <v>0</v>
      </c>
      <c r="AH1465" s="146">
        <f t="shared" si="679"/>
        <v>0</v>
      </c>
      <c r="AI1465" s="143">
        <f t="shared" si="680"/>
        <v>0</v>
      </c>
      <c r="AJ1465" s="133">
        <f t="shared" si="681"/>
        <v>1</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416</v>
      </c>
      <c r="P1466" s="121" t="s">
        <v>449</v>
      </c>
      <c r="Q1466" s="121" t="s">
        <v>385</v>
      </c>
      <c r="R1466" s="121"/>
      <c r="S1466" s="133">
        <f>M1462</f>
        <v>1</v>
      </c>
      <c r="T1466" s="120"/>
      <c r="U1466" s="121" t="s">
        <v>230</v>
      </c>
      <c r="V1466" s="133">
        <f t="shared" si="675"/>
        <v>1</v>
      </c>
      <c r="W1466" s="133">
        <f>VLOOKUP(U1466,Sheet1!$B$6:$C$45,2,FALSE)*V1466</f>
        <v>0.5</v>
      </c>
      <c r="X1466" s="141"/>
      <c r="Y1466" s="121" t="s">
        <v>293</v>
      </c>
      <c r="Z1466" s="146">
        <f>VLOOKUP(Takeoffs!Y1466,Sheet1!$B$6:$C$124,2,FALSE)</f>
        <v>0</v>
      </c>
      <c r="AA1466" s="146">
        <f t="shared" si="676"/>
        <v>0</v>
      </c>
      <c r="AB1466" s="143">
        <f t="shared" si="677"/>
        <v>1</v>
      </c>
      <c r="AC1466" s="133">
        <f t="shared" si="678"/>
        <v>1</v>
      </c>
      <c r="AD1466" s="142">
        <v>1</v>
      </c>
      <c r="AE1466" s="141"/>
      <c r="AF1466" s="121" t="s">
        <v>293</v>
      </c>
      <c r="AG1466" s="146">
        <f>VLOOKUP(Takeoffs!AF1466,Sheet1!$B$6:$C$124,2,FALSE)</f>
        <v>0</v>
      </c>
      <c r="AH1466" s="146">
        <f t="shared" si="679"/>
        <v>0</v>
      </c>
      <c r="AI1466" s="143">
        <f t="shared" si="680"/>
        <v>0</v>
      </c>
      <c r="AJ1466" s="133">
        <f t="shared" si="681"/>
        <v>1</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643</v>
      </c>
      <c r="P1467" s="121" t="s">
        <v>449</v>
      </c>
      <c r="Q1467" s="121" t="s">
        <v>647</v>
      </c>
      <c r="R1467" s="121"/>
      <c r="S1467" s="133">
        <f>M1462</f>
        <v>1</v>
      </c>
      <c r="T1467" s="120"/>
      <c r="U1467" s="117" t="s">
        <v>365</v>
      </c>
      <c r="V1467" s="133">
        <f t="shared" si="675"/>
        <v>1</v>
      </c>
      <c r="W1467" s="133">
        <f>VLOOKUP(U1467,Sheet1!$B$6:$C$45,2,FALSE)*V1467</f>
        <v>1</v>
      </c>
      <c r="X1467" s="141"/>
      <c r="Y1467" s="121" t="s">
        <v>293</v>
      </c>
      <c r="Z1467" s="146">
        <f>VLOOKUP(Takeoffs!Y1467,Sheet1!$B$6:$C$124,2,FALSE)</f>
        <v>0</v>
      </c>
      <c r="AA1467" s="146">
        <f t="shared" si="676"/>
        <v>0</v>
      </c>
      <c r="AB1467" s="143">
        <f t="shared" si="677"/>
        <v>1</v>
      </c>
      <c r="AC1467" s="133">
        <f t="shared" si="678"/>
        <v>1</v>
      </c>
      <c r="AD1467" s="142">
        <v>1</v>
      </c>
      <c r="AE1467" s="141"/>
      <c r="AF1467" s="122" t="s">
        <v>269</v>
      </c>
      <c r="AG1467" s="146">
        <f>VLOOKUP(Takeoffs!AF1467,Sheet1!$B$6:$C$124,2,FALSE)</f>
        <v>1.056</v>
      </c>
      <c r="AH1467" s="146">
        <f t="shared" si="679"/>
        <v>15.84</v>
      </c>
      <c r="AI1467" s="143">
        <f t="shared" si="680"/>
        <v>15</v>
      </c>
      <c r="AJ1467" s="133">
        <f t="shared" si="681"/>
        <v>1</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1</v>
      </c>
      <c r="T1468" s="120"/>
      <c r="U1468" s="121" t="s">
        <v>293</v>
      </c>
      <c r="V1468" s="133">
        <f t="shared" si="675"/>
        <v>1</v>
      </c>
      <c r="W1468" s="133">
        <f>VLOOKUP(U1468,Sheet1!$B$6:$C$45,2,FALSE)*V1468</f>
        <v>0</v>
      </c>
      <c r="X1468" s="141"/>
      <c r="Y1468" s="121" t="s">
        <v>293</v>
      </c>
      <c r="Z1468" s="146">
        <f>VLOOKUP(Takeoffs!Y1468,Sheet1!$B$6:$C$124,2,FALSE)</f>
        <v>0</v>
      </c>
      <c r="AA1468" s="146">
        <f t="shared" si="676"/>
        <v>0</v>
      </c>
      <c r="AB1468" s="143">
        <f t="shared" si="677"/>
        <v>1</v>
      </c>
      <c r="AC1468" s="133">
        <f t="shared" si="678"/>
        <v>1</v>
      </c>
      <c r="AD1468" s="142">
        <v>1</v>
      </c>
      <c r="AE1468" s="141"/>
      <c r="AF1468" s="121" t="s">
        <v>293</v>
      </c>
      <c r="AG1468" s="146">
        <f>VLOOKUP(Takeoffs!AF1468,Sheet1!$B$6:$C$124,2,FALSE)</f>
        <v>0</v>
      </c>
      <c r="AH1468" s="146">
        <f t="shared" si="679"/>
        <v>0</v>
      </c>
      <c r="AI1468" s="143">
        <f t="shared" si="680"/>
        <v>0</v>
      </c>
      <c r="AJ1468" s="133">
        <f t="shared" si="681"/>
        <v>1</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1</v>
      </c>
      <c r="T1469" s="120"/>
      <c r="U1469" s="121" t="s">
        <v>293</v>
      </c>
      <c r="V1469" s="133">
        <f t="shared" si="675"/>
        <v>1</v>
      </c>
      <c r="W1469" s="133">
        <f>VLOOKUP(U1469,Sheet1!$B$6:$C$45,2,FALSE)*V1469</f>
        <v>0</v>
      </c>
      <c r="X1469" s="141"/>
      <c r="Y1469" s="121" t="s">
        <v>293</v>
      </c>
      <c r="Z1469" s="146">
        <f>VLOOKUP(Takeoffs!Y1469,Sheet1!$B$6:$C$124,2,FALSE)</f>
        <v>0</v>
      </c>
      <c r="AA1469" s="146">
        <f t="shared" si="676"/>
        <v>0</v>
      </c>
      <c r="AB1469" s="143">
        <f t="shared" si="677"/>
        <v>1</v>
      </c>
      <c r="AC1469" s="133">
        <f t="shared" si="678"/>
        <v>1</v>
      </c>
      <c r="AD1469" s="142">
        <v>1</v>
      </c>
      <c r="AE1469" s="141"/>
      <c r="AF1469" s="121" t="s">
        <v>293</v>
      </c>
      <c r="AG1469" s="146">
        <f>VLOOKUP(Takeoffs!AF1469,Sheet1!$B$6:$C$124,2,FALSE)</f>
        <v>0</v>
      </c>
      <c r="AH1469" s="146">
        <f t="shared" si="679"/>
        <v>0</v>
      </c>
      <c r="AI1469" s="143">
        <f t="shared" si="680"/>
        <v>0</v>
      </c>
      <c r="AJ1469" s="133">
        <f t="shared" si="681"/>
        <v>1</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1</v>
      </c>
      <c r="T1470" s="120"/>
      <c r="U1470" s="121" t="s">
        <v>293</v>
      </c>
      <c r="V1470" s="133">
        <f t="shared" si="675"/>
        <v>1</v>
      </c>
      <c r="W1470" s="133">
        <f>VLOOKUP(U1470,Sheet1!$B$6:$C$45,2,FALSE)*V1470</f>
        <v>0</v>
      </c>
      <c r="X1470" s="141"/>
      <c r="Y1470" s="121" t="s">
        <v>293</v>
      </c>
      <c r="Z1470" s="146">
        <f>VLOOKUP(Takeoffs!Y1470,Sheet1!$B$6:$C$124,2,FALSE)</f>
        <v>0</v>
      </c>
      <c r="AA1470" s="146">
        <f t="shared" si="676"/>
        <v>0</v>
      </c>
      <c r="AB1470" s="143">
        <f t="shared" si="677"/>
        <v>1</v>
      </c>
      <c r="AC1470" s="133">
        <f t="shared" si="678"/>
        <v>1</v>
      </c>
      <c r="AD1470" s="142">
        <v>1</v>
      </c>
      <c r="AE1470" s="141"/>
      <c r="AF1470" s="121" t="s">
        <v>293</v>
      </c>
      <c r="AG1470" s="146">
        <f>VLOOKUP(Takeoffs!AF1470,Sheet1!$B$6:$C$124,2,FALSE)</f>
        <v>0</v>
      </c>
      <c r="AH1470" s="146">
        <f t="shared" si="679"/>
        <v>0</v>
      </c>
      <c r="AI1470" s="143">
        <f t="shared" si="680"/>
        <v>0</v>
      </c>
      <c r="AJ1470" s="133">
        <f t="shared" si="681"/>
        <v>1</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1</v>
      </c>
      <c r="T1471" s="120"/>
      <c r="U1471" s="121" t="s">
        <v>293</v>
      </c>
      <c r="V1471" s="133">
        <f t="shared" si="675"/>
        <v>1</v>
      </c>
      <c r="W1471" s="133">
        <f>VLOOKUP(U1471,Sheet1!$B$6:$C$45,2,FALSE)*V1471</f>
        <v>0</v>
      </c>
      <c r="X1471" s="141"/>
      <c r="Y1471" s="121" t="s">
        <v>293</v>
      </c>
      <c r="Z1471" s="146">
        <f>VLOOKUP(Takeoffs!Y1471,Sheet1!$B$6:$C$124,2,FALSE)</f>
        <v>0</v>
      </c>
      <c r="AA1471" s="146">
        <f t="shared" si="676"/>
        <v>0</v>
      </c>
      <c r="AB1471" s="143">
        <f t="shared" si="677"/>
        <v>1</v>
      </c>
      <c r="AC1471" s="133">
        <f t="shared" si="678"/>
        <v>1</v>
      </c>
      <c r="AD1471" s="142">
        <v>1</v>
      </c>
      <c r="AE1471" s="141"/>
      <c r="AF1471" s="121" t="s">
        <v>293</v>
      </c>
      <c r="AG1471" s="146">
        <f>VLOOKUP(Takeoffs!AF1471,Sheet1!$B$6:$C$124,2,FALSE)</f>
        <v>0</v>
      </c>
      <c r="AH1471" s="146">
        <f t="shared" si="679"/>
        <v>0</v>
      </c>
      <c r="AI1471" s="143">
        <f t="shared" si="680"/>
        <v>0</v>
      </c>
      <c r="AJ1471" s="133">
        <f t="shared" si="681"/>
        <v>1</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1</v>
      </c>
      <c r="T1472" s="120"/>
      <c r="U1472" s="121" t="s">
        <v>293</v>
      </c>
      <c r="V1472" s="133">
        <f t="shared" si="675"/>
        <v>1</v>
      </c>
      <c r="W1472" s="133">
        <f>VLOOKUP(U1472,Sheet1!$B$6:$C$45,2,FALSE)*V1472</f>
        <v>0</v>
      </c>
      <c r="X1472" s="141"/>
      <c r="Y1472" s="121" t="s">
        <v>293</v>
      </c>
      <c r="Z1472" s="146">
        <f>VLOOKUP(Takeoffs!Y1472,Sheet1!$B$6:$C$124,2,FALSE)</f>
        <v>0</v>
      </c>
      <c r="AA1472" s="146">
        <f t="shared" si="676"/>
        <v>0</v>
      </c>
      <c r="AB1472" s="143">
        <f t="shared" si="677"/>
        <v>1</v>
      </c>
      <c r="AC1472" s="133">
        <f t="shared" si="678"/>
        <v>1</v>
      </c>
      <c r="AD1472" s="142">
        <v>1</v>
      </c>
      <c r="AE1472" s="141"/>
      <c r="AF1472" s="121" t="s">
        <v>293</v>
      </c>
      <c r="AG1472" s="146">
        <f>VLOOKUP(Takeoffs!AF1472,Sheet1!$B$6:$C$124,2,FALSE)</f>
        <v>0</v>
      </c>
      <c r="AH1472" s="146">
        <f t="shared" si="679"/>
        <v>0</v>
      </c>
      <c r="AI1472" s="143">
        <f t="shared" si="680"/>
        <v>0</v>
      </c>
      <c r="AJ1472" s="133">
        <f t="shared" si="681"/>
        <v>1</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1</v>
      </c>
      <c r="T1473" s="120"/>
      <c r="U1473" s="121" t="s">
        <v>293</v>
      </c>
      <c r="V1473" s="133">
        <f t="shared" si="675"/>
        <v>1</v>
      </c>
      <c r="W1473" s="133">
        <f>VLOOKUP(U1473,Sheet1!$B$6:$C$45,2,FALSE)*V1473</f>
        <v>0</v>
      </c>
      <c r="X1473" s="141"/>
      <c r="Y1473" s="121" t="s">
        <v>293</v>
      </c>
      <c r="Z1473" s="146">
        <f>VLOOKUP(Takeoffs!Y1473,Sheet1!$B$6:$C$124,2,FALSE)</f>
        <v>0</v>
      </c>
      <c r="AA1473" s="146">
        <f t="shared" si="676"/>
        <v>0</v>
      </c>
      <c r="AB1473" s="143">
        <f t="shared" si="677"/>
        <v>1</v>
      </c>
      <c r="AC1473" s="133">
        <f t="shared" si="678"/>
        <v>1</v>
      </c>
      <c r="AD1473" s="142">
        <v>1</v>
      </c>
      <c r="AE1473" s="141"/>
      <c r="AF1473" s="121" t="s">
        <v>293</v>
      </c>
      <c r="AG1473" s="146">
        <f>VLOOKUP(Takeoffs!AF1473,Sheet1!$B$6:$C$124,2,FALSE)</f>
        <v>0</v>
      </c>
      <c r="AH1473" s="146">
        <f t="shared" si="679"/>
        <v>0</v>
      </c>
      <c r="AI1473" s="143">
        <f t="shared" si="680"/>
        <v>0</v>
      </c>
      <c r="AJ1473" s="133">
        <f t="shared" si="681"/>
        <v>1</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1</v>
      </c>
      <c r="T1474" s="120"/>
      <c r="U1474" s="121" t="s">
        <v>293</v>
      </c>
      <c r="V1474" s="133">
        <f t="shared" si="675"/>
        <v>1</v>
      </c>
      <c r="W1474" s="133">
        <f>VLOOKUP(U1474,Sheet1!$B$6:$C$45,2,FALSE)*V1474</f>
        <v>0</v>
      </c>
      <c r="X1474" s="141"/>
      <c r="Y1474" s="121" t="s">
        <v>293</v>
      </c>
      <c r="Z1474" s="146">
        <f>VLOOKUP(Takeoffs!Y1474,Sheet1!$B$6:$C$124,2,FALSE)</f>
        <v>0</v>
      </c>
      <c r="AA1474" s="146">
        <f t="shared" si="676"/>
        <v>0</v>
      </c>
      <c r="AB1474" s="143">
        <f t="shared" si="677"/>
        <v>1</v>
      </c>
      <c r="AC1474" s="133">
        <f t="shared" si="678"/>
        <v>1</v>
      </c>
      <c r="AD1474" s="142">
        <v>1</v>
      </c>
      <c r="AE1474" s="141"/>
      <c r="AF1474" s="121" t="s">
        <v>293</v>
      </c>
      <c r="AG1474" s="146">
        <f>VLOOKUP(Takeoffs!AF1474,Sheet1!$B$6:$C$124,2,FALSE)</f>
        <v>0</v>
      </c>
      <c r="AH1474" s="146">
        <f t="shared" si="679"/>
        <v>0</v>
      </c>
      <c r="AI1474" s="143">
        <f t="shared" si="680"/>
        <v>0</v>
      </c>
      <c r="AJ1474" s="133">
        <f t="shared" si="681"/>
        <v>1</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1</v>
      </c>
      <c r="T1475" s="120"/>
      <c r="U1475" s="121" t="s">
        <v>293</v>
      </c>
      <c r="V1475" s="133">
        <f t="shared" si="675"/>
        <v>1</v>
      </c>
      <c r="W1475" s="133">
        <f>VLOOKUP(U1475,Sheet1!$B$6:$C$45,2,FALSE)*V1475</f>
        <v>0</v>
      </c>
      <c r="X1475" s="141"/>
      <c r="Y1475" s="121" t="s">
        <v>293</v>
      </c>
      <c r="Z1475" s="146">
        <f>VLOOKUP(Takeoffs!Y1475,Sheet1!$B$6:$C$124,2,FALSE)</f>
        <v>0</v>
      </c>
      <c r="AA1475" s="146">
        <f t="shared" si="676"/>
        <v>0</v>
      </c>
      <c r="AB1475" s="143">
        <f t="shared" si="677"/>
        <v>1</v>
      </c>
      <c r="AC1475" s="133">
        <f t="shared" si="678"/>
        <v>1</v>
      </c>
      <c r="AD1475" s="142">
        <v>1</v>
      </c>
      <c r="AE1475" s="141"/>
      <c r="AF1475" s="121" t="s">
        <v>293</v>
      </c>
      <c r="AG1475" s="146">
        <f>VLOOKUP(Takeoffs!AF1475,Sheet1!$B$6:$C$124,2,FALSE)</f>
        <v>0</v>
      </c>
      <c r="AH1475" s="146">
        <f t="shared" si="679"/>
        <v>0</v>
      </c>
      <c r="AI1475" s="143">
        <f t="shared" si="680"/>
        <v>0</v>
      </c>
      <c r="AJ1475" s="133">
        <f t="shared" si="681"/>
        <v>1</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1</v>
      </c>
      <c r="T1476" s="120"/>
      <c r="U1476" s="121" t="s">
        <v>293</v>
      </c>
      <c r="V1476" s="133">
        <f t="shared" si="675"/>
        <v>1</v>
      </c>
      <c r="W1476" s="133">
        <f>VLOOKUP(U1476,Sheet1!$B$6:$C$45,2,FALSE)*V1476</f>
        <v>0</v>
      </c>
      <c r="X1476" s="141"/>
      <c r="Y1476" s="121" t="s">
        <v>293</v>
      </c>
      <c r="Z1476" s="146">
        <f>VLOOKUP(Takeoffs!Y1476,Sheet1!$B$6:$C$124,2,FALSE)</f>
        <v>0</v>
      </c>
      <c r="AA1476" s="146">
        <f t="shared" si="676"/>
        <v>0</v>
      </c>
      <c r="AB1476" s="143">
        <f t="shared" si="677"/>
        <v>1</v>
      </c>
      <c r="AC1476" s="133">
        <f t="shared" si="678"/>
        <v>1</v>
      </c>
      <c r="AD1476" s="142">
        <v>1</v>
      </c>
      <c r="AE1476" s="141"/>
      <c r="AF1476" s="121" t="s">
        <v>293</v>
      </c>
      <c r="AG1476" s="146">
        <f>VLOOKUP(Takeoffs!AF1476,Sheet1!$B$6:$C$124,2,FALSE)</f>
        <v>0</v>
      </c>
      <c r="AH1476" s="146">
        <f t="shared" si="679"/>
        <v>0</v>
      </c>
      <c r="AI1476" s="143">
        <f t="shared" si="680"/>
        <v>0</v>
      </c>
      <c r="AJ1476" s="133">
        <f t="shared" si="681"/>
        <v>1</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1</v>
      </c>
      <c r="T1477" s="120"/>
      <c r="U1477" s="121" t="s">
        <v>293</v>
      </c>
      <c r="V1477" s="133">
        <f t="shared" si="675"/>
        <v>1</v>
      </c>
      <c r="W1477" s="133">
        <f>VLOOKUP(U1477,Sheet1!$B$6:$C$45,2,FALSE)*V1477</f>
        <v>0</v>
      </c>
      <c r="X1477" s="141"/>
      <c r="Y1477" s="121" t="s">
        <v>293</v>
      </c>
      <c r="Z1477" s="146">
        <f>VLOOKUP(Takeoffs!Y1477,Sheet1!$B$6:$C$124,2,FALSE)</f>
        <v>0</v>
      </c>
      <c r="AA1477" s="146">
        <f t="shared" si="676"/>
        <v>0</v>
      </c>
      <c r="AB1477" s="143">
        <f t="shared" si="677"/>
        <v>1</v>
      </c>
      <c r="AC1477" s="133">
        <f t="shared" si="678"/>
        <v>1</v>
      </c>
      <c r="AD1477" s="142">
        <v>1</v>
      </c>
      <c r="AE1477" s="141"/>
      <c r="AF1477" s="121" t="s">
        <v>293</v>
      </c>
      <c r="AG1477" s="146">
        <f>VLOOKUP(Takeoffs!AF1477,Sheet1!$B$6:$C$124,2,FALSE)</f>
        <v>0</v>
      </c>
      <c r="AH1477" s="146">
        <f t="shared" si="679"/>
        <v>0</v>
      </c>
      <c r="AI1477" s="143">
        <f t="shared" si="680"/>
        <v>0</v>
      </c>
      <c r="AJ1477" s="133">
        <f t="shared" si="681"/>
        <v>1</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1</v>
      </c>
      <c r="T1478" s="120"/>
      <c r="U1478" s="121" t="s">
        <v>293</v>
      </c>
      <c r="V1478" s="133">
        <f t="shared" si="675"/>
        <v>1</v>
      </c>
      <c r="W1478" s="133">
        <f>VLOOKUP(U1478,Sheet1!$B$6:$C$45,2,FALSE)*V1478</f>
        <v>0</v>
      </c>
      <c r="X1478" s="141"/>
      <c r="Y1478" s="121" t="s">
        <v>293</v>
      </c>
      <c r="Z1478" s="146">
        <f>VLOOKUP(Takeoffs!Y1478,Sheet1!$B$6:$C$124,2,FALSE)</f>
        <v>0</v>
      </c>
      <c r="AA1478" s="146">
        <f t="shared" si="676"/>
        <v>0</v>
      </c>
      <c r="AB1478" s="143">
        <f t="shared" si="677"/>
        <v>1</v>
      </c>
      <c r="AC1478" s="133">
        <f t="shared" si="678"/>
        <v>1</v>
      </c>
      <c r="AD1478" s="142">
        <v>1</v>
      </c>
      <c r="AE1478" s="141"/>
      <c r="AF1478" s="121" t="s">
        <v>293</v>
      </c>
      <c r="AG1478" s="146">
        <f>VLOOKUP(Takeoffs!AF1478,Sheet1!$B$6:$C$124,2,FALSE)</f>
        <v>0</v>
      </c>
      <c r="AH1478" s="146">
        <f t="shared" si="679"/>
        <v>0</v>
      </c>
      <c r="AI1478" s="143">
        <f t="shared" si="680"/>
        <v>0</v>
      </c>
      <c r="AJ1478" s="133">
        <f t="shared" si="681"/>
        <v>1</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1</v>
      </c>
      <c r="T1479" s="120"/>
      <c r="U1479" s="121" t="s">
        <v>293</v>
      </c>
      <c r="V1479" s="133">
        <f t="shared" si="675"/>
        <v>1</v>
      </c>
      <c r="W1479" s="133">
        <f>VLOOKUP(U1479,Sheet1!$B$6:$C$45,2,FALSE)*V1479</f>
        <v>0</v>
      </c>
      <c r="X1479" s="141"/>
      <c r="Y1479" s="121" t="s">
        <v>293</v>
      </c>
      <c r="Z1479" s="146">
        <f>VLOOKUP(Takeoffs!Y1479,Sheet1!$B$6:$C$124,2,FALSE)</f>
        <v>0</v>
      </c>
      <c r="AA1479" s="146">
        <f t="shared" si="676"/>
        <v>0</v>
      </c>
      <c r="AB1479" s="143">
        <f t="shared" si="677"/>
        <v>1</v>
      </c>
      <c r="AC1479" s="133">
        <f t="shared" si="678"/>
        <v>1</v>
      </c>
      <c r="AD1479" s="142">
        <v>1</v>
      </c>
      <c r="AE1479" s="141"/>
      <c r="AF1479" s="121" t="s">
        <v>293</v>
      </c>
      <c r="AG1479" s="146">
        <f>VLOOKUP(Takeoffs!AF1479,Sheet1!$B$6:$C$124,2,FALSE)</f>
        <v>0</v>
      </c>
      <c r="AH1479" s="146">
        <f t="shared" si="679"/>
        <v>0</v>
      </c>
      <c r="AI1479" s="143">
        <f t="shared" si="680"/>
        <v>0</v>
      </c>
      <c r="AJ1479" s="133">
        <f t="shared" si="681"/>
        <v>1</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1</v>
      </c>
      <c r="T1480" s="120"/>
      <c r="U1480" s="121" t="s">
        <v>293</v>
      </c>
      <c r="V1480" s="133">
        <f t="shared" si="675"/>
        <v>1</v>
      </c>
      <c r="W1480" s="133">
        <f>VLOOKUP(U1480,Sheet1!$B$6:$C$45,2,FALSE)*V1480</f>
        <v>0</v>
      </c>
      <c r="X1480" s="141"/>
      <c r="Y1480" s="121" t="s">
        <v>293</v>
      </c>
      <c r="Z1480" s="146">
        <f>VLOOKUP(Takeoffs!Y1480,Sheet1!$B$6:$C$124,2,FALSE)</f>
        <v>0</v>
      </c>
      <c r="AA1480" s="146">
        <f t="shared" si="676"/>
        <v>0</v>
      </c>
      <c r="AB1480" s="143">
        <f t="shared" si="677"/>
        <v>1</v>
      </c>
      <c r="AC1480" s="133">
        <f t="shared" si="678"/>
        <v>1</v>
      </c>
      <c r="AD1480" s="142">
        <v>1</v>
      </c>
      <c r="AE1480" s="141"/>
      <c r="AF1480" s="121" t="s">
        <v>293</v>
      </c>
      <c r="AG1480" s="146">
        <f>VLOOKUP(Takeoffs!AF1480,Sheet1!$B$6:$C$124,2,FALSE)</f>
        <v>0</v>
      </c>
      <c r="AH1480" s="146">
        <f t="shared" si="679"/>
        <v>0</v>
      </c>
      <c r="AI1480" s="143">
        <f t="shared" si="680"/>
        <v>0</v>
      </c>
      <c r="AJ1480" s="133">
        <f t="shared" si="681"/>
        <v>1</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1</v>
      </c>
      <c r="T1481" s="120"/>
      <c r="U1481" s="121" t="s">
        <v>293</v>
      </c>
      <c r="V1481" s="133">
        <f t="shared" si="675"/>
        <v>1</v>
      </c>
      <c r="W1481" s="133">
        <f>VLOOKUP(U1481,Sheet1!$B$6:$C$45,2,FALSE)*V1481</f>
        <v>0</v>
      </c>
      <c r="X1481" s="141"/>
      <c r="Y1481" s="121" t="s">
        <v>293</v>
      </c>
      <c r="Z1481" s="146">
        <f>VLOOKUP(Takeoffs!Y1481,Sheet1!$B$6:$C$124,2,FALSE)</f>
        <v>0</v>
      </c>
      <c r="AA1481" s="146">
        <f t="shared" si="676"/>
        <v>0</v>
      </c>
      <c r="AB1481" s="143">
        <f t="shared" si="677"/>
        <v>1</v>
      </c>
      <c r="AC1481" s="133">
        <f t="shared" si="678"/>
        <v>1</v>
      </c>
      <c r="AD1481" s="142">
        <v>1</v>
      </c>
      <c r="AE1481" s="141"/>
      <c r="AF1481" s="121" t="s">
        <v>293</v>
      </c>
      <c r="AG1481" s="146">
        <f>VLOOKUP(Takeoffs!AF1481,Sheet1!$B$6:$C$124,2,FALSE)</f>
        <v>0</v>
      </c>
      <c r="AH1481" s="146">
        <f t="shared" si="679"/>
        <v>0</v>
      </c>
      <c r="AI1481" s="143">
        <f t="shared" si="680"/>
        <v>0</v>
      </c>
      <c r="AJ1481" s="133">
        <f t="shared" si="681"/>
        <v>1</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1</v>
      </c>
      <c r="T1482" s="120"/>
      <c r="U1482" s="121" t="s">
        <v>293</v>
      </c>
      <c r="V1482" s="133">
        <f t="shared" si="675"/>
        <v>1</v>
      </c>
      <c r="W1482" s="133">
        <f>VLOOKUP(U1482,Sheet1!$B$6:$C$45,2,FALSE)*V1482</f>
        <v>0</v>
      </c>
      <c r="X1482" s="141"/>
      <c r="Y1482" s="121" t="s">
        <v>293</v>
      </c>
      <c r="Z1482" s="146">
        <f>VLOOKUP(Takeoffs!Y1482,Sheet1!$B$6:$C$124,2,FALSE)</f>
        <v>0</v>
      </c>
      <c r="AA1482" s="146">
        <f t="shared" si="676"/>
        <v>0</v>
      </c>
      <c r="AB1482" s="143">
        <f t="shared" si="677"/>
        <v>1</v>
      </c>
      <c r="AC1482" s="133">
        <f t="shared" si="678"/>
        <v>1</v>
      </c>
      <c r="AD1482" s="142">
        <v>1</v>
      </c>
      <c r="AE1482" s="141"/>
      <c r="AF1482" s="121" t="s">
        <v>293</v>
      </c>
      <c r="AG1482" s="146">
        <f>VLOOKUP(Takeoffs!AF1482,Sheet1!$B$6:$C$124,2,FALSE)</f>
        <v>0</v>
      </c>
      <c r="AH1482" s="146">
        <f t="shared" si="679"/>
        <v>0</v>
      </c>
      <c r="AI1482" s="143">
        <f t="shared" si="680"/>
        <v>0</v>
      </c>
      <c r="AJ1482" s="133">
        <f t="shared" si="681"/>
        <v>1</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379</v>
      </c>
      <c r="L1483" s="128" t="s">
        <v>380</v>
      </c>
      <c r="N1483" s="129"/>
      <c r="O1483" s="130" t="s">
        <v>359</v>
      </c>
      <c r="P1483" s="131">
        <f>V1483+AA1483+AH1483</f>
        <v>410.5</v>
      </c>
      <c r="Q1483" s="131"/>
      <c r="R1483" s="131"/>
      <c r="S1483" s="130"/>
      <c r="T1483" s="127"/>
      <c r="U1483" s="126" t="s">
        <v>353</v>
      </c>
      <c r="V1483" s="127">
        <f>W1483*80</f>
        <v>340</v>
      </c>
      <c r="W1483" s="147">
        <f>SUM(W1462:W1482)</f>
        <v>4.25</v>
      </c>
      <c r="X1483" s="148"/>
      <c r="Y1483" s="127" t="s">
        <v>354</v>
      </c>
      <c r="Z1483" s="116"/>
      <c r="AA1483" s="116">
        <f>SUM(AA1462:AA1482)</f>
        <v>33.9</v>
      </c>
      <c r="AB1483" s="149"/>
      <c r="AC1483" s="149"/>
      <c r="AD1483" s="149"/>
      <c r="AE1483" s="149"/>
      <c r="AF1483" s="127" t="s">
        <v>358</v>
      </c>
      <c r="AG1483" s="116"/>
      <c r="AH1483" s="116">
        <f>SUM(AH1462:AH1482)</f>
        <v>36.599999999999994</v>
      </c>
      <c r="AI1483" s="149"/>
      <c r="AJ1483" s="149"/>
      <c r="AK1483" s="149"/>
      <c r="AL1483" s="149"/>
      <c r="AM1483" s="150">
        <f>P1483</f>
        <v>410.5</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494</v>
      </c>
      <c r="C1484" s="217" t="str">
        <f>N1462</f>
        <v>VRF indoor units with cabling for on/off control from other system/s to unit</v>
      </c>
      <c r="D1484" s="260" t="s">
        <v>681</v>
      </c>
      <c r="E1484" s="238"/>
      <c r="F1484" s="217"/>
      <c r="G1484" s="217"/>
      <c r="H1484" s="245"/>
      <c r="I1484" s="270">
        <v>1</v>
      </c>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one (1)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410.5</v>
      </c>
      <c r="L1484" s="234" t="str">
        <f>CONCATENATE(Q1463,Q1464,Q1465,Q1466,Q1467,Q1468,Q1469,Q1470,Q1471,Q1472,Q1473,Q1474,Q1475,Q1476,Q1477,Q1478,Q1479,Q1480,Q1481,Q1482,)</f>
        <v>proprietary air-conditioning controllers.AC interface card with on/off control contactors.</v>
      </c>
      <c r="M1484" s="166" t="s">
        <v>369</v>
      </c>
      <c r="N1484" s="160" t="str">
        <f>N1462</f>
        <v>VRF indoor units with cabling for on/off control from other system/s to unit</v>
      </c>
      <c r="O1484" s="160" t="s">
        <v>367</v>
      </c>
      <c r="P1484" s="82">
        <f>P1483/M1462</f>
        <v>410.5</v>
      </c>
      <c r="Q1484" s="161"/>
      <c r="R1484" s="161"/>
      <c r="S1484" s="160"/>
      <c r="T1484" s="161"/>
      <c r="U1484" s="327" t="s">
        <v>368</v>
      </c>
      <c r="V1484" s="327"/>
      <c r="W1484" s="162">
        <f>W1483/M1462</f>
        <v>4.25</v>
      </c>
      <c r="X1484" s="163"/>
      <c r="Y1484" s="325" t="s">
        <v>367</v>
      </c>
      <c r="Z1484" s="325"/>
      <c r="AA1484" s="164">
        <f>AA1483/M1462</f>
        <v>33.9</v>
      </c>
      <c r="AB1484" s="161"/>
      <c r="AC1484" s="161"/>
      <c r="AD1484" s="161"/>
      <c r="AE1484" s="161"/>
      <c r="AF1484" s="325" t="s">
        <v>367</v>
      </c>
      <c r="AG1484" s="325"/>
      <c r="AH1484" s="164">
        <f>AH1483/M1462</f>
        <v>36.599999999999994</v>
      </c>
      <c r="AI1484" s="161"/>
      <c r="AJ1484" s="161"/>
      <c r="AK1484" s="161"/>
      <c r="AL1484" s="247"/>
      <c r="AM1484" s="257"/>
      <c r="AN1484" s="236">
        <f>K1484*1.25</f>
        <v>513.125</v>
      </c>
      <c r="AO1484" s="286"/>
      <c r="AP1484" s="284">
        <f t="shared" si="661"/>
        <v>410.5</v>
      </c>
      <c r="AQ1484" s="281">
        <f t="shared" si="662"/>
        <v>340</v>
      </c>
      <c r="AR1484" s="284">
        <f t="shared" si="663"/>
        <v>33.9</v>
      </c>
      <c r="AS1484" s="281">
        <f t="shared" si="664"/>
        <v>36.599999999999994</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454</v>
      </c>
      <c r="M1485" s="116" t="s">
        <v>299</v>
      </c>
      <c r="N1485" s="116" t="s">
        <v>108</v>
      </c>
      <c r="O1485" s="170" t="s">
        <v>388</v>
      </c>
      <c r="P1485" s="326" t="s">
        <v>377</v>
      </c>
      <c r="Q1485" s="326"/>
      <c r="R1485" s="101" t="s">
        <v>454</v>
      </c>
      <c r="S1485" s="116" t="s">
        <v>0</v>
      </c>
      <c r="T1485" s="118"/>
      <c r="U1485" s="116" t="s">
        <v>288</v>
      </c>
      <c r="V1485" s="116" t="s">
        <v>289</v>
      </c>
      <c r="W1485" s="116" t="s">
        <v>292</v>
      </c>
      <c r="X1485" s="140"/>
      <c r="Y1485" s="116" t="s">
        <v>290</v>
      </c>
      <c r="Z1485" s="116" t="s">
        <v>356</v>
      </c>
      <c r="AA1485" s="116" t="s">
        <v>357</v>
      </c>
      <c r="AB1485" s="116" t="s">
        <v>319</v>
      </c>
      <c r="AC1485" s="116" t="s">
        <v>320</v>
      </c>
      <c r="AD1485" s="116" t="s">
        <v>318</v>
      </c>
      <c r="AE1485" s="140"/>
      <c r="AF1485" s="116" t="s">
        <v>294</v>
      </c>
      <c r="AG1485" s="116" t="s">
        <v>356</v>
      </c>
      <c r="AH1485" s="116" t="s">
        <v>357</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one</v>
      </c>
      <c r="M1486" s="121">
        <f>I1508</f>
        <v>1</v>
      </c>
      <c r="N1486" s="132" t="s">
        <v>645</v>
      </c>
      <c r="O1486" s="121" t="s">
        <v>138</v>
      </c>
      <c r="P1486" s="169" t="s">
        <v>381</v>
      </c>
      <c r="Q1486" s="169" t="s">
        <v>377</v>
      </c>
      <c r="R1486" s="169"/>
      <c r="S1486" s="133">
        <f>M1486</f>
        <v>1</v>
      </c>
      <c r="T1486" s="119"/>
      <c r="U1486" s="121" t="s">
        <v>293</v>
      </c>
      <c r="V1486" s="133">
        <f>S1486</f>
        <v>1</v>
      </c>
      <c r="W1486" s="133">
        <f>VLOOKUP(U1486,Sheet1!$B$6:$C$45,2,FALSE)*V1486</f>
        <v>0</v>
      </c>
      <c r="X1486" s="141"/>
      <c r="Y1486" s="121" t="s">
        <v>293</v>
      </c>
      <c r="Z1486" s="146">
        <f>VLOOKUP(Takeoffs!Y1486,Sheet1!$B$6:$C$124,2,FALSE)</f>
        <v>0</v>
      </c>
      <c r="AA1486" s="146">
        <f>Z1486*AB1486</f>
        <v>0</v>
      </c>
      <c r="AB1486" s="143">
        <f>AD1486*AC1486</f>
        <v>1</v>
      </c>
      <c r="AC1486" s="133">
        <f>S1486</f>
        <v>1</v>
      </c>
      <c r="AD1486" s="142">
        <v>1</v>
      </c>
      <c r="AE1486" s="141"/>
      <c r="AF1486" s="121" t="s">
        <v>293</v>
      </c>
      <c r="AG1486" s="146">
        <f>VLOOKUP(Takeoffs!AF1486,Sheet1!$B$6:$C$124,2,FALSE)</f>
        <v>0</v>
      </c>
      <c r="AH1486" s="146">
        <f>AG1486*AI1486</f>
        <v>0</v>
      </c>
      <c r="AI1486" s="143">
        <f>AK1486*AJ1486</f>
        <v>0</v>
      </c>
      <c r="AJ1486" s="133">
        <f>S1486</f>
        <v>1</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428</v>
      </c>
      <c r="P1487" s="121"/>
      <c r="Q1487" s="121"/>
      <c r="R1487" s="121"/>
      <c r="S1487" s="133">
        <f>M1486</f>
        <v>1</v>
      </c>
      <c r="T1487" s="120"/>
      <c r="U1487" s="121" t="s">
        <v>239</v>
      </c>
      <c r="V1487" s="133">
        <f t="shared" ref="V1487:V1506" si="684">S1487</f>
        <v>1</v>
      </c>
      <c r="W1487" s="133">
        <f>VLOOKUP(U1487,Sheet1!$B$6:$C$45,2,FALSE)*V1487</f>
        <v>0.25</v>
      </c>
      <c r="X1487" s="141"/>
      <c r="Y1487" s="121" t="s">
        <v>293</v>
      </c>
      <c r="Z1487" s="146">
        <f>VLOOKUP(Takeoffs!Y1487,Sheet1!$B$6:$C$124,2,FALSE)</f>
        <v>0</v>
      </c>
      <c r="AA1487" s="146">
        <f t="shared" ref="AA1487:AA1506" si="685">Z1487*AB1487</f>
        <v>0</v>
      </c>
      <c r="AB1487" s="143">
        <f t="shared" ref="AB1487:AB1506" si="686">AD1487*AC1487</f>
        <v>1</v>
      </c>
      <c r="AC1487" s="133">
        <f t="shared" ref="AC1487:AC1506" si="687">S1487</f>
        <v>1</v>
      </c>
      <c r="AD1487" s="142">
        <v>1</v>
      </c>
      <c r="AE1487" s="141"/>
      <c r="AF1487" s="122" t="s">
        <v>269</v>
      </c>
      <c r="AG1487" s="146">
        <f>VLOOKUP(Takeoffs!AF1487,Sheet1!$B$6:$C$124,2,FALSE)</f>
        <v>1.056</v>
      </c>
      <c r="AH1487" s="146">
        <f t="shared" ref="AH1487:AH1506" si="688">AG1487*AI1487</f>
        <v>10.56</v>
      </c>
      <c r="AI1487" s="143">
        <f t="shared" ref="AI1487:AI1506" si="689">AK1487*AJ1487</f>
        <v>10</v>
      </c>
      <c r="AJ1487" s="133">
        <f t="shared" ref="AJ1487:AJ1506" si="690">S1487</f>
        <v>1</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395</v>
      </c>
      <c r="P1488" s="121"/>
      <c r="Q1488" s="121"/>
      <c r="R1488" s="121"/>
      <c r="S1488" s="133">
        <f>M1486</f>
        <v>1</v>
      </c>
      <c r="T1488" s="120"/>
      <c r="U1488" s="121" t="s">
        <v>302</v>
      </c>
      <c r="V1488" s="133">
        <f t="shared" si="684"/>
        <v>1</v>
      </c>
      <c r="W1488" s="133">
        <f>VLOOKUP(U1488,Sheet1!$B$6:$C$45,2,FALSE)*V1488</f>
        <v>2.5</v>
      </c>
      <c r="X1488" s="141"/>
      <c r="Y1488" s="122" t="s">
        <v>253</v>
      </c>
      <c r="Z1488" s="146">
        <f>VLOOKUP(Takeoffs!Y1488,Sheet1!$B$6:$C$124,2,FALSE)</f>
        <v>10.139999999999999</v>
      </c>
      <c r="AA1488" s="146">
        <f t="shared" si="685"/>
        <v>10.139999999999999</v>
      </c>
      <c r="AB1488" s="143">
        <f t="shared" si="686"/>
        <v>1</v>
      </c>
      <c r="AC1488" s="133">
        <f t="shared" si="687"/>
        <v>1</v>
      </c>
      <c r="AD1488" s="142">
        <v>1</v>
      </c>
      <c r="AE1488" s="141"/>
      <c r="AF1488" s="122" t="s">
        <v>268</v>
      </c>
      <c r="AG1488" s="146">
        <f>VLOOKUP(Takeoffs!AF1488,Sheet1!$B$6:$C$124,2,FALSE)</f>
        <v>1.02</v>
      </c>
      <c r="AH1488" s="146">
        <f t="shared" si="688"/>
        <v>10.199999999999999</v>
      </c>
      <c r="AI1488" s="143">
        <f t="shared" si="689"/>
        <v>10</v>
      </c>
      <c r="AJ1488" s="133">
        <f t="shared" si="690"/>
        <v>1</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452</v>
      </c>
      <c r="P1489" s="121"/>
      <c r="Q1489" s="121"/>
      <c r="R1489" s="121"/>
      <c r="S1489" s="133">
        <f>M1486</f>
        <v>1</v>
      </c>
      <c r="T1489" s="120"/>
      <c r="U1489" s="121" t="s">
        <v>293</v>
      </c>
      <c r="V1489" s="133">
        <f t="shared" si="684"/>
        <v>1</v>
      </c>
      <c r="W1489" s="133">
        <f>VLOOKUP(U1489,Sheet1!$B$6:$C$45,2,FALSE)*V1489</f>
        <v>0</v>
      </c>
      <c r="X1489" s="141"/>
      <c r="Y1489" s="122" t="s">
        <v>247</v>
      </c>
      <c r="Z1489" s="146">
        <f>VLOOKUP(Takeoffs!Y1489,Sheet1!$B$6:$C$124,2,FALSE)</f>
        <v>23.76</v>
      </c>
      <c r="AA1489" s="146">
        <f t="shared" si="685"/>
        <v>23.76</v>
      </c>
      <c r="AB1489" s="143">
        <f t="shared" si="686"/>
        <v>1</v>
      </c>
      <c r="AC1489" s="133">
        <f t="shared" si="687"/>
        <v>1</v>
      </c>
      <c r="AD1489" s="142">
        <v>1</v>
      </c>
      <c r="AE1489" s="141"/>
      <c r="AF1489" s="121" t="s">
        <v>293</v>
      </c>
      <c r="AG1489" s="146">
        <f>VLOOKUP(Takeoffs!AF1489,Sheet1!$B$6:$C$124,2,FALSE)</f>
        <v>0</v>
      </c>
      <c r="AH1489" s="146">
        <f t="shared" si="688"/>
        <v>0</v>
      </c>
      <c r="AI1489" s="143">
        <f t="shared" si="689"/>
        <v>0</v>
      </c>
      <c r="AJ1489" s="133">
        <f t="shared" si="690"/>
        <v>1</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416</v>
      </c>
      <c r="P1490" s="121" t="s">
        <v>449</v>
      </c>
      <c r="Q1490" s="121" t="s">
        <v>385</v>
      </c>
      <c r="R1490" s="121"/>
      <c r="S1490" s="133">
        <f>M1486</f>
        <v>1</v>
      </c>
      <c r="T1490" s="120"/>
      <c r="U1490" s="121" t="s">
        <v>230</v>
      </c>
      <c r="V1490" s="133">
        <f t="shared" si="684"/>
        <v>1</v>
      </c>
      <c r="W1490" s="133">
        <f>VLOOKUP(U1490,Sheet1!$B$6:$C$45,2,FALSE)*V1490</f>
        <v>0.5</v>
      </c>
      <c r="X1490" s="141"/>
      <c r="Y1490" s="121" t="s">
        <v>293</v>
      </c>
      <c r="Z1490" s="146">
        <f>VLOOKUP(Takeoffs!Y1490,Sheet1!$B$6:$C$124,2,FALSE)</f>
        <v>0</v>
      </c>
      <c r="AA1490" s="146">
        <f t="shared" si="685"/>
        <v>0</v>
      </c>
      <c r="AB1490" s="143">
        <f t="shared" si="686"/>
        <v>1</v>
      </c>
      <c r="AC1490" s="133">
        <f t="shared" si="687"/>
        <v>1</v>
      </c>
      <c r="AD1490" s="142">
        <v>1</v>
      </c>
      <c r="AE1490" s="141"/>
      <c r="AF1490" s="121" t="s">
        <v>293</v>
      </c>
      <c r="AG1490" s="146">
        <f>VLOOKUP(Takeoffs!AF1490,Sheet1!$B$6:$C$124,2,FALSE)</f>
        <v>0</v>
      </c>
      <c r="AH1490" s="146">
        <f t="shared" si="688"/>
        <v>0</v>
      </c>
      <c r="AI1490" s="143">
        <f t="shared" si="689"/>
        <v>0</v>
      </c>
      <c r="AJ1490" s="133">
        <f t="shared" si="690"/>
        <v>1</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643</v>
      </c>
      <c r="P1491" s="121" t="s">
        <v>449</v>
      </c>
      <c r="Q1491" s="121" t="s">
        <v>644</v>
      </c>
      <c r="R1491" s="121"/>
      <c r="S1491" s="133">
        <f>M1486</f>
        <v>1</v>
      </c>
      <c r="T1491" s="120"/>
      <c r="U1491" s="117" t="s">
        <v>365</v>
      </c>
      <c r="V1491" s="133">
        <f t="shared" si="684"/>
        <v>1</v>
      </c>
      <c r="W1491" s="133">
        <f>VLOOKUP(U1491,Sheet1!$B$6:$C$45,2,FALSE)*V1491</f>
        <v>1</v>
      </c>
      <c r="X1491" s="141"/>
      <c r="Y1491" s="121" t="s">
        <v>293</v>
      </c>
      <c r="Z1491" s="146">
        <f>VLOOKUP(Takeoffs!Y1491,Sheet1!$B$6:$C$124,2,FALSE)</f>
        <v>0</v>
      </c>
      <c r="AA1491" s="146">
        <f t="shared" si="685"/>
        <v>0</v>
      </c>
      <c r="AB1491" s="143">
        <f t="shared" si="686"/>
        <v>1</v>
      </c>
      <c r="AC1491" s="133">
        <f t="shared" si="687"/>
        <v>1</v>
      </c>
      <c r="AD1491" s="142">
        <v>1</v>
      </c>
      <c r="AE1491" s="141"/>
      <c r="AF1491" s="122" t="s">
        <v>269</v>
      </c>
      <c r="AG1491" s="146">
        <f>VLOOKUP(Takeoffs!AF1491,Sheet1!$B$6:$C$124,2,FALSE)</f>
        <v>1.056</v>
      </c>
      <c r="AH1491" s="146">
        <f t="shared" si="688"/>
        <v>15.84</v>
      </c>
      <c r="AI1491" s="143">
        <f t="shared" si="689"/>
        <v>15</v>
      </c>
      <c r="AJ1491" s="133">
        <f t="shared" si="690"/>
        <v>1</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1</v>
      </c>
      <c r="T1492" s="120"/>
      <c r="U1492" s="121" t="s">
        <v>293</v>
      </c>
      <c r="V1492" s="133">
        <f t="shared" si="684"/>
        <v>1</v>
      </c>
      <c r="W1492" s="133">
        <f>VLOOKUP(U1492,Sheet1!$B$6:$C$45,2,FALSE)*V1492</f>
        <v>0</v>
      </c>
      <c r="X1492" s="141"/>
      <c r="Y1492" s="121" t="s">
        <v>293</v>
      </c>
      <c r="Z1492" s="146">
        <f>VLOOKUP(Takeoffs!Y1492,Sheet1!$B$6:$C$124,2,FALSE)</f>
        <v>0</v>
      </c>
      <c r="AA1492" s="146">
        <f t="shared" si="685"/>
        <v>0</v>
      </c>
      <c r="AB1492" s="143">
        <f t="shared" si="686"/>
        <v>1</v>
      </c>
      <c r="AC1492" s="133">
        <f t="shared" si="687"/>
        <v>1</v>
      </c>
      <c r="AD1492" s="142">
        <v>1</v>
      </c>
      <c r="AE1492" s="141"/>
      <c r="AF1492" s="121" t="s">
        <v>293</v>
      </c>
      <c r="AG1492" s="146">
        <f>VLOOKUP(Takeoffs!AF1492,Sheet1!$B$6:$C$124,2,FALSE)</f>
        <v>0</v>
      </c>
      <c r="AH1492" s="146">
        <f t="shared" si="688"/>
        <v>0</v>
      </c>
      <c r="AI1492" s="143">
        <f t="shared" si="689"/>
        <v>0</v>
      </c>
      <c r="AJ1492" s="133">
        <f t="shared" si="690"/>
        <v>1</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1</v>
      </c>
      <c r="T1493" s="120"/>
      <c r="U1493" s="121" t="s">
        <v>293</v>
      </c>
      <c r="V1493" s="133">
        <f t="shared" si="684"/>
        <v>1</v>
      </c>
      <c r="W1493" s="133">
        <f>VLOOKUP(U1493,Sheet1!$B$6:$C$45,2,FALSE)*V1493</f>
        <v>0</v>
      </c>
      <c r="X1493" s="141"/>
      <c r="Y1493" s="121" t="s">
        <v>293</v>
      </c>
      <c r="Z1493" s="146">
        <f>VLOOKUP(Takeoffs!Y1493,Sheet1!$B$6:$C$124,2,FALSE)</f>
        <v>0</v>
      </c>
      <c r="AA1493" s="146">
        <f t="shared" si="685"/>
        <v>0</v>
      </c>
      <c r="AB1493" s="143">
        <f t="shared" si="686"/>
        <v>1</v>
      </c>
      <c r="AC1493" s="133">
        <f t="shared" si="687"/>
        <v>1</v>
      </c>
      <c r="AD1493" s="142">
        <v>1</v>
      </c>
      <c r="AE1493" s="141"/>
      <c r="AF1493" s="121" t="s">
        <v>293</v>
      </c>
      <c r="AG1493" s="146">
        <f>VLOOKUP(Takeoffs!AF1493,Sheet1!$B$6:$C$124,2,FALSE)</f>
        <v>0</v>
      </c>
      <c r="AH1493" s="146">
        <f t="shared" si="688"/>
        <v>0</v>
      </c>
      <c r="AI1493" s="143">
        <f t="shared" si="689"/>
        <v>0</v>
      </c>
      <c r="AJ1493" s="133">
        <f t="shared" si="690"/>
        <v>1</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1</v>
      </c>
      <c r="T1494" s="120"/>
      <c r="U1494" s="121" t="s">
        <v>293</v>
      </c>
      <c r="V1494" s="133">
        <f t="shared" si="684"/>
        <v>1</v>
      </c>
      <c r="W1494" s="133">
        <f>VLOOKUP(U1494,Sheet1!$B$6:$C$45,2,FALSE)*V1494</f>
        <v>0</v>
      </c>
      <c r="X1494" s="141"/>
      <c r="Y1494" s="121" t="s">
        <v>293</v>
      </c>
      <c r="Z1494" s="146">
        <f>VLOOKUP(Takeoffs!Y1494,Sheet1!$B$6:$C$124,2,FALSE)</f>
        <v>0</v>
      </c>
      <c r="AA1494" s="146">
        <f t="shared" si="685"/>
        <v>0</v>
      </c>
      <c r="AB1494" s="143">
        <f t="shared" si="686"/>
        <v>1</v>
      </c>
      <c r="AC1494" s="133">
        <f t="shared" si="687"/>
        <v>1</v>
      </c>
      <c r="AD1494" s="142">
        <v>1</v>
      </c>
      <c r="AE1494" s="141"/>
      <c r="AF1494" s="121" t="s">
        <v>293</v>
      </c>
      <c r="AG1494" s="146">
        <f>VLOOKUP(Takeoffs!AF1494,Sheet1!$B$6:$C$124,2,FALSE)</f>
        <v>0</v>
      </c>
      <c r="AH1494" s="146">
        <f t="shared" si="688"/>
        <v>0</v>
      </c>
      <c r="AI1494" s="143">
        <f t="shared" si="689"/>
        <v>0</v>
      </c>
      <c r="AJ1494" s="133">
        <f t="shared" si="690"/>
        <v>1</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1</v>
      </c>
      <c r="T1495" s="120"/>
      <c r="U1495" s="121" t="s">
        <v>293</v>
      </c>
      <c r="V1495" s="133">
        <f t="shared" si="684"/>
        <v>1</v>
      </c>
      <c r="W1495" s="133">
        <f>VLOOKUP(U1495,Sheet1!$B$6:$C$45,2,FALSE)*V1495</f>
        <v>0</v>
      </c>
      <c r="X1495" s="141"/>
      <c r="Y1495" s="121" t="s">
        <v>293</v>
      </c>
      <c r="Z1495" s="146">
        <f>VLOOKUP(Takeoffs!Y1495,Sheet1!$B$6:$C$124,2,FALSE)</f>
        <v>0</v>
      </c>
      <c r="AA1495" s="146">
        <f t="shared" si="685"/>
        <v>0</v>
      </c>
      <c r="AB1495" s="143">
        <f t="shared" si="686"/>
        <v>1</v>
      </c>
      <c r="AC1495" s="133">
        <f t="shared" si="687"/>
        <v>1</v>
      </c>
      <c r="AD1495" s="142">
        <v>1</v>
      </c>
      <c r="AE1495" s="141"/>
      <c r="AF1495" s="121" t="s">
        <v>293</v>
      </c>
      <c r="AG1495" s="146">
        <f>VLOOKUP(Takeoffs!AF1495,Sheet1!$B$6:$C$124,2,FALSE)</f>
        <v>0</v>
      </c>
      <c r="AH1495" s="146">
        <f t="shared" si="688"/>
        <v>0</v>
      </c>
      <c r="AI1495" s="143">
        <f t="shared" si="689"/>
        <v>0</v>
      </c>
      <c r="AJ1495" s="133">
        <f t="shared" si="690"/>
        <v>1</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1</v>
      </c>
      <c r="T1496" s="120"/>
      <c r="U1496" s="121" t="s">
        <v>293</v>
      </c>
      <c r="V1496" s="133">
        <f t="shared" si="684"/>
        <v>1</v>
      </c>
      <c r="W1496" s="133">
        <f>VLOOKUP(U1496,Sheet1!$B$6:$C$45,2,FALSE)*V1496</f>
        <v>0</v>
      </c>
      <c r="X1496" s="141"/>
      <c r="Y1496" s="121" t="s">
        <v>293</v>
      </c>
      <c r="Z1496" s="146">
        <f>VLOOKUP(Takeoffs!Y1496,Sheet1!$B$6:$C$124,2,FALSE)</f>
        <v>0</v>
      </c>
      <c r="AA1496" s="146">
        <f t="shared" si="685"/>
        <v>0</v>
      </c>
      <c r="AB1496" s="143">
        <f t="shared" si="686"/>
        <v>1</v>
      </c>
      <c r="AC1496" s="133">
        <f t="shared" si="687"/>
        <v>1</v>
      </c>
      <c r="AD1496" s="142">
        <v>1</v>
      </c>
      <c r="AE1496" s="141"/>
      <c r="AF1496" s="121" t="s">
        <v>293</v>
      </c>
      <c r="AG1496" s="146">
        <f>VLOOKUP(Takeoffs!AF1496,Sheet1!$B$6:$C$124,2,FALSE)</f>
        <v>0</v>
      </c>
      <c r="AH1496" s="146">
        <f t="shared" si="688"/>
        <v>0</v>
      </c>
      <c r="AI1496" s="143">
        <f t="shared" si="689"/>
        <v>0</v>
      </c>
      <c r="AJ1496" s="133">
        <f t="shared" si="690"/>
        <v>1</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1</v>
      </c>
      <c r="T1497" s="120"/>
      <c r="U1497" s="121" t="s">
        <v>293</v>
      </c>
      <c r="V1497" s="133">
        <f t="shared" si="684"/>
        <v>1</v>
      </c>
      <c r="W1497" s="133">
        <f>VLOOKUP(U1497,Sheet1!$B$6:$C$45,2,FALSE)*V1497</f>
        <v>0</v>
      </c>
      <c r="X1497" s="141"/>
      <c r="Y1497" s="121" t="s">
        <v>293</v>
      </c>
      <c r="Z1497" s="146">
        <f>VLOOKUP(Takeoffs!Y1497,Sheet1!$B$6:$C$124,2,FALSE)</f>
        <v>0</v>
      </c>
      <c r="AA1497" s="146">
        <f t="shared" si="685"/>
        <v>0</v>
      </c>
      <c r="AB1497" s="143">
        <f t="shared" si="686"/>
        <v>1</v>
      </c>
      <c r="AC1497" s="133">
        <f t="shared" si="687"/>
        <v>1</v>
      </c>
      <c r="AD1497" s="142">
        <v>1</v>
      </c>
      <c r="AE1497" s="141"/>
      <c r="AF1497" s="121" t="s">
        <v>293</v>
      </c>
      <c r="AG1497" s="146">
        <f>VLOOKUP(Takeoffs!AF1497,Sheet1!$B$6:$C$124,2,FALSE)</f>
        <v>0</v>
      </c>
      <c r="AH1497" s="146">
        <f t="shared" si="688"/>
        <v>0</v>
      </c>
      <c r="AI1497" s="143">
        <f t="shared" si="689"/>
        <v>0</v>
      </c>
      <c r="AJ1497" s="133">
        <f t="shared" si="690"/>
        <v>1</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1</v>
      </c>
      <c r="T1498" s="120"/>
      <c r="U1498" s="121" t="s">
        <v>293</v>
      </c>
      <c r="V1498" s="133">
        <f t="shared" si="684"/>
        <v>1</v>
      </c>
      <c r="W1498" s="133">
        <f>VLOOKUP(U1498,Sheet1!$B$6:$C$45,2,FALSE)*V1498</f>
        <v>0</v>
      </c>
      <c r="X1498" s="141"/>
      <c r="Y1498" s="121" t="s">
        <v>293</v>
      </c>
      <c r="Z1498" s="146">
        <f>VLOOKUP(Takeoffs!Y1498,Sheet1!$B$6:$C$124,2,FALSE)</f>
        <v>0</v>
      </c>
      <c r="AA1498" s="146">
        <f t="shared" si="685"/>
        <v>0</v>
      </c>
      <c r="AB1498" s="143">
        <f t="shared" si="686"/>
        <v>1</v>
      </c>
      <c r="AC1498" s="133">
        <f t="shared" si="687"/>
        <v>1</v>
      </c>
      <c r="AD1498" s="142">
        <v>1</v>
      </c>
      <c r="AE1498" s="141"/>
      <c r="AF1498" s="121" t="s">
        <v>293</v>
      </c>
      <c r="AG1498" s="146">
        <f>VLOOKUP(Takeoffs!AF1498,Sheet1!$B$6:$C$124,2,FALSE)</f>
        <v>0</v>
      </c>
      <c r="AH1498" s="146">
        <f t="shared" si="688"/>
        <v>0</v>
      </c>
      <c r="AI1498" s="143">
        <f t="shared" si="689"/>
        <v>0</v>
      </c>
      <c r="AJ1498" s="133">
        <f t="shared" si="690"/>
        <v>1</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1</v>
      </c>
      <c r="T1499" s="120"/>
      <c r="U1499" s="121" t="s">
        <v>293</v>
      </c>
      <c r="V1499" s="133">
        <f t="shared" si="684"/>
        <v>1</v>
      </c>
      <c r="W1499" s="133">
        <f>VLOOKUP(U1499,Sheet1!$B$6:$C$45,2,FALSE)*V1499</f>
        <v>0</v>
      </c>
      <c r="X1499" s="141"/>
      <c r="Y1499" s="121" t="s">
        <v>293</v>
      </c>
      <c r="Z1499" s="146">
        <f>VLOOKUP(Takeoffs!Y1499,Sheet1!$B$6:$C$124,2,FALSE)</f>
        <v>0</v>
      </c>
      <c r="AA1499" s="146">
        <f t="shared" si="685"/>
        <v>0</v>
      </c>
      <c r="AB1499" s="143">
        <f t="shared" si="686"/>
        <v>1</v>
      </c>
      <c r="AC1499" s="133">
        <f t="shared" si="687"/>
        <v>1</v>
      </c>
      <c r="AD1499" s="142">
        <v>1</v>
      </c>
      <c r="AE1499" s="141"/>
      <c r="AF1499" s="121" t="s">
        <v>293</v>
      </c>
      <c r="AG1499" s="146">
        <f>VLOOKUP(Takeoffs!AF1499,Sheet1!$B$6:$C$124,2,FALSE)</f>
        <v>0</v>
      </c>
      <c r="AH1499" s="146">
        <f t="shared" si="688"/>
        <v>0</v>
      </c>
      <c r="AI1499" s="143">
        <f t="shared" si="689"/>
        <v>0</v>
      </c>
      <c r="AJ1499" s="133">
        <f t="shared" si="690"/>
        <v>1</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1</v>
      </c>
      <c r="T1500" s="120"/>
      <c r="U1500" s="121" t="s">
        <v>293</v>
      </c>
      <c r="V1500" s="133">
        <f t="shared" si="684"/>
        <v>1</v>
      </c>
      <c r="W1500" s="133">
        <f>VLOOKUP(U1500,Sheet1!$B$6:$C$45,2,FALSE)*V1500</f>
        <v>0</v>
      </c>
      <c r="X1500" s="141"/>
      <c r="Y1500" s="121" t="s">
        <v>293</v>
      </c>
      <c r="Z1500" s="146">
        <f>VLOOKUP(Takeoffs!Y1500,Sheet1!$B$6:$C$124,2,FALSE)</f>
        <v>0</v>
      </c>
      <c r="AA1500" s="146">
        <f t="shared" si="685"/>
        <v>0</v>
      </c>
      <c r="AB1500" s="143">
        <f t="shared" si="686"/>
        <v>1</v>
      </c>
      <c r="AC1500" s="133">
        <f t="shared" si="687"/>
        <v>1</v>
      </c>
      <c r="AD1500" s="142">
        <v>1</v>
      </c>
      <c r="AE1500" s="141"/>
      <c r="AF1500" s="121" t="s">
        <v>293</v>
      </c>
      <c r="AG1500" s="146">
        <f>VLOOKUP(Takeoffs!AF1500,Sheet1!$B$6:$C$124,2,FALSE)</f>
        <v>0</v>
      </c>
      <c r="AH1500" s="146">
        <f t="shared" si="688"/>
        <v>0</v>
      </c>
      <c r="AI1500" s="143">
        <f t="shared" si="689"/>
        <v>0</v>
      </c>
      <c r="AJ1500" s="133">
        <f t="shared" si="690"/>
        <v>1</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1</v>
      </c>
      <c r="T1501" s="120"/>
      <c r="U1501" s="121" t="s">
        <v>293</v>
      </c>
      <c r="V1501" s="133">
        <f t="shared" si="684"/>
        <v>1</v>
      </c>
      <c r="W1501" s="133">
        <f>VLOOKUP(U1501,Sheet1!$B$6:$C$45,2,FALSE)*V1501</f>
        <v>0</v>
      </c>
      <c r="X1501" s="141"/>
      <c r="Y1501" s="121" t="s">
        <v>293</v>
      </c>
      <c r="Z1501" s="146">
        <f>VLOOKUP(Takeoffs!Y1501,Sheet1!$B$6:$C$124,2,FALSE)</f>
        <v>0</v>
      </c>
      <c r="AA1501" s="146">
        <f t="shared" si="685"/>
        <v>0</v>
      </c>
      <c r="AB1501" s="143">
        <f t="shared" si="686"/>
        <v>1</v>
      </c>
      <c r="AC1501" s="133">
        <f t="shared" si="687"/>
        <v>1</v>
      </c>
      <c r="AD1501" s="142">
        <v>1</v>
      </c>
      <c r="AE1501" s="141"/>
      <c r="AF1501" s="121" t="s">
        <v>293</v>
      </c>
      <c r="AG1501" s="146">
        <f>VLOOKUP(Takeoffs!AF1501,Sheet1!$B$6:$C$124,2,FALSE)</f>
        <v>0</v>
      </c>
      <c r="AH1501" s="146">
        <f t="shared" si="688"/>
        <v>0</v>
      </c>
      <c r="AI1501" s="143">
        <f t="shared" si="689"/>
        <v>0</v>
      </c>
      <c r="AJ1501" s="133">
        <f t="shared" si="690"/>
        <v>1</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1</v>
      </c>
      <c r="T1502" s="120"/>
      <c r="U1502" s="121" t="s">
        <v>293</v>
      </c>
      <c r="V1502" s="133">
        <f t="shared" si="684"/>
        <v>1</v>
      </c>
      <c r="W1502" s="133">
        <f>VLOOKUP(U1502,Sheet1!$B$6:$C$45,2,FALSE)*V1502</f>
        <v>0</v>
      </c>
      <c r="X1502" s="141"/>
      <c r="Y1502" s="121" t="s">
        <v>293</v>
      </c>
      <c r="Z1502" s="146">
        <f>VLOOKUP(Takeoffs!Y1502,Sheet1!$B$6:$C$124,2,FALSE)</f>
        <v>0</v>
      </c>
      <c r="AA1502" s="146">
        <f t="shared" si="685"/>
        <v>0</v>
      </c>
      <c r="AB1502" s="143">
        <f t="shared" si="686"/>
        <v>1</v>
      </c>
      <c r="AC1502" s="133">
        <f t="shared" si="687"/>
        <v>1</v>
      </c>
      <c r="AD1502" s="142">
        <v>1</v>
      </c>
      <c r="AE1502" s="141"/>
      <c r="AF1502" s="121" t="s">
        <v>293</v>
      </c>
      <c r="AG1502" s="146">
        <f>VLOOKUP(Takeoffs!AF1502,Sheet1!$B$6:$C$124,2,FALSE)</f>
        <v>0</v>
      </c>
      <c r="AH1502" s="146">
        <f t="shared" si="688"/>
        <v>0</v>
      </c>
      <c r="AI1502" s="143">
        <f t="shared" si="689"/>
        <v>0</v>
      </c>
      <c r="AJ1502" s="133">
        <f t="shared" si="690"/>
        <v>1</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1</v>
      </c>
      <c r="T1503" s="120"/>
      <c r="U1503" s="121" t="s">
        <v>293</v>
      </c>
      <c r="V1503" s="133">
        <f t="shared" si="684"/>
        <v>1</v>
      </c>
      <c r="W1503" s="133">
        <f>VLOOKUP(U1503,Sheet1!$B$6:$C$45,2,FALSE)*V1503</f>
        <v>0</v>
      </c>
      <c r="X1503" s="141"/>
      <c r="Y1503" s="121" t="s">
        <v>293</v>
      </c>
      <c r="Z1503" s="146">
        <f>VLOOKUP(Takeoffs!Y1503,Sheet1!$B$6:$C$124,2,FALSE)</f>
        <v>0</v>
      </c>
      <c r="AA1503" s="146">
        <f t="shared" si="685"/>
        <v>0</v>
      </c>
      <c r="AB1503" s="143">
        <f t="shared" si="686"/>
        <v>1</v>
      </c>
      <c r="AC1503" s="133">
        <f t="shared" si="687"/>
        <v>1</v>
      </c>
      <c r="AD1503" s="142">
        <v>1</v>
      </c>
      <c r="AE1503" s="141"/>
      <c r="AF1503" s="121" t="s">
        <v>293</v>
      </c>
      <c r="AG1503" s="146">
        <f>VLOOKUP(Takeoffs!AF1503,Sheet1!$B$6:$C$124,2,FALSE)</f>
        <v>0</v>
      </c>
      <c r="AH1503" s="146">
        <f t="shared" si="688"/>
        <v>0</v>
      </c>
      <c r="AI1503" s="143">
        <f t="shared" si="689"/>
        <v>0</v>
      </c>
      <c r="AJ1503" s="133">
        <f t="shared" si="690"/>
        <v>1</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1</v>
      </c>
      <c r="T1504" s="120"/>
      <c r="U1504" s="121" t="s">
        <v>293</v>
      </c>
      <c r="V1504" s="133">
        <f t="shared" si="684"/>
        <v>1</v>
      </c>
      <c r="W1504" s="133">
        <f>VLOOKUP(U1504,Sheet1!$B$6:$C$45,2,FALSE)*V1504</f>
        <v>0</v>
      </c>
      <c r="X1504" s="141"/>
      <c r="Y1504" s="121" t="s">
        <v>293</v>
      </c>
      <c r="Z1504" s="146">
        <f>VLOOKUP(Takeoffs!Y1504,Sheet1!$B$6:$C$124,2,FALSE)</f>
        <v>0</v>
      </c>
      <c r="AA1504" s="146">
        <f t="shared" si="685"/>
        <v>0</v>
      </c>
      <c r="AB1504" s="143">
        <f t="shared" si="686"/>
        <v>1</v>
      </c>
      <c r="AC1504" s="133">
        <f t="shared" si="687"/>
        <v>1</v>
      </c>
      <c r="AD1504" s="142">
        <v>1</v>
      </c>
      <c r="AE1504" s="141"/>
      <c r="AF1504" s="121" t="s">
        <v>293</v>
      </c>
      <c r="AG1504" s="146">
        <f>VLOOKUP(Takeoffs!AF1504,Sheet1!$B$6:$C$124,2,FALSE)</f>
        <v>0</v>
      </c>
      <c r="AH1504" s="146">
        <f t="shared" si="688"/>
        <v>0</v>
      </c>
      <c r="AI1504" s="143">
        <f t="shared" si="689"/>
        <v>0</v>
      </c>
      <c r="AJ1504" s="133">
        <f t="shared" si="690"/>
        <v>1</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1</v>
      </c>
      <c r="T1505" s="120"/>
      <c r="U1505" s="121" t="s">
        <v>293</v>
      </c>
      <c r="V1505" s="133">
        <f t="shared" si="684"/>
        <v>1</v>
      </c>
      <c r="W1505" s="133">
        <f>VLOOKUP(U1505,Sheet1!$B$6:$C$45,2,FALSE)*V1505</f>
        <v>0</v>
      </c>
      <c r="X1505" s="141"/>
      <c r="Y1505" s="121" t="s">
        <v>293</v>
      </c>
      <c r="Z1505" s="146">
        <f>VLOOKUP(Takeoffs!Y1505,Sheet1!$B$6:$C$124,2,FALSE)</f>
        <v>0</v>
      </c>
      <c r="AA1505" s="146">
        <f t="shared" si="685"/>
        <v>0</v>
      </c>
      <c r="AB1505" s="143">
        <f t="shared" si="686"/>
        <v>1</v>
      </c>
      <c r="AC1505" s="133">
        <f t="shared" si="687"/>
        <v>1</v>
      </c>
      <c r="AD1505" s="142">
        <v>1</v>
      </c>
      <c r="AE1505" s="141"/>
      <c r="AF1505" s="121" t="s">
        <v>293</v>
      </c>
      <c r="AG1505" s="146">
        <f>VLOOKUP(Takeoffs!AF1505,Sheet1!$B$6:$C$124,2,FALSE)</f>
        <v>0</v>
      </c>
      <c r="AH1505" s="146">
        <f t="shared" si="688"/>
        <v>0</v>
      </c>
      <c r="AI1505" s="143">
        <f t="shared" si="689"/>
        <v>0</v>
      </c>
      <c r="AJ1505" s="133">
        <f t="shared" si="690"/>
        <v>1</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1</v>
      </c>
      <c r="T1506" s="120"/>
      <c r="U1506" s="121" t="s">
        <v>293</v>
      </c>
      <c r="V1506" s="133">
        <f t="shared" si="684"/>
        <v>1</v>
      </c>
      <c r="W1506" s="133">
        <f>VLOOKUP(U1506,Sheet1!$B$6:$C$45,2,FALSE)*V1506</f>
        <v>0</v>
      </c>
      <c r="X1506" s="141"/>
      <c r="Y1506" s="121" t="s">
        <v>293</v>
      </c>
      <c r="Z1506" s="146">
        <f>VLOOKUP(Takeoffs!Y1506,Sheet1!$B$6:$C$124,2,FALSE)</f>
        <v>0</v>
      </c>
      <c r="AA1506" s="146">
        <f t="shared" si="685"/>
        <v>0</v>
      </c>
      <c r="AB1506" s="143">
        <f t="shared" si="686"/>
        <v>1</v>
      </c>
      <c r="AC1506" s="133">
        <f t="shared" si="687"/>
        <v>1</v>
      </c>
      <c r="AD1506" s="142">
        <v>1</v>
      </c>
      <c r="AE1506" s="141"/>
      <c r="AF1506" s="121" t="s">
        <v>293</v>
      </c>
      <c r="AG1506" s="146">
        <f>VLOOKUP(Takeoffs!AF1506,Sheet1!$B$6:$C$124,2,FALSE)</f>
        <v>0</v>
      </c>
      <c r="AH1506" s="146">
        <f t="shared" si="688"/>
        <v>0</v>
      </c>
      <c r="AI1506" s="143">
        <f t="shared" si="689"/>
        <v>0</v>
      </c>
      <c r="AJ1506" s="133">
        <f t="shared" si="690"/>
        <v>1</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379</v>
      </c>
      <c r="L1507" s="128" t="s">
        <v>380</v>
      </c>
      <c r="N1507" s="129"/>
      <c r="O1507" s="130" t="s">
        <v>359</v>
      </c>
      <c r="P1507" s="131">
        <f>V1507+AA1507+AH1507</f>
        <v>410.5</v>
      </c>
      <c r="Q1507" s="131"/>
      <c r="R1507" s="131"/>
      <c r="S1507" s="130"/>
      <c r="T1507" s="127"/>
      <c r="U1507" s="126" t="s">
        <v>353</v>
      </c>
      <c r="V1507" s="127">
        <f>W1507*80</f>
        <v>340</v>
      </c>
      <c r="W1507" s="147">
        <f>SUM(W1486:W1506)</f>
        <v>4.25</v>
      </c>
      <c r="X1507" s="148"/>
      <c r="Y1507" s="127" t="s">
        <v>354</v>
      </c>
      <c r="Z1507" s="116"/>
      <c r="AA1507" s="116">
        <f>SUM(AA1486:AA1506)</f>
        <v>33.9</v>
      </c>
      <c r="AB1507" s="149"/>
      <c r="AC1507" s="149"/>
      <c r="AD1507" s="149"/>
      <c r="AE1507" s="149"/>
      <c r="AF1507" s="127" t="s">
        <v>358</v>
      </c>
      <c r="AG1507" s="116"/>
      <c r="AH1507" s="116">
        <f>SUM(AH1486:AH1506)</f>
        <v>36.599999999999994</v>
      </c>
      <c r="AI1507" s="149"/>
      <c r="AJ1507" s="149"/>
      <c r="AK1507" s="149"/>
      <c r="AL1507" s="149"/>
      <c r="AM1507" s="150">
        <f>P1507</f>
        <v>410.5</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494</v>
      </c>
      <c r="C1508" s="217" t="str">
        <f>N1486</f>
        <v>VRF indoor units with cabling for run status from unit to other system/s</v>
      </c>
      <c r="D1508" s="260" t="s">
        <v>681</v>
      </c>
      <c r="E1508" s="238"/>
      <c r="F1508" s="217"/>
      <c r="G1508" s="217"/>
      <c r="H1508" s="245"/>
      <c r="I1508" s="270">
        <v>1</v>
      </c>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one (1)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410.5</v>
      </c>
      <c r="L1508" s="234" t="str">
        <f>CONCATENATE(Q1487,Q1488,Q1489,Q1490,Q1491,Q1492,Q1493,Q1494,Q1495,Q1496,Q1497,Q1498,Q1499,Q1500,Q1501,Q1502,Q1503,Q1504,Q1505,Q1506,)</f>
        <v>proprietary air-conditioning controllers.AC interface card with system status contactors.</v>
      </c>
      <c r="M1508" s="166" t="s">
        <v>369</v>
      </c>
      <c r="N1508" s="160" t="str">
        <f>N1486</f>
        <v>VRF indoor units with cabling for run status from unit to other system/s</v>
      </c>
      <c r="O1508" s="160" t="s">
        <v>367</v>
      </c>
      <c r="P1508" s="82">
        <f>P1507/M1486</f>
        <v>410.5</v>
      </c>
      <c r="Q1508" s="161"/>
      <c r="R1508" s="161"/>
      <c r="S1508" s="160"/>
      <c r="T1508" s="161"/>
      <c r="U1508" s="327" t="s">
        <v>368</v>
      </c>
      <c r="V1508" s="327"/>
      <c r="W1508" s="162">
        <f>W1507/M1486</f>
        <v>4.25</v>
      </c>
      <c r="X1508" s="163"/>
      <c r="Y1508" s="325" t="s">
        <v>367</v>
      </c>
      <c r="Z1508" s="325"/>
      <c r="AA1508" s="164">
        <f>AA1507/M1486</f>
        <v>33.9</v>
      </c>
      <c r="AB1508" s="161"/>
      <c r="AC1508" s="161"/>
      <c r="AD1508" s="161"/>
      <c r="AE1508" s="161"/>
      <c r="AF1508" s="325" t="s">
        <v>367</v>
      </c>
      <c r="AG1508" s="325"/>
      <c r="AH1508" s="164">
        <f>AH1507/M1486</f>
        <v>36.599999999999994</v>
      </c>
      <c r="AI1508" s="161"/>
      <c r="AJ1508" s="161"/>
      <c r="AK1508" s="161"/>
      <c r="AL1508" s="247"/>
      <c r="AM1508" s="257"/>
      <c r="AN1508" s="236">
        <f>K1508*1.25</f>
        <v>513.125</v>
      </c>
      <c r="AO1508" s="286"/>
      <c r="AP1508" s="284">
        <f t="shared" si="693"/>
        <v>410.5</v>
      </c>
      <c r="AQ1508" s="281">
        <f t="shared" si="694"/>
        <v>340</v>
      </c>
      <c r="AR1508" s="284">
        <f t="shared" si="695"/>
        <v>33.9</v>
      </c>
      <c r="AS1508" s="281">
        <f t="shared" si="696"/>
        <v>36.599999999999994</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454</v>
      </c>
      <c r="M1509" s="2" t="s">
        <v>299</v>
      </c>
      <c r="N1509" s="2" t="s">
        <v>108</v>
      </c>
      <c r="O1509" s="97" t="s">
        <v>388</v>
      </c>
      <c r="P1509" s="326" t="s">
        <v>377</v>
      </c>
      <c r="Q1509" s="326"/>
      <c r="R1509" s="101" t="s">
        <v>454</v>
      </c>
      <c r="S1509" s="2" t="s">
        <v>0</v>
      </c>
      <c r="T1509" s="9"/>
      <c r="U1509" s="2" t="s">
        <v>288</v>
      </c>
      <c r="V1509" s="2" t="s">
        <v>289</v>
      </c>
      <c r="W1509" s="2" t="s">
        <v>292</v>
      </c>
      <c r="X1509" s="58"/>
      <c r="Y1509" s="2" t="s">
        <v>290</v>
      </c>
      <c r="Z1509" s="2" t="s">
        <v>356</v>
      </c>
      <c r="AA1509" s="2" t="s">
        <v>357</v>
      </c>
      <c r="AB1509" s="2" t="s">
        <v>319</v>
      </c>
      <c r="AC1509" s="2" t="s">
        <v>320</v>
      </c>
      <c r="AD1509" s="2" t="s">
        <v>318</v>
      </c>
      <c r="AE1509" s="58"/>
      <c r="AF1509" s="2" t="s">
        <v>294</v>
      </c>
      <c r="AG1509" s="2" t="s">
        <v>356</v>
      </c>
      <c r="AH1509" s="2" t="s">
        <v>357</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one</v>
      </c>
      <c r="M1510" s="121">
        <f>I1532</f>
        <v>1</v>
      </c>
      <c r="N1510" s="27" t="s">
        <v>639</v>
      </c>
      <c r="O1510" s="12" t="s">
        <v>138</v>
      </c>
      <c r="P1510" s="96" t="s">
        <v>381</v>
      </c>
      <c r="Q1510" s="96" t="s">
        <v>377</v>
      </c>
      <c r="R1510" s="96"/>
      <c r="S1510" s="28">
        <f>M1510</f>
        <v>1</v>
      </c>
      <c r="T1510" s="10"/>
      <c r="U1510" s="12" t="s">
        <v>293</v>
      </c>
      <c r="V1510" s="28">
        <f>S1510</f>
        <v>1</v>
      </c>
      <c r="W1510" s="28">
        <f>VLOOKUP(U1510,Sheet1!$B$6:$C$45,2,FALSE)*V1510</f>
        <v>0</v>
      </c>
      <c r="X1510" s="59"/>
      <c r="Y1510" s="12" t="s">
        <v>293</v>
      </c>
      <c r="Z1510" s="68">
        <f>VLOOKUP(Takeoffs!Y1510,Sheet1!$B$6:$C$124,2,FALSE)</f>
        <v>0</v>
      </c>
      <c r="AA1510" s="68">
        <f>Z1510*AB1510</f>
        <v>0</v>
      </c>
      <c r="AB1510" s="63">
        <f>AD1510*AC1510</f>
        <v>1</v>
      </c>
      <c r="AC1510" s="28">
        <f>S1510</f>
        <v>1</v>
      </c>
      <c r="AD1510" s="61">
        <v>1</v>
      </c>
      <c r="AE1510" s="59"/>
      <c r="AF1510" s="12" t="s">
        <v>293</v>
      </c>
      <c r="AG1510" s="68">
        <f>VLOOKUP(Takeoffs!AF1510,Sheet1!$B$6:$C$124,2,FALSE)</f>
        <v>0</v>
      </c>
      <c r="AH1510" s="68">
        <f>AG1510*AI1510</f>
        <v>0</v>
      </c>
      <c r="AI1510" s="63">
        <f>AK1510*AJ1510</f>
        <v>0</v>
      </c>
      <c r="AJ1510" s="28">
        <f>S1510</f>
        <v>1</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1</v>
      </c>
      <c r="T1511" s="11"/>
      <c r="U1511" s="12" t="s">
        <v>239</v>
      </c>
      <c r="V1511" s="28">
        <f t="shared" ref="V1511:V1530" si="698">S1511</f>
        <v>1</v>
      </c>
      <c r="W1511" s="28">
        <f>VLOOKUP(U1511,Sheet1!$B$6:$C$45,2,FALSE)*V1511</f>
        <v>0.25</v>
      </c>
      <c r="X1511" s="59"/>
      <c r="Y1511" s="12" t="s">
        <v>293</v>
      </c>
      <c r="Z1511" s="68">
        <f>VLOOKUP(Takeoffs!Y1511,Sheet1!$B$6:$C$124,2,FALSE)</f>
        <v>0</v>
      </c>
      <c r="AA1511" s="68">
        <f t="shared" ref="AA1511:AA1530" si="699">Z1511*AB1511</f>
        <v>0</v>
      </c>
      <c r="AB1511" s="63">
        <f t="shared" ref="AB1511:AB1530" si="700">AD1511*AC1511</f>
        <v>1</v>
      </c>
      <c r="AC1511" s="28">
        <f>S1511</f>
        <v>1</v>
      </c>
      <c r="AD1511" s="61">
        <v>1</v>
      </c>
      <c r="AE1511" s="59"/>
      <c r="AF1511" s="13" t="s">
        <v>269</v>
      </c>
      <c r="AG1511" s="68">
        <f>VLOOKUP(Takeoffs!AF1511,Sheet1!$B$6:$C$124,2,FALSE)</f>
        <v>1.056</v>
      </c>
      <c r="AH1511" s="68">
        <f t="shared" ref="AH1511:AH1530" si="701">AG1511*AI1511</f>
        <v>10.56</v>
      </c>
      <c r="AI1511" s="63">
        <f t="shared" ref="AI1511:AI1530" si="702">AK1511*AJ1511</f>
        <v>10</v>
      </c>
      <c r="AJ1511" s="28">
        <f t="shared" ref="AJ1511:AJ1530" si="703">S1511</f>
        <v>1</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395</v>
      </c>
      <c r="P1512" s="12"/>
      <c r="Q1512" s="12"/>
      <c r="R1512" s="12"/>
      <c r="S1512" s="28">
        <f>M1510</f>
        <v>1</v>
      </c>
      <c r="T1512" s="11"/>
      <c r="U1512" s="12" t="s">
        <v>302</v>
      </c>
      <c r="V1512" s="28">
        <f t="shared" si="698"/>
        <v>1</v>
      </c>
      <c r="W1512" s="28">
        <f>VLOOKUP(U1512,Sheet1!$B$6:$C$45,2,FALSE)*V1512</f>
        <v>2.5</v>
      </c>
      <c r="X1512" s="59"/>
      <c r="Y1512" s="13" t="s">
        <v>253</v>
      </c>
      <c r="Z1512" s="68">
        <f>VLOOKUP(Takeoffs!Y1512,Sheet1!$B$6:$C$124,2,FALSE)</f>
        <v>10.139999999999999</v>
      </c>
      <c r="AA1512" s="68">
        <f t="shared" si="699"/>
        <v>10.139999999999999</v>
      </c>
      <c r="AB1512" s="63">
        <f t="shared" si="700"/>
        <v>1</v>
      </c>
      <c r="AC1512" s="28">
        <f>S1512</f>
        <v>1</v>
      </c>
      <c r="AD1512" s="61">
        <v>1</v>
      </c>
      <c r="AE1512" s="59"/>
      <c r="AF1512" s="13" t="s">
        <v>268</v>
      </c>
      <c r="AG1512" s="68">
        <f>VLOOKUP(Takeoffs!AF1512,Sheet1!$B$6:$C$124,2,FALSE)</f>
        <v>1.02</v>
      </c>
      <c r="AH1512" s="68">
        <f t="shared" si="701"/>
        <v>10.199999999999999</v>
      </c>
      <c r="AI1512" s="63">
        <f t="shared" si="702"/>
        <v>10</v>
      </c>
      <c r="AJ1512" s="28">
        <f t="shared" si="703"/>
        <v>1</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452</v>
      </c>
      <c r="P1513" s="12"/>
      <c r="Q1513" s="12"/>
      <c r="R1513" s="12"/>
      <c r="S1513" s="28">
        <f>M1510</f>
        <v>1</v>
      </c>
      <c r="T1513" s="11"/>
      <c r="U1513" s="12" t="s">
        <v>293</v>
      </c>
      <c r="V1513" s="28">
        <f t="shared" si="698"/>
        <v>1</v>
      </c>
      <c r="W1513" s="28">
        <f>VLOOKUP(U1513,Sheet1!$B$6:$C$45,2,FALSE)*V1513</f>
        <v>0</v>
      </c>
      <c r="X1513" s="59"/>
      <c r="Y1513" s="13" t="s">
        <v>247</v>
      </c>
      <c r="Z1513" s="68">
        <f>VLOOKUP(Takeoffs!Y1513,Sheet1!$B$6:$C$124,2,FALSE)</f>
        <v>23.76</v>
      </c>
      <c r="AA1513" s="68">
        <f t="shared" si="699"/>
        <v>23.76</v>
      </c>
      <c r="AB1513" s="63">
        <f t="shared" si="700"/>
        <v>1</v>
      </c>
      <c r="AC1513" s="28">
        <f t="shared" ref="AC1513:AC1530" si="705">S1513</f>
        <v>1</v>
      </c>
      <c r="AD1513" s="61">
        <v>1</v>
      </c>
      <c r="AE1513" s="59"/>
      <c r="AF1513" s="12" t="s">
        <v>293</v>
      </c>
      <c r="AG1513" s="68">
        <f>VLOOKUP(Takeoffs!AF1513,Sheet1!$B$6:$C$124,2,FALSE)</f>
        <v>0</v>
      </c>
      <c r="AH1513" s="68">
        <f t="shared" si="701"/>
        <v>0</v>
      </c>
      <c r="AI1513" s="63">
        <f t="shared" si="702"/>
        <v>0</v>
      </c>
      <c r="AJ1513" s="28">
        <f t="shared" si="703"/>
        <v>1</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416</v>
      </c>
      <c r="P1514" s="12" t="s">
        <v>449</v>
      </c>
      <c r="Q1514" s="12" t="s">
        <v>385</v>
      </c>
      <c r="R1514" s="12"/>
      <c r="S1514" s="28">
        <f>M1510</f>
        <v>1</v>
      </c>
      <c r="T1514" s="11"/>
      <c r="U1514" s="12" t="s">
        <v>230</v>
      </c>
      <c r="V1514" s="28">
        <f t="shared" si="698"/>
        <v>1</v>
      </c>
      <c r="W1514" s="28">
        <f>VLOOKUP(U1514,Sheet1!$B$6:$C$45,2,FALSE)*V1514</f>
        <v>0.5</v>
      </c>
      <c r="X1514" s="59"/>
      <c r="Y1514" s="12" t="s">
        <v>293</v>
      </c>
      <c r="Z1514" s="68">
        <f>VLOOKUP(Takeoffs!Y1514,Sheet1!$B$6:$C$124,2,FALSE)</f>
        <v>0</v>
      </c>
      <c r="AA1514" s="68">
        <f t="shared" si="699"/>
        <v>0</v>
      </c>
      <c r="AB1514" s="63">
        <f t="shared" si="700"/>
        <v>1</v>
      </c>
      <c r="AC1514" s="28">
        <f t="shared" si="705"/>
        <v>1</v>
      </c>
      <c r="AD1514" s="61">
        <v>1</v>
      </c>
      <c r="AE1514" s="59"/>
      <c r="AF1514" s="12" t="s">
        <v>293</v>
      </c>
      <c r="AG1514" s="68">
        <f>VLOOKUP(Takeoffs!AF1514,Sheet1!$B$6:$C$124,2,FALSE)</f>
        <v>0</v>
      </c>
      <c r="AH1514" s="68">
        <f t="shared" si="701"/>
        <v>0</v>
      </c>
      <c r="AI1514" s="63">
        <f t="shared" si="702"/>
        <v>0</v>
      </c>
      <c r="AJ1514" s="28">
        <f t="shared" si="703"/>
        <v>1</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1</v>
      </c>
      <c r="T1515" s="11"/>
      <c r="U1515" s="12" t="s">
        <v>293</v>
      </c>
      <c r="V1515" s="28">
        <f t="shared" si="698"/>
        <v>1</v>
      </c>
      <c r="W1515" s="28">
        <f>VLOOKUP(U1515,Sheet1!$B$6:$C$45,2,FALSE)*V1515</f>
        <v>0</v>
      </c>
      <c r="X1515" s="59"/>
      <c r="Y1515" s="12" t="s">
        <v>293</v>
      </c>
      <c r="Z1515" s="68">
        <f>VLOOKUP(Takeoffs!Y1515,Sheet1!$B$6:$C$124,2,FALSE)</f>
        <v>0</v>
      </c>
      <c r="AA1515" s="68">
        <f t="shared" si="699"/>
        <v>0</v>
      </c>
      <c r="AB1515" s="63">
        <f t="shared" si="700"/>
        <v>1</v>
      </c>
      <c r="AC1515" s="28">
        <f t="shared" si="705"/>
        <v>1</v>
      </c>
      <c r="AD1515" s="61">
        <v>1</v>
      </c>
      <c r="AE1515" s="59"/>
      <c r="AF1515" s="12" t="s">
        <v>293</v>
      </c>
      <c r="AG1515" s="68">
        <f>VLOOKUP(Takeoffs!AF1515,Sheet1!$B$6:$C$124,2,FALSE)</f>
        <v>0</v>
      </c>
      <c r="AH1515" s="68">
        <f t="shared" si="701"/>
        <v>0</v>
      </c>
      <c r="AI1515" s="63">
        <f t="shared" si="702"/>
        <v>0</v>
      </c>
      <c r="AJ1515" s="28">
        <f t="shared" si="703"/>
        <v>1</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1</v>
      </c>
      <c r="T1516" s="11"/>
      <c r="U1516" s="12" t="s">
        <v>293</v>
      </c>
      <c r="V1516" s="28">
        <f t="shared" si="698"/>
        <v>1</v>
      </c>
      <c r="W1516" s="28">
        <f>VLOOKUP(U1516,Sheet1!$B$6:$C$45,2,FALSE)*V1516</f>
        <v>0</v>
      </c>
      <c r="X1516" s="59"/>
      <c r="Y1516" s="12" t="s">
        <v>293</v>
      </c>
      <c r="Z1516" s="68">
        <f>VLOOKUP(Takeoffs!Y1516,Sheet1!$B$6:$C$124,2,FALSE)</f>
        <v>0</v>
      </c>
      <c r="AA1516" s="68">
        <f t="shared" si="699"/>
        <v>0</v>
      </c>
      <c r="AB1516" s="63">
        <f t="shared" si="700"/>
        <v>1</v>
      </c>
      <c r="AC1516" s="28">
        <f t="shared" si="705"/>
        <v>1</v>
      </c>
      <c r="AD1516" s="61">
        <v>1</v>
      </c>
      <c r="AE1516" s="59"/>
      <c r="AF1516" s="12" t="s">
        <v>293</v>
      </c>
      <c r="AG1516" s="68">
        <f>VLOOKUP(Takeoffs!AF1516,Sheet1!$B$6:$C$124,2,FALSE)</f>
        <v>0</v>
      </c>
      <c r="AH1516" s="68">
        <f t="shared" si="701"/>
        <v>0</v>
      </c>
      <c r="AI1516" s="63">
        <f t="shared" si="702"/>
        <v>0</v>
      </c>
      <c r="AJ1516" s="28">
        <f t="shared" si="703"/>
        <v>1</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1</v>
      </c>
      <c r="T1517" s="11"/>
      <c r="U1517" s="12" t="s">
        <v>293</v>
      </c>
      <c r="V1517" s="28">
        <f t="shared" si="698"/>
        <v>1</v>
      </c>
      <c r="W1517" s="28">
        <f>VLOOKUP(U1517,Sheet1!$B$6:$C$45,2,FALSE)*V1517</f>
        <v>0</v>
      </c>
      <c r="X1517" s="59"/>
      <c r="Y1517" s="12" t="s">
        <v>293</v>
      </c>
      <c r="Z1517" s="68">
        <f>VLOOKUP(Takeoffs!Y1517,Sheet1!$B$6:$C$124,2,FALSE)</f>
        <v>0</v>
      </c>
      <c r="AA1517" s="68">
        <f t="shared" si="699"/>
        <v>0</v>
      </c>
      <c r="AB1517" s="63">
        <f t="shared" si="700"/>
        <v>1</v>
      </c>
      <c r="AC1517" s="28">
        <f t="shared" si="705"/>
        <v>1</v>
      </c>
      <c r="AD1517" s="61">
        <v>1</v>
      </c>
      <c r="AE1517" s="59"/>
      <c r="AF1517" s="12" t="s">
        <v>293</v>
      </c>
      <c r="AG1517" s="68">
        <f>VLOOKUP(Takeoffs!AF1517,Sheet1!$B$6:$C$124,2,FALSE)</f>
        <v>0</v>
      </c>
      <c r="AH1517" s="68">
        <f t="shared" si="701"/>
        <v>0</v>
      </c>
      <c r="AI1517" s="63">
        <f t="shared" si="702"/>
        <v>0</v>
      </c>
      <c r="AJ1517" s="28">
        <f t="shared" si="703"/>
        <v>1</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1</v>
      </c>
      <c r="T1518" s="11"/>
      <c r="U1518" s="12" t="s">
        <v>293</v>
      </c>
      <c r="V1518" s="28">
        <f t="shared" si="698"/>
        <v>1</v>
      </c>
      <c r="W1518" s="28">
        <f>VLOOKUP(U1518,Sheet1!$B$6:$C$45,2,FALSE)*V1518</f>
        <v>0</v>
      </c>
      <c r="X1518" s="59"/>
      <c r="Y1518" s="12" t="s">
        <v>293</v>
      </c>
      <c r="Z1518" s="68">
        <f>VLOOKUP(Takeoffs!Y1518,Sheet1!$B$6:$C$124,2,FALSE)</f>
        <v>0</v>
      </c>
      <c r="AA1518" s="68">
        <f t="shared" si="699"/>
        <v>0</v>
      </c>
      <c r="AB1518" s="63">
        <f t="shared" si="700"/>
        <v>1</v>
      </c>
      <c r="AC1518" s="28">
        <f t="shared" si="705"/>
        <v>1</v>
      </c>
      <c r="AD1518" s="61">
        <v>1</v>
      </c>
      <c r="AE1518" s="59"/>
      <c r="AF1518" s="12" t="s">
        <v>293</v>
      </c>
      <c r="AG1518" s="68">
        <f>VLOOKUP(Takeoffs!AF1518,Sheet1!$B$6:$C$124,2,FALSE)</f>
        <v>0</v>
      </c>
      <c r="AH1518" s="68">
        <f t="shared" si="701"/>
        <v>0</v>
      </c>
      <c r="AI1518" s="63">
        <f t="shared" si="702"/>
        <v>0</v>
      </c>
      <c r="AJ1518" s="28">
        <f t="shared" si="703"/>
        <v>1</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1</v>
      </c>
      <c r="T1519" s="11"/>
      <c r="U1519" s="12" t="s">
        <v>293</v>
      </c>
      <c r="V1519" s="28">
        <f t="shared" si="698"/>
        <v>1</v>
      </c>
      <c r="W1519" s="28">
        <f>VLOOKUP(U1519,Sheet1!$B$6:$C$45,2,FALSE)*V1519</f>
        <v>0</v>
      </c>
      <c r="X1519" s="59"/>
      <c r="Y1519" s="12" t="s">
        <v>293</v>
      </c>
      <c r="Z1519" s="68">
        <f>VLOOKUP(Takeoffs!Y1519,Sheet1!$B$6:$C$124,2,FALSE)</f>
        <v>0</v>
      </c>
      <c r="AA1519" s="68">
        <f t="shared" si="699"/>
        <v>0</v>
      </c>
      <c r="AB1519" s="63">
        <f t="shared" si="700"/>
        <v>1</v>
      </c>
      <c r="AC1519" s="28">
        <f t="shared" si="705"/>
        <v>1</v>
      </c>
      <c r="AD1519" s="61">
        <v>1</v>
      </c>
      <c r="AE1519" s="59"/>
      <c r="AF1519" s="12" t="s">
        <v>293</v>
      </c>
      <c r="AG1519" s="68">
        <f>VLOOKUP(Takeoffs!AF1519,Sheet1!$B$6:$C$124,2,FALSE)</f>
        <v>0</v>
      </c>
      <c r="AH1519" s="68">
        <f t="shared" si="701"/>
        <v>0</v>
      </c>
      <c r="AI1519" s="63">
        <f t="shared" si="702"/>
        <v>0</v>
      </c>
      <c r="AJ1519" s="28">
        <f t="shared" si="703"/>
        <v>1</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1</v>
      </c>
      <c r="T1520" s="11"/>
      <c r="U1520" s="12" t="s">
        <v>293</v>
      </c>
      <c r="V1520" s="28">
        <f t="shared" si="698"/>
        <v>1</v>
      </c>
      <c r="W1520" s="28">
        <f>VLOOKUP(U1520,Sheet1!$B$6:$C$45,2,FALSE)*V1520</f>
        <v>0</v>
      </c>
      <c r="X1520" s="59"/>
      <c r="Y1520" s="12" t="s">
        <v>293</v>
      </c>
      <c r="Z1520" s="68">
        <f>VLOOKUP(Takeoffs!Y1520,Sheet1!$B$6:$C$124,2,FALSE)</f>
        <v>0</v>
      </c>
      <c r="AA1520" s="68">
        <f t="shared" si="699"/>
        <v>0</v>
      </c>
      <c r="AB1520" s="63">
        <f t="shared" si="700"/>
        <v>1</v>
      </c>
      <c r="AC1520" s="28">
        <f t="shared" si="705"/>
        <v>1</v>
      </c>
      <c r="AD1520" s="61">
        <v>1</v>
      </c>
      <c r="AE1520" s="59"/>
      <c r="AF1520" s="12" t="s">
        <v>293</v>
      </c>
      <c r="AG1520" s="68">
        <f>VLOOKUP(Takeoffs!AF1520,Sheet1!$B$6:$C$124,2,FALSE)</f>
        <v>0</v>
      </c>
      <c r="AH1520" s="68">
        <f t="shared" si="701"/>
        <v>0</v>
      </c>
      <c r="AI1520" s="63">
        <f t="shared" si="702"/>
        <v>0</v>
      </c>
      <c r="AJ1520" s="28">
        <f t="shared" si="703"/>
        <v>1</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1</v>
      </c>
      <c r="T1521" s="11"/>
      <c r="U1521" s="12" t="s">
        <v>293</v>
      </c>
      <c r="V1521" s="28">
        <f t="shared" si="698"/>
        <v>1</v>
      </c>
      <c r="W1521" s="28">
        <f>VLOOKUP(U1521,Sheet1!$B$6:$C$45,2,FALSE)*V1521</f>
        <v>0</v>
      </c>
      <c r="X1521" s="59"/>
      <c r="Y1521" s="12" t="s">
        <v>293</v>
      </c>
      <c r="Z1521" s="68">
        <f>VLOOKUP(Takeoffs!Y1521,Sheet1!$B$6:$C$124,2,FALSE)</f>
        <v>0</v>
      </c>
      <c r="AA1521" s="68">
        <f t="shared" si="699"/>
        <v>0</v>
      </c>
      <c r="AB1521" s="63">
        <f t="shared" si="700"/>
        <v>1</v>
      </c>
      <c r="AC1521" s="28">
        <f t="shared" si="705"/>
        <v>1</v>
      </c>
      <c r="AD1521" s="61">
        <v>1</v>
      </c>
      <c r="AE1521" s="59"/>
      <c r="AF1521" s="12" t="s">
        <v>293</v>
      </c>
      <c r="AG1521" s="68">
        <f>VLOOKUP(Takeoffs!AF1521,Sheet1!$B$6:$C$124,2,FALSE)</f>
        <v>0</v>
      </c>
      <c r="AH1521" s="68">
        <f t="shared" si="701"/>
        <v>0</v>
      </c>
      <c r="AI1521" s="63">
        <f t="shared" si="702"/>
        <v>0</v>
      </c>
      <c r="AJ1521" s="28">
        <f t="shared" si="703"/>
        <v>1</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1</v>
      </c>
      <c r="T1522" s="11"/>
      <c r="U1522" s="12" t="s">
        <v>293</v>
      </c>
      <c r="V1522" s="28">
        <f t="shared" si="698"/>
        <v>1</v>
      </c>
      <c r="W1522" s="28">
        <f>VLOOKUP(U1522,Sheet1!$B$6:$C$45,2,FALSE)*V1522</f>
        <v>0</v>
      </c>
      <c r="X1522" s="59"/>
      <c r="Y1522" s="12" t="s">
        <v>293</v>
      </c>
      <c r="Z1522" s="68">
        <f>VLOOKUP(Takeoffs!Y1522,Sheet1!$B$6:$C$124,2,FALSE)</f>
        <v>0</v>
      </c>
      <c r="AA1522" s="68">
        <f t="shared" si="699"/>
        <v>0</v>
      </c>
      <c r="AB1522" s="63">
        <f t="shared" si="700"/>
        <v>1</v>
      </c>
      <c r="AC1522" s="28">
        <f t="shared" si="705"/>
        <v>1</v>
      </c>
      <c r="AD1522" s="61">
        <v>1</v>
      </c>
      <c r="AE1522" s="59"/>
      <c r="AF1522" s="12" t="s">
        <v>293</v>
      </c>
      <c r="AG1522" s="68">
        <f>VLOOKUP(Takeoffs!AF1522,Sheet1!$B$6:$C$124,2,FALSE)</f>
        <v>0</v>
      </c>
      <c r="AH1522" s="68">
        <f t="shared" si="701"/>
        <v>0</v>
      </c>
      <c r="AI1522" s="63">
        <f t="shared" si="702"/>
        <v>0</v>
      </c>
      <c r="AJ1522" s="28">
        <f t="shared" si="703"/>
        <v>1</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1</v>
      </c>
      <c r="T1523" s="11"/>
      <c r="U1523" s="12" t="s">
        <v>293</v>
      </c>
      <c r="V1523" s="28">
        <f t="shared" si="698"/>
        <v>1</v>
      </c>
      <c r="W1523" s="28">
        <f>VLOOKUP(U1523,Sheet1!$B$6:$C$45,2,FALSE)*V1523</f>
        <v>0</v>
      </c>
      <c r="X1523" s="59"/>
      <c r="Y1523" s="12" t="s">
        <v>293</v>
      </c>
      <c r="Z1523" s="68">
        <f>VLOOKUP(Takeoffs!Y1523,Sheet1!$B$6:$C$124,2,FALSE)</f>
        <v>0</v>
      </c>
      <c r="AA1523" s="68">
        <f t="shared" si="699"/>
        <v>0</v>
      </c>
      <c r="AB1523" s="63">
        <f t="shared" si="700"/>
        <v>1</v>
      </c>
      <c r="AC1523" s="28">
        <f t="shared" si="705"/>
        <v>1</v>
      </c>
      <c r="AD1523" s="61">
        <v>1</v>
      </c>
      <c r="AE1523" s="59"/>
      <c r="AF1523" s="12" t="s">
        <v>293</v>
      </c>
      <c r="AG1523" s="68">
        <f>VLOOKUP(Takeoffs!AF1523,Sheet1!$B$6:$C$124,2,FALSE)</f>
        <v>0</v>
      </c>
      <c r="AH1523" s="68">
        <f t="shared" si="701"/>
        <v>0</v>
      </c>
      <c r="AI1523" s="63">
        <f t="shared" si="702"/>
        <v>0</v>
      </c>
      <c r="AJ1523" s="28">
        <f t="shared" si="703"/>
        <v>1</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1</v>
      </c>
      <c r="T1524" s="11"/>
      <c r="U1524" s="12" t="s">
        <v>293</v>
      </c>
      <c r="V1524" s="28">
        <f t="shared" si="698"/>
        <v>1</v>
      </c>
      <c r="W1524" s="28">
        <f>VLOOKUP(U1524,Sheet1!$B$6:$C$45,2,FALSE)*V1524</f>
        <v>0</v>
      </c>
      <c r="X1524" s="59"/>
      <c r="Y1524" s="12" t="s">
        <v>293</v>
      </c>
      <c r="Z1524" s="68">
        <f>VLOOKUP(Takeoffs!Y1524,Sheet1!$B$6:$C$124,2,FALSE)</f>
        <v>0</v>
      </c>
      <c r="AA1524" s="68">
        <f t="shared" si="699"/>
        <v>0</v>
      </c>
      <c r="AB1524" s="63">
        <f t="shared" si="700"/>
        <v>1</v>
      </c>
      <c r="AC1524" s="28">
        <f t="shared" si="705"/>
        <v>1</v>
      </c>
      <c r="AD1524" s="61">
        <v>1</v>
      </c>
      <c r="AE1524" s="59"/>
      <c r="AF1524" s="12" t="s">
        <v>293</v>
      </c>
      <c r="AG1524" s="68">
        <f>VLOOKUP(Takeoffs!AF1524,Sheet1!$B$6:$C$124,2,FALSE)</f>
        <v>0</v>
      </c>
      <c r="AH1524" s="68">
        <f t="shared" si="701"/>
        <v>0</v>
      </c>
      <c r="AI1524" s="63">
        <f t="shared" si="702"/>
        <v>0</v>
      </c>
      <c r="AJ1524" s="28">
        <f t="shared" si="703"/>
        <v>1</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1</v>
      </c>
      <c r="T1525" s="11"/>
      <c r="U1525" s="12" t="s">
        <v>293</v>
      </c>
      <c r="V1525" s="28">
        <f t="shared" si="698"/>
        <v>1</v>
      </c>
      <c r="W1525" s="28">
        <f>VLOOKUP(U1525,Sheet1!$B$6:$C$45,2,FALSE)*V1525</f>
        <v>0</v>
      </c>
      <c r="X1525" s="59"/>
      <c r="Y1525" s="12" t="s">
        <v>293</v>
      </c>
      <c r="Z1525" s="68">
        <f>VLOOKUP(Takeoffs!Y1525,Sheet1!$B$6:$C$124,2,FALSE)</f>
        <v>0</v>
      </c>
      <c r="AA1525" s="68">
        <f t="shared" si="699"/>
        <v>0</v>
      </c>
      <c r="AB1525" s="63">
        <f t="shared" si="700"/>
        <v>1</v>
      </c>
      <c r="AC1525" s="28">
        <f t="shared" si="705"/>
        <v>1</v>
      </c>
      <c r="AD1525" s="61">
        <v>1</v>
      </c>
      <c r="AE1525" s="59"/>
      <c r="AF1525" s="12" t="s">
        <v>293</v>
      </c>
      <c r="AG1525" s="68">
        <f>VLOOKUP(Takeoffs!AF1525,Sheet1!$B$6:$C$124,2,FALSE)</f>
        <v>0</v>
      </c>
      <c r="AH1525" s="68">
        <f t="shared" si="701"/>
        <v>0</v>
      </c>
      <c r="AI1525" s="63">
        <f t="shared" si="702"/>
        <v>0</v>
      </c>
      <c r="AJ1525" s="28">
        <f t="shared" si="703"/>
        <v>1</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1</v>
      </c>
      <c r="T1526" s="11"/>
      <c r="U1526" s="12" t="s">
        <v>293</v>
      </c>
      <c r="V1526" s="28">
        <f t="shared" si="698"/>
        <v>1</v>
      </c>
      <c r="W1526" s="28">
        <f>VLOOKUP(U1526,Sheet1!$B$6:$C$45,2,FALSE)*V1526</f>
        <v>0</v>
      </c>
      <c r="X1526" s="59"/>
      <c r="Y1526" s="12" t="s">
        <v>293</v>
      </c>
      <c r="Z1526" s="68">
        <f>VLOOKUP(Takeoffs!Y1526,Sheet1!$B$6:$C$124,2,FALSE)</f>
        <v>0</v>
      </c>
      <c r="AA1526" s="68">
        <f t="shared" si="699"/>
        <v>0</v>
      </c>
      <c r="AB1526" s="63">
        <f t="shared" si="700"/>
        <v>1</v>
      </c>
      <c r="AC1526" s="28">
        <f t="shared" si="705"/>
        <v>1</v>
      </c>
      <c r="AD1526" s="61">
        <v>1</v>
      </c>
      <c r="AE1526" s="59"/>
      <c r="AF1526" s="12" t="s">
        <v>293</v>
      </c>
      <c r="AG1526" s="68">
        <f>VLOOKUP(Takeoffs!AF1526,Sheet1!$B$6:$C$124,2,FALSE)</f>
        <v>0</v>
      </c>
      <c r="AH1526" s="68">
        <f t="shared" si="701"/>
        <v>0</v>
      </c>
      <c r="AI1526" s="63">
        <f t="shared" si="702"/>
        <v>0</v>
      </c>
      <c r="AJ1526" s="28">
        <f t="shared" si="703"/>
        <v>1</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1</v>
      </c>
      <c r="T1527" s="11"/>
      <c r="U1527" s="12" t="s">
        <v>293</v>
      </c>
      <c r="V1527" s="28">
        <f t="shared" si="698"/>
        <v>1</v>
      </c>
      <c r="W1527" s="28">
        <f>VLOOKUP(U1527,Sheet1!$B$6:$C$45,2,FALSE)*V1527</f>
        <v>0</v>
      </c>
      <c r="X1527" s="59"/>
      <c r="Y1527" s="12" t="s">
        <v>293</v>
      </c>
      <c r="Z1527" s="68">
        <f>VLOOKUP(Takeoffs!Y1527,Sheet1!$B$6:$C$124,2,FALSE)</f>
        <v>0</v>
      </c>
      <c r="AA1527" s="68">
        <f t="shared" si="699"/>
        <v>0</v>
      </c>
      <c r="AB1527" s="63">
        <f t="shared" si="700"/>
        <v>1</v>
      </c>
      <c r="AC1527" s="28">
        <f t="shared" si="705"/>
        <v>1</v>
      </c>
      <c r="AD1527" s="61">
        <v>1</v>
      </c>
      <c r="AE1527" s="59"/>
      <c r="AF1527" s="12" t="s">
        <v>293</v>
      </c>
      <c r="AG1527" s="68">
        <f>VLOOKUP(Takeoffs!AF1527,Sheet1!$B$6:$C$124,2,FALSE)</f>
        <v>0</v>
      </c>
      <c r="AH1527" s="68">
        <f t="shared" si="701"/>
        <v>0</v>
      </c>
      <c r="AI1527" s="63">
        <f t="shared" si="702"/>
        <v>0</v>
      </c>
      <c r="AJ1527" s="28">
        <f t="shared" si="703"/>
        <v>1</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1</v>
      </c>
      <c r="T1528" s="11"/>
      <c r="U1528" s="12" t="s">
        <v>293</v>
      </c>
      <c r="V1528" s="28">
        <f t="shared" si="698"/>
        <v>1</v>
      </c>
      <c r="W1528" s="28">
        <f>VLOOKUP(U1528,Sheet1!$B$6:$C$45,2,FALSE)*V1528</f>
        <v>0</v>
      </c>
      <c r="X1528" s="59"/>
      <c r="Y1528" s="12" t="s">
        <v>293</v>
      </c>
      <c r="Z1528" s="68">
        <f>VLOOKUP(Takeoffs!Y1528,Sheet1!$B$6:$C$124,2,FALSE)</f>
        <v>0</v>
      </c>
      <c r="AA1528" s="68">
        <f t="shared" si="699"/>
        <v>0</v>
      </c>
      <c r="AB1528" s="63">
        <f t="shared" si="700"/>
        <v>1</v>
      </c>
      <c r="AC1528" s="28">
        <f t="shared" si="705"/>
        <v>1</v>
      </c>
      <c r="AD1528" s="61">
        <v>1</v>
      </c>
      <c r="AE1528" s="59"/>
      <c r="AF1528" s="12" t="s">
        <v>293</v>
      </c>
      <c r="AG1528" s="68">
        <f>VLOOKUP(Takeoffs!AF1528,Sheet1!$B$6:$C$124,2,FALSE)</f>
        <v>0</v>
      </c>
      <c r="AH1528" s="68">
        <f t="shared" si="701"/>
        <v>0</v>
      </c>
      <c r="AI1528" s="63">
        <f t="shared" si="702"/>
        <v>0</v>
      </c>
      <c r="AJ1528" s="28">
        <f t="shared" si="703"/>
        <v>1</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1</v>
      </c>
      <c r="T1529" s="11"/>
      <c r="U1529" s="12" t="s">
        <v>293</v>
      </c>
      <c r="V1529" s="28">
        <f t="shared" si="698"/>
        <v>1</v>
      </c>
      <c r="W1529" s="28">
        <f>VLOOKUP(U1529,Sheet1!$B$6:$C$45,2,FALSE)*V1529</f>
        <v>0</v>
      </c>
      <c r="X1529" s="59"/>
      <c r="Y1529" s="12" t="s">
        <v>293</v>
      </c>
      <c r="Z1529" s="68">
        <f>VLOOKUP(Takeoffs!Y1529,Sheet1!$B$6:$C$124,2,FALSE)</f>
        <v>0</v>
      </c>
      <c r="AA1529" s="68">
        <f t="shared" si="699"/>
        <v>0</v>
      </c>
      <c r="AB1529" s="63">
        <f t="shared" si="700"/>
        <v>1</v>
      </c>
      <c r="AC1529" s="28">
        <f t="shared" si="705"/>
        <v>1</v>
      </c>
      <c r="AD1529" s="61">
        <v>1</v>
      </c>
      <c r="AE1529" s="59"/>
      <c r="AF1529" s="12" t="s">
        <v>293</v>
      </c>
      <c r="AG1529" s="68">
        <f>VLOOKUP(Takeoffs!AF1529,Sheet1!$B$6:$C$124,2,FALSE)</f>
        <v>0</v>
      </c>
      <c r="AH1529" s="68">
        <f t="shared" si="701"/>
        <v>0</v>
      </c>
      <c r="AI1529" s="63">
        <f t="shared" si="702"/>
        <v>0</v>
      </c>
      <c r="AJ1529" s="28">
        <f t="shared" si="703"/>
        <v>1</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1</v>
      </c>
      <c r="T1530" s="11"/>
      <c r="U1530" s="12" t="s">
        <v>293</v>
      </c>
      <c r="V1530" s="28">
        <f t="shared" si="698"/>
        <v>1</v>
      </c>
      <c r="W1530" s="28">
        <f>VLOOKUP(U1530,Sheet1!$B$6:$C$45,2,FALSE)*V1530</f>
        <v>0</v>
      </c>
      <c r="X1530" s="59"/>
      <c r="Y1530" s="12" t="s">
        <v>293</v>
      </c>
      <c r="Z1530" s="68">
        <f>VLOOKUP(Takeoffs!Y1530,Sheet1!$B$6:$C$124,2,FALSE)</f>
        <v>0</v>
      </c>
      <c r="AA1530" s="68">
        <f t="shared" si="699"/>
        <v>0</v>
      </c>
      <c r="AB1530" s="63">
        <f t="shared" si="700"/>
        <v>1</v>
      </c>
      <c r="AC1530" s="28">
        <f t="shared" si="705"/>
        <v>1</v>
      </c>
      <c r="AD1530" s="61">
        <v>1</v>
      </c>
      <c r="AE1530" s="59"/>
      <c r="AF1530" s="12" t="s">
        <v>293</v>
      </c>
      <c r="AG1530" s="68">
        <f>VLOOKUP(Takeoffs!AF1530,Sheet1!$B$6:$C$124,2,FALSE)</f>
        <v>0</v>
      </c>
      <c r="AH1530" s="68">
        <f t="shared" si="701"/>
        <v>0</v>
      </c>
      <c r="AI1530" s="63">
        <f t="shared" si="702"/>
        <v>0</v>
      </c>
      <c r="AJ1530" s="28">
        <f t="shared" si="703"/>
        <v>1</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379</v>
      </c>
      <c r="L1531" s="21" t="s">
        <v>380</v>
      </c>
      <c r="N1531" s="22"/>
      <c r="O1531" s="23" t="s">
        <v>359</v>
      </c>
      <c r="P1531" s="24">
        <f>V1531+AA1531+AH1531</f>
        <v>314.65999999999997</v>
      </c>
      <c r="Q1531" s="24"/>
      <c r="R1531" s="24"/>
      <c r="S1531" s="23"/>
      <c r="T1531" s="20"/>
      <c r="U1531" s="19" t="s">
        <v>353</v>
      </c>
      <c r="V1531" s="20">
        <f>W1531*80</f>
        <v>260</v>
      </c>
      <c r="W1531" s="69">
        <f>SUM(W1510:W1530)</f>
        <v>3.25</v>
      </c>
      <c r="X1531" s="70"/>
      <c r="Y1531" s="20" t="s">
        <v>354</v>
      </c>
      <c r="Z1531" s="2"/>
      <c r="AA1531" s="2">
        <f>SUM(AA1510:AA1530)</f>
        <v>33.9</v>
      </c>
      <c r="AB1531" s="71"/>
      <c r="AC1531" s="71"/>
      <c r="AD1531" s="71"/>
      <c r="AE1531" s="71"/>
      <c r="AF1531" s="20" t="s">
        <v>358</v>
      </c>
      <c r="AG1531" s="2"/>
      <c r="AH1531" s="2">
        <f>SUM(AH1510:AH1530)</f>
        <v>20.759999999999998</v>
      </c>
      <c r="AI1531" s="71"/>
      <c r="AJ1531" s="71"/>
      <c r="AK1531" s="71"/>
      <c r="AL1531" s="71"/>
      <c r="AM1531" s="150">
        <f>P1531</f>
        <v>314.65999999999997</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494</v>
      </c>
      <c r="C1532" s="217" t="str">
        <f>N1510</f>
        <v>VRF indoor units</v>
      </c>
      <c r="D1532" s="260" t="s">
        <v>680</v>
      </c>
      <c r="E1532" s="238"/>
      <c r="F1532" s="217"/>
      <c r="G1532" s="217"/>
      <c r="H1532" s="245"/>
      <c r="I1532" s="270">
        <v>1</v>
      </c>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one (1)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314.65999999999997</v>
      </c>
      <c r="L1532" s="234" t="str">
        <f>CONCATENATE(Q1511,Q1512,Q1513,Q1514,Q1515,Q1516,Q1517,Q1518,Q1519,Q1520,Q1521,Q1522,Q1523,Q1524,Q1525,Q1526,Q1527,Q1528,Q1529,Q1530,)</f>
        <v>proprietary air-conditioning controllers.</v>
      </c>
      <c r="M1532" s="91" t="s">
        <v>369</v>
      </c>
      <c r="N1532" s="83" t="str">
        <f>N1510</f>
        <v>VRF indoor units</v>
      </c>
      <c r="O1532" s="83" t="s">
        <v>367</v>
      </c>
      <c r="P1532" s="82">
        <f>P1531/M1510</f>
        <v>314.65999999999997</v>
      </c>
      <c r="Q1532" s="84"/>
      <c r="R1532" s="84"/>
      <c r="S1532" s="83"/>
      <c r="T1532" s="84"/>
      <c r="U1532" s="327" t="s">
        <v>368</v>
      </c>
      <c r="V1532" s="327"/>
      <c r="W1532" s="85">
        <f>W1531/M1510</f>
        <v>3.25</v>
      </c>
      <c r="X1532" s="86"/>
      <c r="Y1532" s="325" t="s">
        <v>367</v>
      </c>
      <c r="Z1532" s="325"/>
      <c r="AA1532" s="87">
        <f>AA1531/M1510</f>
        <v>33.9</v>
      </c>
      <c r="AB1532" s="84"/>
      <c r="AC1532" s="84"/>
      <c r="AD1532" s="84"/>
      <c r="AE1532" s="84"/>
      <c r="AF1532" s="325" t="s">
        <v>367</v>
      </c>
      <c r="AG1532" s="325"/>
      <c r="AH1532" s="87">
        <f>AH1531/M1510</f>
        <v>20.759999999999998</v>
      </c>
      <c r="AI1532" s="84"/>
      <c r="AJ1532" s="84"/>
      <c r="AK1532" s="84"/>
      <c r="AL1532" s="247"/>
      <c r="AM1532" s="257"/>
      <c r="AN1532" s="236">
        <f>K1532*1.25</f>
        <v>393.32499999999993</v>
      </c>
      <c r="AO1532" s="286"/>
      <c r="AP1532" s="284">
        <f t="shared" si="693"/>
        <v>314.65999999999997</v>
      </c>
      <c r="AQ1532" s="281">
        <f t="shared" si="694"/>
        <v>260</v>
      </c>
      <c r="AR1532" s="284">
        <f t="shared" si="695"/>
        <v>33.9</v>
      </c>
      <c r="AS1532" s="281">
        <f t="shared" si="696"/>
        <v>20.759999999999998</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454</v>
      </c>
      <c r="M1533" s="2" t="s">
        <v>299</v>
      </c>
      <c r="N1533" s="2" t="s">
        <v>108</v>
      </c>
      <c r="O1533" s="97" t="s">
        <v>388</v>
      </c>
      <c r="P1533" s="326" t="s">
        <v>377</v>
      </c>
      <c r="Q1533" s="326"/>
      <c r="R1533" s="101" t="s">
        <v>454</v>
      </c>
      <c r="S1533" s="2" t="s">
        <v>0</v>
      </c>
      <c r="T1533" s="9"/>
      <c r="U1533" s="2" t="s">
        <v>288</v>
      </c>
      <c r="V1533" s="2" t="s">
        <v>289</v>
      </c>
      <c r="W1533" s="2" t="s">
        <v>292</v>
      </c>
      <c r="X1533" s="58"/>
      <c r="Y1533" s="2" t="s">
        <v>290</v>
      </c>
      <c r="Z1533" s="2" t="s">
        <v>356</v>
      </c>
      <c r="AA1533" s="2" t="s">
        <v>357</v>
      </c>
      <c r="AB1533" s="2" t="s">
        <v>319</v>
      </c>
      <c r="AC1533" s="2" t="s">
        <v>320</v>
      </c>
      <c r="AD1533" s="2" t="s">
        <v>318</v>
      </c>
      <c r="AE1533" s="58"/>
      <c r="AF1533" s="2" t="s">
        <v>294</v>
      </c>
      <c r="AG1533" s="2" t="s">
        <v>356</v>
      </c>
      <c r="AH1533" s="2" t="s">
        <v>357</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one</v>
      </c>
      <c r="M1534" s="121">
        <f>I1556</f>
        <v>1</v>
      </c>
      <c r="N1534" s="27" t="s">
        <v>576</v>
      </c>
      <c r="O1534" s="12" t="s">
        <v>138</v>
      </c>
      <c r="P1534" s="96" t="s">
        <v>381</v>
      </c>
      <c r="Q1534" s="96" t="s">
        <v>377</v>
      </c>
      <c r="R1534" s="96"/>
      <c r="S1534" s="28">
        <f>M1534</f>
        <v>1</v>
      </c>
      <c r="T1534" s="10"/>
      <c r="U1534" s="12" t="s">
        <v>293</v>
      </c>
      <c r="V1534" s="28">
        <f>S1534</f>
        <v>1</v>
      </c>
      <c r="W1534" s="28">
        <f>VLOOKUP(U1534,Sheet1!$B$6:$C$45,2,FALSE)*V1534</f>
        <v>0</v>
      </c>
      <c r="X1534" s="59"/>
      <c r="Y1534" s="12" t="s">
        <v>293</v>
      </c>
      <c r="Z1534" s="68">
        <f>VLOOKUP(Takeoffs!Y1534,Sheet1!$B$6:$C$124,2,FALSE)</f>
        <v>0</v>
      </c>
      <c r="AA1534" s="68">
        <f>Z1534*AB1534</f>
        <v>0</v>
      </c>
      <c r="AB1534" s="63">
        <f>AD1534*AC1534</f>
        <v>1</v>
      </c>
      <c r="AC1534" s="28">
        <f>S1534</f>
        <v>1</v>
      </c>
      <c r="AD1534" s="61">
        <v>1</v>
      </c>
      <c r="AE1534" s="59"/>
      <c r="AF1534" s="12" t="s">
        <v>293</v>
      </c>
      <c r="AG1534" s="68">
        <f>VLOOKUP(Takeoffs!AF1534,Sheet1!$B$6:$C$124,2,FALSE)</f>
        <v>0</v>
      </c>
      <c r="AH1534" s="68">
        <f>AG1534*AI1534</f>
        <v>0</v>
      </c>
      <c r="AI1534" s="63">
        <f>AK1534*AJ1534</f>
        <v>0</v>
      </c>
      <c r="AJ1534" s="28">
        <f>S1534</f>
        <v>1</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1</v>
      </c>
      <c r="T1535" s="11"/>
      <c r="U1535" s="12" t="s">
        <v>239</v>
      </c>
      <c r="V1535" s="28">
        <f t="shared" ref="V1535:V1554" si="707">S1535</f>
        <v>1</v>
      </c>
      <c r="W1535" s="28">
        <f>VLOOKUP(U1535,Sheet1!$B$6:$C$45,2,FALSE)*V1535</f>
        <v>0.25</v>
      </c>
      <c r="X1535" s="59"/>
      <c r="Y1535" s="12" t="s">
        <v>293</v>
      </c>
      <c r="Z1535" s="68">
        <f>VLOOKUP(Takeoffs!Y1535,Sheet1!$B$6:$C$124,2,FALSE)</f>
        <v>0</v>
      </c>
      <c r="AA1535" s="68">
        <f t="shared" ref="AA1535:AA1554" si="708">Z1535*AB1535</f>
        <v>0</v>
      </c>
      <c r="AB1535" s="63">
        <f t="shared" ref="AB1535:AB1554" si="709">AD1535*AC1535</f>
        <v>1</v>
      </c>
      <c r="AC1535" s="28">
        <f>S1535</f>
        <v>1</v>
      </c>
      <c r="AD1535" s="61">
        <v>1</v>
      </c>
      <c r="AE1535" s="59"/>
      <c r="AF1535" s="13" t="s">
        <v>269</v>
      </c>
      <c r="AG1535" s="68">
        <f>VLOOKUP(Takeoffs!AF1535,Sheet1!$B$6:$C$124,2,FALSE)</f>
        <v>1.056</v>
      </c>
      <c r="AH1535" s="68">
        <f t="shared" ref="AH1535:AH1554" si="710">AG1535*AI1535</f>
        <v>31.68</v>
      </c>
      <c r="AI1535" s="63">
        <f t="shared" ref="AI1535:AI1554" si="711">AK1535*AJ1535</f>
        <v>30</v>
      </c>
      <c r="AJ1535" s="28">
        <f t="shared" ref="AJ1535:AJ1554" si="712">S1535</f>
        <v>1</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395</v>
      </c>
      <c r="P1536" s="12"/>
      <c r="Q1536" s="12"/>
      <c r="R1536" s="12"/>
      <c r="S1536" s="28">
        <f>M1534</f>
        <v>1</v>
      </c>
      <c r="T1536" s="11"/>
      <c r="U1536" s="73" t="s">
        <v>430</v>
      </c>
      <c r="V1536" s="28">
        <f t="shared" si="707"/>
        <v>1</v>
      </c>
      <c r="W1536" s="28">
        <f>VLOOKUP(U1536,Sheet1!$B$6:$C$45,2,FALSE)*V1536</f>
        <v>3.5</v>
      </c>
      <c r="X1536" s="59"/>
      <c r="Y1536" s="13" t="s">
        <v>253</v>
      </c>
      <c r="Z1536" s="68">
        <f>VLOOKUP(Takeoffs!Y1536,Sheet1!$B$6:$C$124,2,FALSE)</f>
        <v>10.139999999999999</v>
      </c>
      <c r="AA1536" s="68">
        <f t="shared" si="708"/>
        <v>10.139999999999999</v>
      </c>
      <c r="AB1536" s="63">
        <f t="shared" si="709"/>
        <v>1</v>
      </c>
      <c r="AC1536" s="28">
        <f>S1536</f>
        <v>1</v>
      </c>
      <c r="AD1536" s="61">
        <v>1</v>
      </c>
      <c r="AE1536" s="59"/>
      <c r="AF1536" s="13" t="s">
        <v>268</v>
      </c>
      <c r="AG1536" s="68">
        <f>VLOOKUP(Takeoffs!AF1536,Sheet1!$B$6:$C$124,2,FALSE)</f>
        <v>1.02</v>
      </c>
      <c r="AH1536" s="68">
        <f t="shared" si="710"/>
        <v>30.6</v>
      </c>
      <c r="AI1536" s="63">
        <f t="shared" si="711"/>
        <v>30</v>
      </c>
      <c r="AJ1536" s="28">
        <f t="shared" si="712"/>
        <v>1</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452</v>
      </c>
      <c r="P1537" s="12"/>
      <c r="Q1537" s="12"/>
      <c r="R1537" s="12"/>
      <c r="S1537" s="28">
        <f>M1534</f>
        <v>1</v>
      </c>
      <c r="T1537" s="11"/>
      <c r="U1537" s="12" t="s">
        <v>293</v>
      </c>
      <c r="V1537" s="28">
        <f t="shared" si="707"/>
        <v>1</v>
      </c>
      <c r="W1537" s="28">
        <f>VLOOKUP(U1537,Sheet1!$B$6:$C$45,2,FALSE)*V1537</f>
        <v>0</v>
      </c>
      <c r="X1537" s="59"/>
      <c r="Y1537" s="12" t="s">
        <v>293</v>
      </c>
      <c r="Z1537" s="68">
        <f>VLOOKUP(Takeoffs!Y1537,Sheet1!$B$6:$C$124,2,FALSE)</f>
        <v>0</v>
      </c>
      <c r="AA1537" s="68">
        <f t="shared" si="708"/>
        <v>0</v>
      </c>
      <c r="AB1537" s="63">
        <f t="shared" si="709"/>
        <v>1</v>
      </c>
      <c r="AC1537" s="28">
        <f t="shared" ref="AC1537:AC1554" si="714">S1537</f>
        <v>1</v>
      </c>
      <c r="AD1537" s="61">
        <v>1</v>
      </c>
      <c r="AE1537" s="59"/>
      <c r="AF1537" s="12" t="s">
        <v>293</v>
      </c>
      <c r="AG1537" s="68">
        <f>VLOOKUP(Takeoffs!AF1537,Sheet1!$B$6:$C$124,2,FALSE)</f>
        <v>0</v>
      </c>
      <c r="AH1537" s="68">
        <f t="shared" si="710"/>
        <v>0</v>
      </c>
      <c r="AI1537" s="63">
        <f t="shared" si="711"/>
        <v>0</v>
      </c>
      <c r="AJ1537" s="28">
        <f t="shared" si="712"/>
        <v>1</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396</v>
      </c>
      <c r="P1538" s="12" t="s">
        <v>383</v>
      </c>
      <c r="Q1538" s="12" t="s">
        <v>451</v>
      </c>
      <c r="R1538" s="12"/>
      <c r="S1538" s="28">
        <f>M1534</f>
        <v>1</v>
      </c>
      <c r="T1538" s="11"/>
      <c r="U1538" s="12" t="s">
        <v>230</v>
      </c>
      <c r="V1538" s="28">
        <f t="shared" si="707"/>
        <v>1</v>
      </c>
      <c r="W1538" s="28">
        <f>VLOOKUP(U1538,Sheet1!$B$6:$C$45,2,FALSE)*V1538</f>
        <v>0.5</v>
      </c>
      <c r="X1538" s="59"/>
      <c r="Y1538" s="12" t="s">
        <v>293</v>
      </c>
      <c r="Z1538" s="68">
        <f>VLOOKUP(Takeoffs!Y1538,Sheet1!$B$6:$C$124,2,FALSE)</f>
        <v>0</v>
      </c>
      <c r="AA1538" s="68">
        <f t="shared" si="708"/>
        <v>0</v>
      </c>
      <c r="AB1538" s="63">
        <f t="shared" si="709"/>
        <v>1</v>
      </c>
      <c r="AC1538" s="28">
        <f t="shared" si="714"/>
        <v>1</v>
      </c>
      <c r="AD1538" s="61">
        <v>1</v>
      </c>
      <c r="AE1538" s="59"/>
      <c r="AF1538" s="12" t="s">
        <v>293</v>
      </c>
      <c r="AG1538" s="68">
        <f>VLOOKUP(Takeoffs!AF1538,Sheet1!$B$6:$C$124,2,FALSE)</f>
        <v>0</v>
      </c>
      <c r="AH1538" s="68">
        <f t="shared" si="710"/>
        <v>0</v>
      </c>
      <c r="AI1538" s="63">
        <f t="shared" si="711"/>
        <v>0</v>
      </c>
      <c r="AJ1538" s="28">
        <f t="shared" si="712"/>
        <v>1</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453</v>
      </c>
      <c r="P1539" s="12" t="s">
        <v>383</v>
      </c>
      <c r="Q1539" s="12" t="s">
        <v>384</v>
      </c>
      <c r="R1539" s="12"/>
      <c r="S1539" s="28">
        <f>M1534</f>
        <v>1</v>
      </c>
      <c r="T1539" s="11"/>
      <c r="U1539" s="12" t="s">
        <v>226</v>
      </c>
      <c r="V1539" s="28">
        <f t="shared" si="707"/>
        <v>1</v>
      </c>
      <c r="W1539" s="28">
        <f>VLOOKUP(U1539,Sheet1!$B$6:$C$45,2,FALSE)*V1539</f>
        <v>0.5</v>
      </c>
      <c r="X1539" s="59"/>
      <c r="Y1539" s="12" t="s">
        <v>293</v>
      </c>
      <c r="Z1539" s="68">
        <f>VLOOKUP(Takeoffs!Y1539,Sheet1!$B$6:$C$124,2,FALSE)</f>
        <v>0</v>
      </c>
      <c r="AA1539" s="68">
        <f t="shared" si="708"/>
        <v>0</v>
      </c>
      <c r="AB1539" s="63">
        <f t="shared" si="709"/>
        <v>1</v>
      </c>
      <c r="AC1539" s="28">
        <f t="shared" si="714"/>
        <v>1</v>
      </c>
      <c r="AD1539" s="61">
        <v>1</v>
      </c>
      <c r="AE1539" s="59"/>
      <c r="AF1539" s="12" t="s">
        <v>293</v>
      </c>
      <c r="AG1539" s="68">
        <f>VLOOKUP(Takeoffs!AF1539,Sheet1!$B$6:$C$124,2,FALSE)</f>
        <v>0</v>
      </c>
      <c r="AH1539" s="68">
        <f t="shared" si="710"/>
        <v>0</v>
      </c>
      <c r="AI1539" s="63">
        <f t="shared" si="711"/>
        <v>0</v>
      </c>
      <c r="AJ1539" s="28">
        <f t="shared" si="712"/>
        <v>1</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1</v>
      </c>
      <c r="T1540" s="11"/>
      <c r="U1540" s="12" t="s">
        <v>293</v>
      </c>
      <c r="V1540" s="28">
        <f t="shared" si="707"/>
        <v>1</v>
      </c>
      <c r="W1540" s="28">
        <f>VLOOKUP(U1540,Sheet1!$B$6:$C$45,2,FALSE)*V1540</f>
        <v>0</v>
      </c>
      <c r="X1540" s="59"/>
      <c r="Y1540" s="12" t="s">
        <v>293</v>
      </c>
      <c r="Z1540" s="68">
        <f>VLOOKUP(Takeoffs!Y1540,Sheet1!$B$6:$C$124,2,FALSE)</f>
        <v>0</v>
      </c>
      <c r="AA1540" s="68">
        <f t="shared" si="708"/>
        <v>0</v>
      </c>
      <c r="AB1540" s="63">
        <f t="shared" si="709"/>
        <v>1</v>
      </c>
      <c r="AC1540" s="28">
        <f t="shared" si="714"/>
        <v>1</v>
      </c>
      <c r="AD1540" s="61">
        <v>1</v>
      </c>
      <c r="AE1540" s="59"/>
      <c r="AF1540" s="12" t="s">
        <v>293</v>
      </c>
      <c r="AG1540" s="68">
        <f>VLOOKUP(Takeoffs!AF1540,Sheet1!$B$6:$C$124,2,FALSE)</f>
        <v>0</v>
      </c>
      <c r="AH1540" s="68">
        <f t="shared" si="710"/>
        <v>0</v>
      </c>
      <c r="AI1540" s="63">
        <f t="shared" si="711"/>
        <v>0</v>
      </c>
      <c r="AJ1540" s="28">
        <f t="shared" si="712"/>
        <v>1</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1</v>
      </c>
      <c r="T1541" s="11"/>
      <c r="U1541" s="12" t="s">
        <v>293</v>
      </c>
      <c r="V1541" s="28">
        <f t="shared" si="707"/>
        <v>1</v>
      </c>
      <c r="W1541" s="28">
        <f>VLOOKUP(U1541,Sheet1!$B$6:$C$45,2,FALSE)*V1541</f>
        <v>0</v>
      </c>
      <c r="X1541" s="59"/>
      <c r="Y1541" s="12" t="s">
        <v>293</v>
      </c>
      <c r="Z1541" s="68">
        <f>VLOOKUP(Takeoffs!Y1541,Sheet1!$B$6:$C$124,2,FALSE)</f>
        <v>0</v>
      </c>
      <c r="AA1541" s="68">
        <f t="shared" si="708"/>
        <v>0</v>
      </c>
      <c r="AB1541" s="63">
        <f t="shared" si="709"/>
        <v>1</v>
      </c>
      <c r="AC1541" s="28">
        <f t="shared" si="714"/>
        <v>1</v>
      </c>
      <c r="AD1541" s="61">
        <v>1</v>
      </c>
      <c r="AE1541" s="59"/>
      <c r="AF1541" s="12" t="s">
        <v>293</v>
      </c>
      <c r="AG1541" s="68">
        <f>VLOOKUP(Takeoffs!AF1541,Sheet1!$B$6:$C$124,2,FALSE)</f>
        <v>0</v>
      </c>
      <c r="AH1541" s="68">
        <f t="shared" si="710"/>
        <v>0</v>
      </c>
      <c r="AI1541" s="63">
        <f t="shared" si="711"/>
        <v>0</v>
      </c>
      <c r="AJ1541" s="28">
        <f t="shared" si="712"/>
        <v>1</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1</v>
      </c>
      <c r="T1542" s="11"/>
      <c r="U1542" s="12" t="s">
        <v>293</v>
      </c>
      <c r="V1542" s="28">
        <f t="shared" si="707"/>
        <v>1</v>
      </c>
      <c r="W1542" s="28">
        <f>VLOOKUP(U1542,Sheet1!$B$6:$C$45,2,FALSE)*V1542</f>
        <v>0</v>
      </c>
      <c r="X1542" s="59"/>
      <c r="Y1542" s="12" t="s">
        <v>293</v>
      </c>
      <c r="Z1542" s="68">
        <f>VLOOKUP(Takeoffs!Y1542,Sheet1!$B$6:$C$124,2,FALSE)</f>
        <v>0</v>
      </c>
      <c r="AA1542" s="68">
        <f t="shared" si="708"/>
        <v>0</v>
      </c>
      <c r="AB1542" s="63">
        <f t="shared" si="709"/>
        <v>1</v>
      </c>
      <c r="AC1542" s="28">
        <f t="shared" si="714"/>
        <v>1</v>
      </c>
      <c r="AD1542" s="61">
        <v>1</v>
      </c>
      <c r="AE1542" s="59"/>
      <c r="AF1542" s="12" t="s">
        <v>293</v>
      </c>
      <c r="AG1542" s="68">
        <f>VLOOKUP(Takeoffs!AF1542,Sheet1!$B$6:$C$124,2,FALSE)</f>
        <v>0</v>
      </c>
      <c r="AH1542" s="68">
        <f t="shared" si="710"/>
        <v>0</v>
      </c>
      <c r="AI1542" s="63">
        <f t="shared" si="711"/>
        <v>0</v>
      </c>
      <c r="AJ1542" s="28">
        <f t="shared" si="712"/>
        <v>1</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1</v>
      </c>
      <c r="T1543" s="11"/>
      <c r="U1543" s="12" t="s">
        <v>293</v>
      </c>
      <c r="V1543" s="28">
        <f t="shared" si="707"/>
        <v>1</v>
      </c>
      <c r="W1543" s="28">
        <f>VLOOKUP(U1543,Sheet1!$B$6:$C$45,2,FALSE)*V1543</f>
        <v>0</v>
      </c>
      <c r="X1543" s="59"/>
      <c r="Y1543" s="12" t="s">
        <v>293</v>
      </c>
      <c r="Z1543" s="68">
        <f>VLOOKUP(Takeoffs!Y1543,Sheet1!$B$6:$C$124,2,FALSE)</f>
        <v>0</v>
      </c>
      <c r="AA1543" s="68">
        <f t="shared" si="708"/>
        <v>0</v>
      </c>
      <c r="AB1543" s="63">
        <f t="shared" si="709"/>
        <v>1</v>
      </c>
      <c r="AC1543" s="28">
        <f t="shared" si="714"/>
        <v>1</v>
      </c>
      <c r="AD1543" s="61">
        <v>1</v>
      </c>
      <c r="AE1543" s="59"/>
      <c r="AF1543" s="12" t="s">
        <v>293</v>
      </c>
      <c r="AG1543" s="68">
        <f>VLOOKUP(Takeoffs!AF1543,Sheet1!$B$6:$C$124,2,FALSE)</f>
        <v>0</v>
      </c>
      <c r="AH1543" s="68">
        <f t="shared" si="710"/>
        <v>0</v>
      </c>
      <c r="AI1543" s="63">
        <f t="shared" si="711"/>
        <v>0</v>
      </c>
      <c r="AJ1543" s="28">
        <f t="shared" si="712"/>
        <v>1</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1</v>
      </c>
      <c r="T1544" s="11"/>
      <c r="U1544" s="12" t="s">
        <v>293</v>
      </c>
      <c r="V1544" s="28">
        <f t="shared" si="707"/>
        <v>1</v>
      </c>
      <c r="W1544" s="28">
        <f>VLOOKUP(U1544,Sheet1!$B$6:$C$45,2,FALSE)*V1544</f>
        <v>0</v>
      </c>
      <c r="X1544" s="59"/>
      <c r="Y1544" s="12" t="s">
        <v>293</v>
      </c>
      <c r="Z1544" s="68">
        <f>VLOOKUP(Takeoffs!Y1544,Sheet1!$B$6:$C$124,2,FALSE)</f>
        <v>0</v>
      </c>
      <c r="AA1544" s="68">
        <f t="shared" si="708"/>
        <v>0</v>
      </c>
      <c r="AB1544" s="63">
        <f t="shared" si="709"/>
        <v>1</v>
      </c>
      <c r="AC1544" s="28">
        <f t="shared" si="714"/>
        <v>1</v>
      </c>
      <c r="AD1544" s="61">
        <v>1</v>
      </c>
      <c r="AE1544" s="59"/>
      <c r="AF1544" s="12" t="s">
        <v>293</v>
      </c>
      <c r="AG1544" s="68">
        <f>VLOOKUP(Takeoffs!AF1544,Sheet1!$B$6:$C$124,2,FALSE)</f>
        <v>0</v>
      </c>
      <c r="AH1544" s="68">
        <f t="shared" si="710"/>
        <v>0</v>
      </c>
      <c r="AI1544" s="63">
        <f t="shared" si="711"/>
        <v>0</v>
      </c>
      <c r="AJ1544" s="28">
        <f t="shared" si="712"/>
        <v>1</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1</v>
      </c>
      <c r="T1545" s="11"/>
      <c r="U1545" s="12" t="s">
        <v>293</v>
      </c>
      <c r="V1545" s="28">
        <f t="shared" si="707"/>
        <v>1</v>
      </c>
      <c r="W1545" s="28">
        <f>VLOOKUP(U1545,Sheet1!$B$6:$C$45,2,FALSE)*V1545</f>
        <v>0</v>
      </c>
      <c r="X1545" s="59"/>
      <c r="Y1545" s="12" t="s">
        <v>293</v>
      </c>
      <c r="Z1545" s="68">
        <f>VLOOKUP(Takeoffs!Y1545,Sheet1!$B$6:$C$124,2,FALSE)</f>
        <v>0</v>
      </c>
      <c r="AA1545" s="68">
        <f t="shared" si="708"/>
        <v>0</v>
      </c>
      <c r="AB1545" s="63">
        <f t="shared" si="709"/>
        <v>1</v>
      </c>
      <c r="AC1545" s="28">
        <f t="shared" si="714"/>
        <v>1</v>
      </c>
      <c r="AD1545" s="61">
        <v>1</v>
      </c>
      <c r="AE1545" s="59"/>
      <c r="AF1545" s="12" t="s">
        <v>293</v>
      </c>
      <c r="AG1545" s="68">
        <f>VLOOKUP(Takeoffs!AF1545,Sheet1!$B$6:$C$124,2,FALSE)</f>
        <v>0</v>
      </c>
      <c r="AH1545" s="68">
        <f t="shared" si="710"/>
        <v>0</v>
      </c>
      <c r="AI1545" s="63">
        <f t="shared" si="711"/>
        <v>0</v>
      </c>
      <c r="AJ1545" s="28">
        <f t="shared" si="712"/>
        <v>1</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1</v>
      </c>
      <c r="T1546" s="11"/>
      <c r="U1546" s="12" t="s">
        <v>293</v>
      </c>
      <c r="V1546" s="28">
        <f t="shared" si="707"/>
        <v>1</v>
      </c>
      <c r="W1546" s="28">
        <f>VLOOKUP(U1546,Sheet1!$B$6:$C$45,2,FALSE)*V1546</f>
        <v>0</v>
      </c>
      <c r="X1546" s="59"/>
      <c r="Y1546" s="12" t="s">
        <v>293</v>
      </c>
      <c r="Z1546" s="68">
        <f>VLOOKUP(Takeoffs!Y1546,Sheet1!$B$6:$C$124,2,FALSE)</f>
        <v>0</v>
      </c>
      <c r="AA1546" s="68">
        <f t="shared" si="708"/>
        <v>0</v>
      </c>
      <c r="AB1546" s="63">
        <f t="shared" si="709"/>
        <v>1</v>
      </c>
      <c r="AC1546" s="28">
        <f t="shared" si="714"/>
        <v>1</v>
      </c>
      <c r="AD1546" s="61">
        <v>1</v>
      </c>
      <c r="AE1546" s="59"/>
      <c r="AF1546" s="12" t="s">
        <v>293</v>
      </c>
      <c r="AG1546" s="68">
        <f>VLOOKUP(Takeoffs!AF1546,Sheet1!$B$6:$C$124,2,FALSE)</f>
        <v>0</v>
      </c>
      <c r="AH1546" s="68">
        <f t="shared" si="710"/>
        <v>0</v>
      </c>
      <c r="AI1546" s="63">
        <f t="shared" si="711"/>
        <v>0</v>
      </c>
      <c r="AJ1546" s="28">
        <f t="shared" si="712"/>
        <v>1</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1</v>
      </c>
      <c r="T1547" s="11"/>
      <c r="U1547" s="12" t="s">
        <v>293</v>
      </c>
      <c r="V1547" s="28">
        <f t="shared" si="707"/>
        <v>1</v>
      </c>
      <c r="W1547" s="28">
        <f>VLOOKUP(U1547,Sheet1!$B$6:$C$45,2,FALSE)*V1547</f>
        <v>0</v>
      </c>
      <c r="X1547" s="59"/>
      <c r="Y1547" s="12" t="s">
        <v>293</v>
      </c>
      <c r="Z1547" s="68">
        <f>VLOOKUP(Takeoffs!Y1547,Sheet1!$B$6:$C$124,2,FALSE)</f>
        <v>0</v>
      </c>
      <c r="AA1547" s="68">
        <f t="shared" si="708"/>
        <v>0</v>
      </c>
      <c r="AB1547" s="63">
        <f t="shared" si="709"/>
        <v>1</v>
      </c>
      <c r="AC1547" s="28">
        <f t="shared" si="714"/>
        <v>1</v>
      </c>
      <c r="AD1547" s="61">
        <v>1</v>
      </c>
      <c r="AE1547" s="59"/>
      <c r="AF1547" s="12" t="s">
        <v>293</v>
      </c>
      <c r="AG1547" s="68">
        <f>VLOOKUP(Takeoffs!AF1547,Sheet1!$B$6:$C$124,2,FALSE)</f>
        <v>0</v>
      </c>
      <c r="AH1547" s="68">
        <f t="shared" si="710"/>
        <v>0</v>
      </c>
      <c r="AI1547" s="63">
        <f t="shared" si="711"/>
        <v>0</v>
      </c>
      <c r="AJ1547" s="28">
        <f t="shared" si="712"/>
        <v>1</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1</v>
      </c>
      <c r="T1548" s="11"/>
      <c r="U1548" s="12" t="s">
        <v>293</v>
      </c>
      <c r="V1548" s="28">
        <f t="shared" si="707"/>
        <v>1</v>
      </c>
      <c r="W1548" s="28">
        <f>VLOOKUP(U1548,Sheet1!$B$6:$C$45,2,FALSE)*V1548</f>
        <v>0</v>
      </c>
      <c r="X1548" s="59"/>
      <c r="Y1548" s="12" t="s">
        <v>293</v>
      </c>
      <c r="Z1548" s="68">
        <f>VLOOKUP(Takeoffs!Y1548,Sheet1!$B$6:$C$124,2,FALSE)</f>
        <v>0</v>
      </c>
      <c r="AA1548" s="68">
        <f t="shared" si="708"/>
        <v>0</v>
      </c>
      <c r="AB1548" s="63">
        <f t="shared" si="709"/>
        <v>1</v>
      </c>
      <c r="AC1548" s="28">
        <f t="shared" si="714"/>
        <v>1</v>
      </c>
      <c r="AD1548" s="61">
        <v>1</v>
      </c>
      <c r="AE1548" s="59"/>
      <c r="AF1548" s="12" t="s">
        <v>293</v>
      </c>
      <c r="AG1548" s="68">
        <f>VLOOKUP(Takeoffs!AF1548,Sheet1!$B$6:$C$124,2,FALSE)</f>
        <v>0</v>
      </c>
      <c r="AH1548" s="68">
        <f t="shared" si="710"/>
        <v>0</v>
      </c>
      <c r="AI1548" s="63">
        <f t="shared" si="711"/>
        <v>0</v>
      </c>
      <c r="AJ1548" s="28">
        <f t="shared" si="712"/>
        <v>1</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1</v>
      </c>
      <c r="T1549" s="11"/>
      <c r="U1549" s="12" t="s">
        <v>293</v>
      </c>
      <c r="V1549" s="28">
        <f t="shared" si="707"/>
        <v>1</v>
      </c>
      <c r="W1549" s="28">
        <f>VLOOKUP(U1549,Sheet1!$B$6:$C$45,2,FALSE)*V1549</f>
        <v>0</v>
      </c>
      <c r="X1549" s="59"/>
      <c r="Y1549" s="12" t="s">
        <v>293</v>
      </c>
      <c r="Z1549" s="68">
        <f>VLOOKUP(Takeoffs!Y1549,Sheet1!$B$6:$C$124,2,FALSE)</f>
        <v>0</v>
      </c>
      <c r="AA1549" s="68">
        <f t="shared" si="708"/>
        <v>0</v>
      </c>
      <c r="AB1549" s="63">
        <f t="shared" si="709"/>
        <v>1</v>
      </c>
      <c r="AC1549" s="28">
        <f t="shared" si="714"/>
        <v>1</v>
      </c>
      <c r="AD1549" s="61">
        <v>1</v>
      </c>
      <c r="AE1549" s="59"/>
      <c r="AF1549" s="12" t="s">
        <v>293</v>
      </c>
      <c r="AG1549" s="68">
        <f>VLOOKUP(Takeoffs!AF1549,Sheet1!$B$6:$C$124,2,FALSE)</f>
        <v>0</v>
      </c>
      <c r="AH1549" s="68">
        <f t="shared" si="710"/>
        <v>0</v>
      </c>
      <c r="AI1549" s="63">
        <f t="shared" si="711"/>
        <v>0</v>
      </c>
      <c r="AJ1549" s="28">
        <f t="shared" si="712"/>
        <v>1</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1</v>
      </c>
      <c r="T1550" s="11"/>
      <c r="U1550" s="12" t="s">
        <v>293</v>
      </c>
      <c r="V1550" s="28">
        <f t="shared" si="707"/>
        <v>1</v>
      </c>
      <c r="W1550" s="28">
        <f>VLOOKUP(U1550,Sheet1!$B$6:$C$45,2,FALSE)*V1550</f>
        <v>0</v>
      </c>
      <c r="X1550" s="59"/>
      <c r="Y1550" s="12" t="s">
        <v>293</v>
      </c>
      <c r="Z1550" s="68">
        <f>VLOOKUP(Takeoffs!Y1550,Sheet1!$B$6:$C$124,2,FALSE)</f>
        <v>0</v>
      </c>
      <c r="AA1550" s="68">
        <f t="shared" si="708"/>
        <v>0</v>
      </c>
      <c r="AB1550" s="63">
        <f t="shared" si="709"/>
        <v>1</v>
      </c>
      <c r="AC1550" s="28">
        <f t="shared" si="714"/>
        <v>1</v>
      </c>
      <c r="AD1550" s="61">
        <v>1</v>
      </c>
      <c r="AE1550" s="59"/>
      <c r="AF1550" s="12" t="s">
        <v>293</v>
      </c>
      <c r="AG1550" s="68">
        <f>VLOOKUP(Takeoffs!AF1550,Sheet1!$B$6:$C$124,2,FALSE)</f>
        <v>0</v>
      </c>
      <c r="AH1550" s="68">
        <f t="shared" si="710"/>
        <v>0</v>
      </c>
      <c r="AI1550" s="63">
        <f t="shared" si="711"/>
        <v>0</v>
      </c>
      <c r="AJ1550" s="28">
        <f t="shared" si="712"/>
        <v>1</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1</v>
      </c>
      <c r="T1551" s="11"/>
      <c r="U1551" s="12" t="s">
        <v>293</v>
      </c>
      <c r="V1551" s="28">
        <f t="shared" si="707"/>
        <v>1</v>
      </c>
      <c r="W1551" s="28">
        <f>VLOOKUP(U1551,Sheet1!$B$6:$C$45,2,FALSE)*V1551</f>
        <v>0</v>
      </c>
      <c r="X1551" s="59"/>
      <c r="Y1551" s="12" t="s">
        <v>293</v>
      </c>
      <c r="Z1551" s="68">
        <f>VLOOKUP(Takeoffs!Y1551,Sheet1!$B$6:$C$124,2,FALSE)</f>
        <v>0</v>
      </c>
      <c r="AA1551" s="68">
        <f t="shared" si="708"/>
        <v>0</v>
      </c>
      <c r="AB1551" s="63">
        <f t="shared" si="709"/>
        <v>1</v>
      </c>
      <c r="AC1551" s="28">
        <f t="shared" si="714"/>
        <v>1</v>
      </c>
      <c r="AD1551" s="61">
        <v>1</v>
      </c>
      <c r="AE1551" s="59"/>
      <c r="AF1551" s="12" t="s">
        <v>293</v>
      </c>
      <c r="AG1551" s="68">
        <f>VLOOKUP(Takeoffs!AF1551,Sheet1!$B$6:$C$124,2,FALSE)</f>
        <v>0</v>
      </c>
      <c r="AH1551" s="68">
        <f t="shared" si="710"/>
        <v>0</v>
      </c>
      <c r="AI1551" s="63">
        <f t="shared" si="711"/>
        <v>0</v>
      </c>
      <c r="AJ1551" s="28">
        <f t="shared" si="712"/>
        <v>1</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1</v>
      </c>
      <c r="T1552" s="11"/>
      <c r="U1552" s="12" t="s">
        <v>293</v>
      </c>
      <c r="V1552" s="28">
        <f t="shared" si="707"/>
        <v>1</v>
      </c>
      <c r="W1552" s="28">
        <f>VLOOKUP(U1552,Sheet1!$B$6:$C$45,2,FALSE)*V1552</f>
        <v>0</v>
      </c>
      <c r="X1552" s="59"/>
      <c r="Y1552" s="12" t="s">
        <v>293</v>
      </c>
      <c r="Z1552" s="68">
        <f>VLOOKUP(Takeoffs!Y1552,Sheet1!$B$6:$C$124,2,FALSE)</f>
        <v>0</v>
      </c>
      <c r="AA1552" s="68">
        <f t="shared" si="708"/>
        <v>0</v>
      </c>
      <c r="AB1552" s="63">
        <f t="shared" si="709"/>
        <v>1</v>
      </c>
      <c r="AC1552" s="28">
        <f t="shared" si="714"/>
        <v>1</v>
      </c>
      <c r="AD1552" s="61">
        <v>1</v>
      </c>
      <c r="AE1552" s="59"/>
      <c r="AF1552" s="12" t="s">
        <v>293</v>
      </c>
      <c r="AG1552" s="68">
        <f>VLOOKUP(Takeoffs!AF1552,Sheet1!$B$6:$C$124,2,FALSE)</f>
        <v>0</v>
      </c>
      <c r="AH1552" s="68">
        <f t="shared" si="710"/>
        <v>0</v>
      </c>
      <c r="AI1552" s="63">
        <f t="shared" si="711"/>
        <v>0</v>
      </c>
      <c r="AJ1552" s="28">
        <f t="shared" si="712"/>
        <v>1</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1</v>
      </c>
      <c r="T1553" s="11"/>
      <c r="U1553" s="12" t="s">
        <v>293</v>
      </c>
      <c r="V1553" s="28">
        <f t="shared" si="707"/>
        <v>1</v>
      </c>
      <c r="W1553" s="28">
        <f>VLOOKUP(U1553,Sheet1!$B$6:$C$45,2,FALSE)*V1553</f>
        <v>0</v>
      </c>
      <c r="X1553" s="59"/>
      <c r="Y1553" s="12" t="s">
        <v>293</v>
      </c>
      <c r="Z1553" s="68">
        <f>VLOOKUP(Takeoffs!Y1553,Sheet1!$B$6:$C$124,2,FALSE)</f>
        <v>0</v>
      </c>
      <c r="AA1553" s="68">
        <f t="shared" si="708"/>
        <v>0</v>
      </c>
      <c r="AB1553" s="63">
        <f t="shared" si="709"/>
        <v>1</v>
      </c>
      <c r="AC1553" s="28">
        <f t="shared" si="714"/>
        <v>1</v>
      </c>
      <c r="AD1553" s="61">
        <v>1</v>
      </c>
      <c r="AE1553" s="59"/>
      <c r="AF1553" s="12" t="s">
        <v>293</v>
      </c>
      <c r="AG1553" s="68">
        <f>VLOOKUP(Takeoffs!AF1553,Sheet1!$B$6:$C$124,2,FALSE)</f>
        <v>0</v>
      </c>
      <c r="AH1553" s="68">
        <f t="shared" si="710"/>
        <v>0</v>
      </c>
      <c r="AI1553" s="63">
        <f t="shared" si="711"/>
        <v>0</v>
      </c>
      <c r="AJ1553" s="28">
        <f t="shared" si="712"/>
        <v>1</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1</v>
      </c>
      <c r="T1554" s="11"/>
      <c r="U1554" s="12" t="s">
        <v>293</v>
      </c>
      <c r="V1554" s="28">
        <f t="shared" si="707"/>
        <v>1</v>
      </c>
      <c r="W1554" s="28">
        <f>VLOOKUP(U1554,Sheet1!$B$6:$C$45,2,FALSE)*V1554</f>
        <v>0</v>
      </c>
      <c r="X1554" s="59"/>
      <c r="Y1554" s="12" t="s">
        <v>293</v>
      </c>
      <c r="Z1554" s="68">
        <f>VLOOKUP(Takeoffs!Y1554,Sheet1!$B$6:$C$124,2,FALSE)</f>
        <v>0</v>
      </c>
      <c r="AA1554" s="68">
        <f t="shared" si="708"/>
        <v>0</v>
      </c>
      <c r="AB1554" s="63">
        <f t="shared" si="709"/>
        <v>1</v>
      </c>
      <c r="AC1554" s="28">
        <f t="shared" si="714"/>
        <v>1</v>
      </c>
      <c r="AD1554" s="61">
        <v>1</v>
      </c>
      <c r="AE1554" s="59"/>
      <c r="AF1554" s="12" t="s">
        <v>293</v>
      </c>
      <c r="AG1554" s="68">
        <f>VLOOKUP(Takeoffs!AF1554,Sheet1!$B$6:$C$124,2,FALSE)</f>
        <v>0</v>
      </c>
      <c r="AH1554" s="68">
        <f t="shared" si="710"/>
        <v>0</v>
      </c>
      <c r="AI1554" s="63">
        <f t="shared" si="711"/>
        <v>0</v>
      </c>
      <c r="AJ1554" s="28">
        <f t="shared" si="712"/>
        <v>1</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379</v>
      </c>
      <c r="L1555" s="21" t="s">
        <v>380</v>
      </c>
      <c r="N1555" s="22"/>
      <c r="O1555" s="23" t="s">
        <v>359</v>
      </c>
      <c r="P1555" s="24">
        <f>V1555+AA1555+AH1555</f>
        <v>452.41999999999996</v>
      </c>
      <c r="Q1555" s="24"/>
      <c r="R1555" s="24"/>
      <c r="S1555" s="23"/>
      <c r="T1555" s="20"/>
      <c r="U1555" s="19" t="s">
        <v>353</v>
      </c>
      <c r="V1555" s="20">
        <f>W1555*80</f>
        <v>380</v>
      </c>
      <c r="W1555" s="69">
        <f>SUM(W1534:W1554)</f>
        <v>4.75</v>
      </c>
      <c r="X1555" s="70"/>
      <c r="Y1555" s="20" t="s">
        <v>354</v>
      </c>
      <c r="Z1555" s="2"/>
      <c r="AA1555" s="2">
        <f>SUM(AA1534:AA1554)</f>
        <v>10.139999999999999</v>
      </c>
      <c r="AB1555" s="71"/>
      <c r="AC1555" s="71"/>
      <c r="AD1555" s="71"/>
      <c r="AE1555" s="71"/>
      <c r="AF1555" s="20" t="s">
        <v>358</v>
      </c>
      <c r="AG1555" s="2"/>
      <c r="AH1555" s="2">
        <f>SUM(AH1534:AH1554)</f>
        <v>62.28</v>
      </c>
      <c r="AI1555" s="71"/>
      <c r="AJ1555" s="71"/>
      <c r="AK1555" s="71"/>
      <c r="AL1555" s="71"/>
      <c r="AM1555" s="150">
        <f>P1555</f>
        <v>452.41999999999996</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494</v>
      </c>
      <c r="C1556" s="217" t="str">
        <f>N1534</f>
        <v>Ducted VRF indoor fan coil units</v>
      </c>
      <c r="D1556" s="260" t="s">
        <v>680</v>
      </c>
      <c r="E1556" s="238"/>
      <c r="F1556" s="217"/>
      <c r="G1556" s="217"/>
      <c r="H1556" s="245"/>
      <c r="I1556" s="270">
        <v>1</v>
      </c>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one (1)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452.41999999999996</v>
      </c>
      <c r="L1556" s="234" t="str">
        <f>CONCATENATE(Q1535,Q1536,Q1537,Q1538,Q1539,Q1540,Q1541,Q1542,Q1543,Q1544,Q1545,Q1546,Q1547,Q1548,Q1549,Q1550,Q1551,Q1552,Q1553,Q1554,)</f>
        <v>proprietary air-conditioning controllers. proprietary air-conditioning interconnect cabling for branch connector boxes.</v>
      </c>
      <c r="M1556" s="91" t="s">
        <v>369</v>
      </c>
      <c r="N1556" s="83" t="str">
        <f>N1534</f>
        <v>Ducted VRF indoor fan coil units</v>
      </c>
      <c r="O1556" s="83" t="s">
        <v>367</v>
      </c>
      <c r="P1556" s="64">
        <f>P1555/M1534</f>
        <v>452.41999999999996</v>
      </c>
      <c r="Q1556" s="84"/>
      <c r="R1556" s="84"/>
      <c r="S1556" s="83"/>
      <c r="T1556" s="84"/>
      <c r="U1556" s="327" t="s">
        <v>368</v>
      </c>
      <c r="V1556" s="327"/>
      <c r="W1556" s="85">
        <f>W1555/M1534</f>
        <v>4.75</v>
      </c>
      <c r="X1556" s="86"/>
      <c r="Y1556" s="325" t="s">
        <v>367</v>
      </c>
      <c r="Z1556" s="325"/>
      <c r="AA1556" s="87">
        <f>AA1555/M1534</f>
        <v>10.139999999999999</v>
      </c>
      <c r="AB1556" s="84"/>
      <c r="AC1556" s="84"/>
      <c r="AD1556" s="84"/>
      <c r="AE1556" s="84"/>
      <c r="AF1556" s="325" t="s">
        <v>367</v>
      </c>
      <c r="AG1556" s="325"/>
      <c r="AH1556" s="87">
        <f>AH1555/M1534</f>
        <v>62.28</v>
      </c>
      <c r="AI1556" s="84"/>
      <c r="AJ1556" s="84"/>
      <c r="AK1556" s="84"/>
      <c r="AL1556" s="247"/>
      <c r="AM1556" s="117"/>
      <c r="AN1556" s="236">
        <f>K1556*1.25</f>
        <v>565.52499999999998</v>
      </c>
      <c r="AO1556" s="286"/>
      <c r="AP1556" s="284">
        <f t="shared" ref="AP1556:AP1619" si="716">IF(AND(I1556&gt;0, ISNUMBER(I1556)),I1556*P1556,0)</f>
        <v>452.41999999999996</v>
      </c>
      <c r="AQ1556" s="281">
        <f t="shared" ref="AQ1556:AQ1619" si="717">IF(AND(I1556&gt;0, ISNUMBER(I1556)),I1556*W1556*80,0)</f>
        <v>380</v>
      </c>
      <c r="AR1556" s="284">
        <f t="shared" ref="AR1556:AR1619" si="718">IF(AND(I1556&gt;0, ISNUMBER(I1556)),I1556*AA1556,0)</f>
        <v>10.139999999999999</v>
      </c>
      <c r="AS1556" s="281">
        <f t="shared" ref="AS1556:AS1619" si="719">IF(AND(I1556&gt;0, ISNUMBER(I1556)),I1556*AH1556,0)</f>
        <v>62.28</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454</v>
      </c>
      <c r="M1559" s="116" t="s">
        <v>107</v>
      </c>
      <c r="N1559" s="116" t="s">
        <v>108</v>
      </c>
      <c r="O1559" s="170" t="s">
        <v>388</v>
      </c>
      <c r="P1559" s="326" t="s">
        <v>377</v>
      </c>
      <c r="Q1559" s="326"/>
      <c r="R1559" s="101" t="s">
        <v>454</v>
      </c>
      <c r="S1559" s="116" t="s">
        <v>0</v>
      </c>
      <c r="T1559" s="118"/>
      <c r="U1559" s="116" t="s">
        <v>288</v>
      </c>
      <c r="V1559" s="116" t="s">
        <v>289</v>
      </c>
      <c r="W1559" s="116" t="s">
        <v>292</v>
      </c>
      <c r="X1559" s="140"/>
      <c r="Y1559" s="116" t="s">
        <v>290</v>
      </c>
      <c r="Z1559" s="116" t="s">
        <v>356</v>
      </c>
      <c r="AA1559" s="116" t="s">
        <v>357</v>
      </c>
      <c r="AB1559" s="116" t="s">
        <v>319</v>
      </c>
      <c r="AC1559" s="116" t="s">
        <v>320</v>
      </c>
      <c r="AD1559" s="116" t="s">
        <v>318</v>
      </c>
      <c r="AE1559" s="140"/>
      <c r="AF1559" s="116" t="s">
        <v>294</v>
      </c>
      <c r="AG1559" s="116" t="s">
        <v>356</v>
      </c>
      <c r="AH1559" s="116" t="s">
        <v>357</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one</v>
      </c>
      <c r="M1560" s="121">
        <f>I1582</f>
        <v>1</v>
      </c>
      <c r="N1560" s="132" t="s">
        <v>568</v>
      </c>
      <c r="O1560" s="121" t="s">
        <v>133</v>
      </c>
      <c r="P1560" s="169" t="s">
        <v>381</v>
      </c>
      <c r="Q1560" s="169" t="s">
        <v>377</v>
      </c>
      <c r="R1560" s="169"/>
      <c r="S1560" s="133">
        <f>M1560</f>
        <v>1</v>
      </c>
      <c r="T1560" s="119"/>
      <c r="U1560" s="121" t="s">
        <v>293</v>
      </c>
      <c r="V1560" s="133">
        <f>S1560</f>
        <v>1</v>
      </c>
      <c r="W1560" s="133">
        <f>VLOOKUP(U1560,Sheet1!$B$6:$C$45,2,FALSE)*V1560</f>
        <v>0</v>
      </c>
      <c r="X1560" s="141"/>
      <c r="Y1560" s="121" t="s">
        <v>293</v>
      </c>
      <c r="Z1560" s="146">
        <f>VLOOKUP(Takeoffs!Y1560,Sheet1!$B$6:$C$124,2,FALSE)</f>
        <v>0</v>
      </c>
      <c r="AA1560" s="146">
        <f>Z1560*AB1560</f>
        <v>0</v>
      </c>
      <c r="AB1560" s="143">
        <f>AD1560*AC1560</f>
        <v>1</v>
      </c>
      <c r="AC1560" s="133">
        <f>S1560</f>
        <v>1</v>
      </c>
      <c r="AD1560" s="142">
        <v>1</v>
      </c>
      <c r="AE1560" s="141"/>
      <c r="AF1560" s="121" t="s">
        <v>293</v>
      </c>
      <c r="AG1560" s="146">
        <f>VLOOKUP(Takeoffs!AF1560,Sheet1!$B$6:$C$124,2,FALSE)</f>
        <v>0</v>
      </c>
      <c r="AH1560" s="146">
        <f>AG1560*AI1560</f>
        <v>0</v>
      </c>
      <c r="AI1560" s="143">
        <f>AK1560*AJ1560</f>
        <v>0</v>
      </c>
      <c r="AJ1560" s="133">
        <f>S1560</f>
        <v>1</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397</v>
      </c>
      <c r="P1561" s="121"/>
      <c r="Q1561" s="66"/>
      <c r="R1561" s="121"/>
      <c r="S1561" s="133">
        <f>M1560</f>
        <v>1</v>
      </c>
      <c r="T1561" s="120"/>
      <c r="U1561" s="121" t="s">
        <v>298</v>
      </c>
      <c r="V1561" s="133">
        <f t="shared" ref="V1561:V1580" si="721">S1561</f>
        <v>1</v>
      </c>
      <c r="W1561" s="133">
        <f>VLOOKUP(U1561,Sheet1!$B$6:$C$45,2,FALSE)*V1561</f>
        <v>2</v>
      </c>
      <c r="X1561" s="141"/>
      <c r="Y1561" s="122" t="s">
        <v>250</v>
      </c>
      <c r="Z1561" s="146">
        <f>VLOOKUP(Takeoffs!Y1561,Sheet1!$B$6:$C$124,2,FALSE)</f>
        <v>43.440000000000005</v>
      </c>
      <c r="AA1561" s="146">
        <f t="shared" ref="AA1561:AA1580" si="722">Z1561*AB1561</f>
        <v>43.440000000000005</v>
      </c>
      <c r="AB1561" s="143">
        <f t="shared" ref="AB1561:AB1580" si="723">AD1561*AC1561</f>
        <v>1</v>
      </c>
      <c r="AC1561" s="133">
        <f t="shared" ref="AC1561:AC1580" si="724">S1561</f>
        <v>1</v>
      </c>
      <c r="AD1561" s="142">
        <v>1</v>
      </c>
      <c r="AE1561" s="141"/>
      <c r="AF1561" s="122" t="s">
        <v>266</v>
      </c>
      <c r="AG1561" s="146">
        <f>VLOOKUP(Takeoffs!AF1561,Sheet1!$B$6:$C$124,2,FALSE)</f>
        <v>4.5599999999999996</v>
      </c>
      <c r="AH1561" s="146">
        <f t="shared" ref="AH1561:AH1580" si="725">AG1561*AI1561</f>
        <v>68.399999999999991</v>
      </c>
      <c r="AI1561" s="143">
        <f t="shared" ref="AI1561:AI1580" si="726">AK1561*AJ1561</f>
        <v>15</v>
      </c>
      <c r="AJ1561" s="133">
        <f t="shared" ref="AJ1561:AJ1580" si="727">S1561</f>
        <v>1</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1</v>
      </c>
      <c r="T1562" s="120"/>
      <c r="U1562" s="117" t="s">
        <v>365</v>
      </c>
      <c r="V1562" s="133">
        <f t="shared" si="721"/>
        <v>1</v>
      </c>
      <c r="W1562" s="133">
        <f>VLOOKUP(U1562,Sheet1!$B$6:$C$45,2,FALSE)*V1562</f>
        <v>1</v>
      </c>
      <c r="X1562" s="141"/>
      <c r="Y1562" s="122" t="s">
        <v>245</v>
      </c>
      <c r="Z1562" s="146">
        <f>VLOOKUP(Takeoffs!Y1562,Sheet1!$B$6:$C$124,2,FALSE)</f>
        <v>46.463999999999999</v>
      </c>
      <c r="AA1562" s="146">
        <f t="shared" si="722"/>
        <v>46.463999999999999</v>
      </c>
      <c r="AB1562" s="143">
        <f t="shared" si="723"/>
        <v>1</v>
      </c>
      <c r="AC1562" s="133">
        <f t="shared" si="724"/>
        <v>1</v>
      </c>
      <c r="AD1562" s="142">
        <v>1</v>
      </c>
      <c r="AE1562" s="141"/>
      <c r="AF1562" s="121" t="s">
        <v>293</v>
      </c>
      <c r="AG1562" s="146">
        <f>VLOOKUP(Takeoffs!AF1562,Sheet1!$B$6:$C$124,2,FALSE)</f>
        <v>0</v>
      </c>
      <c r="AH1562" s="146">
        <f t="shared" si="725"/>
        <v>0</v>
      </c>
      <c r="AI1562" s="143">
        <f t="shared" si="726"/>
        <v>0</v>
      </c>
      <c r="AJ1562" s="133">
        <f t="shared" si="727"/>
        <v>1</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1</v>
      </c>
      <c r="T1563" s="120"/>
      <c r="U1563" s="117" t="s">
        <v>365</v>
      </c>
      <c r="V1563" s="133">
        <f t="shared" si="721"/>
        <v>1</v>
      </c>
      <c r="W1563" s="133">
        <f>VLOOKUP(U1563,Sheet1!$B$6:$C$45,2,FALSE)*V1563</f>
        <v>1</v>
      </c>
      <c r="X1563" s="141"/>
      <c r="Y1563" s="121" t="s">
        <v>293</v>
      </c>
      <c r="Z1563" s="146">
        <f>VLOOKUP(Takeoffs!Y1563,Sheet1!$B$6:$C$124,2,FALSE)</f>
        <v>0</v>
      </c>
      <c r="AA1563" s="146">
        <f t="shared" si="722"/>
        <v>0</v>
      </c>
      <c r="AB1563" s="143">
        <f t="shared" si="723"/>
        <v>1</v>
      </c>
      <c r="AC1563" s="133">
        <f t="shared" si="724"/>
        <v>1</v>
      </c>
      <c r="AD1563" s="142">
        <v>1</v>
      </c>
      <c r="AE1563" s="141"/>
      <c r="AF1563" s="121" t="s">
        <v>293</v>
      </c>
      <c r="AG1563" s="146">
        <f>VLOOKUP(Takeoffs!AF1563,Sheet1!$B$6:$C$124,2,FALSE)</f>
        <v>0</v>
      </c>
      <c r="AH1563" s="146">
        <f t="shared" si="725"/>
        <v>0</v>
      </c>
      <c r="AI1563" s="143">
        <f t="shared" si="726"/>
        <v>0</v>
      </c>
      <c r="AJ1563" s="133">
        <f t="shared" si="727"/>
        <v>1</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1</v>
      </c>
      <c r="T1564" s="120"/>
      <c r="U1564" s="121" t="s">
        <v>293</v>
      </c>
      <c r="V1564" s="133">
        <f t="shared" si="721"/>
        <v>1</v>
      </c>
      <c r="W1564" s="133">
        <f>VLOOKUP(U1564,Sheet1!$B$6:$C$45,2,FALSE)*V1564</f>
        <v>0</v>
      </c>
      <c r="X1564" s="141"/>
      <c r="Y1564" s="121" t="s">
        <v>293</v>
      </c>
      <c r="Z1564" s="146">
        <f>VLOOKUP(Takeoffs!Y1564,Sheet1!$B$6:$C$124,2,FALSE)</f>
        <v>0</v>
      </c>
      <c r="AA1564" s="146">
        <f t="shared" si="722"/>
        <v>0</v>
      </c>
      <c r="AB1564" s="143">
        <f t="shared" si="723"/>
        <v>1</v>
      </c>
      <c r="AC1564" s="133">
        <f t="shared" si="724"/>
        <v>1</v>
      </c>
      <c r="AD1564" s="142">
        <v>1</v>
      </c>
      <c r="AE1564" s="141"/>
      <c r="AF1564" s="121" t="s">
        <v>293</v>
      </c>
      <c r="AG1564" s="146">
        <f>VLOOKUP(Takeoffs!AF1564,Sheet1!$B$6:$C$124,2,FALSE)</f>
        <v>0</v>
      </c>
      <c r="AH1564" s="146">
        <f t="shared" si="725"/>
        <v>0</v>
      </c>
      <c r="AI1564" s="143">
        <f t="shared" si="726"/>
        <v>0</v>
      </c>
      <c r="AJ1564" s="133">
        <f t="shared" si="727"/>
        <v>1</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1</v>
      </c>
      <c r="T1565" s="120"/>
      <c r="U1565" s="121" t="s">
        <v>293</v>
      </c>
      <c r="V1565" s="133">
        <f t="shared" si="721"/>
        <v>1</v>
      </c>
      <c r="W1565" s="133">
        <f>VLOOKUP(U1565,Sheet1!$B$6:$C$45,2,FALSE)*V1565</f>
        <v>0</v>
      </c>
      <c r="X1565" s="141"/>
      <c r="Y1565" s="121" t="s">
        <v>293</v>
      </c>
      <c r="Z1565" s="146">
        <f>VLOOKUP(Takeoffs!Y1565,Sheet1!$B$6:$C$124,2,FALSE)</f>
        <v>0</v>
      </c>
      <c r="AA1565" s="146">
        <f t="shared" si="722"/>
        <v>0</v>
      </c>
      <c r="AB1565" s="143">
        <f t="shared" si="723"/>
        <v>1</v>
      </c>
      <c r="AC1565" s="133">
        <f t="shared" si="724"/>
        <v>1</v>
      </c>
      <c r="AD1565" s="142">
        <v>1</v>
      </c>
      <c r="AE1565" s="141"/>
      <c r="AF1565" s="121" t="s">
        <v>293</v>
      </c>
      <c r="AG1565" s="146">
        <f>VLOOKUP(Takeoffs!AF1565,Sheet1!$B$6:$C$124,2,FALSE)</f>
        <v>0</v>
      </c>
      <c r="AH1565" s="146">
        <f t="shared" si="725"/>
        <v>0</v>
      </c>
      <c r="AI1565" s="143">
        <f t="shared" si="726"/>
        <v>0</v>
      </c>
      <c r="AJ1565" s="133">
        <f t="shared" si="727"/>
        <v>1</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1</v>
      </c>
      <c r="T1566" s="120"/>
      <c r="U1566" s="121" t="s">
        <v>293</v>
      </c>
      <c r="V1566" s="133">
        <f t="shared" si="721"/>
        <v>1</v>
      </c>
      <c r="W1566" s="133">
        <f>VLOOKUP(U1566,Sheet1!$B$6:$C$45,2,FALSE)*V1566</f>
        <v>0</v>
      </c>
      <c r="X1566" s="141"/>
      <c r="Y1566" s="121" t="s">
        <v>293</v>
      </c>
      <c r="Z1566" s="146">
        <f>VLOOKUP(Takeoffs!Y1566,Sheet1!$B$6:$C$124,2,FALSE)</f>
        <v>0</v>
      </c>
      <c r="AA1566" s="146">
        <f t="shared" si="722"/>
        <v>0</v>
      </c>
      <c r="AB1566" s="143">
        <f t="shared" si="723"/>
        <v>1</v>
      </c>
      <c r="AC1566" s="133">
        <f t="shared" si="724"/>
        <v>1</v>
      </c>
      <c r="AD1566" s="142">
        <v>1</v>
      </c>
      <c r="AE1566" s="141"/>
      <c r="AF1566" s="121" t="s">
        <v>293</v>
      </c>
      <c r="AG1566" s="146">
        <f>VLOOKUP(Takeoffs!AF1566,Sheet1!$B$6:$C$124,2,FALSE)</f>
        <v>0</v>
      </c>
      <c r="AH1566" s="146">
        <f t="shared" si="725"/>
        <v>0</v>
      </c>
      <c r="AI1566" s="143">
        <f t="shared" si="726"/>
        <v>0</v>
      </c>
      <c r="AJ1566" s="133">
        <f t="shared" si="727"/>
        <v>1</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1</v>
      </c>
      <c r="T1567" s="120"/>
      <c r="U1567" s="121" t="s">
        <v>293</v>
      </c>
      <c r="V1567" s="133">
        <f t="shared" si="721"/>
        <v>1</v>
      </c>
      <c r="W1567" s="133">
        <f>VLOOKUP(U1567,Sheet1!$B$6:$C$45,2,FALSE)*V1567</f>
        <v>0</v>
      </c>
      <c r="X1567" s="141"/>
      <c r="Y1567" s="121" t="s">
        <v>293</v>
      </c>
      <c r="Z1567" s="146">
        <f>VLOOKUP(Takeoffs!Y1567,Sheet1!$B$6:$C$124,2,FALSE)</f>
        <v>0</v>
      </c>
      <c r="AA1567" s="146">
        <f t="shared" si="722"/>
        <v>0</v>
      </c>
      <c r="AB1567" s="143">
        <f t="shared" si="723"/>
        <v>1</v>
      </c>
      <c r="AC1567" s="133">
        <f t="shared" si="724"/>
        <v>1</v>
      </c>
      <c r="AD1567" s="142">
        <v>1</v>
      </c>
      <c r="AE1567" s="141"/>
      <c r="AF1567" s="121" t="s">
        <v>293</v>
      </c>
      <c r="AG1567" s="146">
        <f>VLOOKUP(Takeoffs!AF1567,Sheet1!$B$6:$C$124,2,FALSE)</f>
        <v>0</v>
      </c>
      <c r="AH1567" s="146">
        <f t="shared" si="725"/>
        <v>0</v>
      </c>
      <c r="AI1567" s="143">
        <f t="shared" si="726"/>
        <v>0</v>
      </c>
      <c r="AJ1567" s="133">
        <f t="shared" si="727"/>
        <v>1</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1</v>
      </c>
      <c r="T1568" s="120"/>
      <c r="U1568" s="121" t="s">
        <v>293</v>
      </c>
      <c r="V1568" s="133">
        <f t="shared" si="721"/>
        <v>1</v>
      </c>
      <c r="W1568" s="133">
        <f>VLOOKUP(U1568,Sheet1!$B$6:$C$45,2,FALSE)*V1568</f>
        <v>0</v>
      </c>
      <c r="X1568" s="141"/>
      <c r="Y1568" s="121" t="s">
        <v>293</v>
      </c>
      <c r="Z1568" s="146">
        <f>VLOOKUP(Takeoffs!Y1568,Sheet1!$B$6:$C$124,2,FALSE)</f>
        <v>0</v>
      </c>
      <c r="AA1568" s="146">
        <f t="shared" si="722"/>
        <v>0</v>
      </c>
      <c r="AB1568" s="143">
        <f t="shared" si="723"/>
        <v>1</v>
      </c>
      <c r="AC1568" s="133">
        <f t="shared" si="724"/>
        <v>1</v>
      </c>
      <c r="AD1568" s="142">
        <v>1</v>
      </c>
      <c r="AE1568" s="141"/>
      <c r="AF1568" s="121" t="s">
        <v>293</v>
      </c>
      <c r="AG1568" s="146">
        <f>VLOOKUP(Takeoffs!AF1568,Sheet1!$B$6:$C$124,2,FALSE)</f>
        <v>0</v>
      </c>
      <c r="AH1568" s="146">
        <f t="shared" si="725"/>
        <v>0</v>
      </c>
      <c r="AI1568" s="143">
        <f t="shared" si="726"/>
        <v>0</v>
      </c>
      <c r="AJ1568" s="133">
        <f t="shared" si="727"/>
        <v>1</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1</v>
      </c>
      <c r="T1569" s="120"/>
      <c r="U1569" s="121" t="s">
        <v>293</v>
      </c>
      <c r="V1569" s="133">
        <f t="shared" si="721"/>
        <v>1</v>
      </c>
      <c r="W1569" s="133">
        <f>VLOOKUP(U1569,Sheet1!$B$6:$C$45,2,FALSE)*V1569</f>
        <v>0</v>
      </c>
      <c r="X1569" s="141"/>
      <c r="Y1569" s="121" t="s">
        <v>293</v>
      </c>
      <c r="Z1569" s="146">
        <f>VLOOKUP(Takeoffs!Y1569,Sheet1!$B$6:$C$124,2,FALSE)</f>
        <v>0</v>
      </c>
      <c r="AA1569" s="146">
        <f t="shared" si="722"/>
        <v>0</v>
      </c>
      <c r="AB1569" s="143">
        <f t="shared" si="723"/>
        <v>1</v>
      </c>
      <c r="AC1569" s="133">
        <f t="shared" si="724"/>
        <v>1</v>
      </c>
      <c r="AD1569" s="142">
        <v>1</v>
      </c>
      <c r="AE1569" s="141"/>
      <c r="AF1569" s="121" t="s">
        <v>293</v>
      </c>
      <c r="AG1569" s="146">
        <f>VLOOKUP(Takeoffs!AF1569,Sheet1!$B$6:$C$124,2,FALSE)</f>
        <v>0</v>
      </c>
      <c r="AH1569" s="146">
        <f t="shared" si="725"/>
        <v>0</v>
      </c>
      <c r="AI1569" s="143">
        <f t="shared" si="726"/>
        <v>0</v>
      </c>
      <c r="AJ1569" s="133">
        <f t="shared" si="727"/>
        <v>1</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1</v>
      </c>
      <c r="T1570" s="120"/>
      <c r="U1570" s="121" t="s">
        <v>293</v>
      </c>
      <c r="V1570" s="133">
        <f t="shared" si="721"/>
        <v>1</v>
      </c>
      <c r="W1570" s="133">
        <f>VLOOKUP(U1570,Sheet1!$B$6:$C$45,2,FALSE)*V1570</f>
        <v>0</v>
      </c>
      <c r="X1570" s="141"/>
      <c r="Y1570" s="121" t="s">
        <v>293</v>
      </c>
      <c r="Z1570" s="146">
        <f>VLOOKUP(Takeoffs!Y1570,Sheet1!$B$6:$C$124,2,FALSE)</f>
        <v>0</v>
      </c>
      <c r="AA1570" s="146">
        <f t="shared" si="722"/>
        <v>0</v>
      </c>
      <c r="AB1570" s="143">
        <f t="shared" si="723"/>
        <v>1</v>
      </c>
      <c r="AC1570" s="133">
        <f t="shared" si="724"/>
        <v>1</v>
      </c>
      <c r="AD1570" s="142">
        <v>1</v>
      </c>
      <c r="AE1570" s="141"/>
      <c r="AF1570" s="121" t="s">
        <v>293</v>
      </c>
      <c r="AG1570" s="146">
        <f>VLOOKUP(Takeoffs!AF1570,Sheet1!$B$6:$C$124,2,FALSE)</f>
        <v>0</v>
      </c>
      <c r="AH1570" s="146">
        <f t="shared" si="725"/>
        <v>0</v>
      </c>
      <c r="AI1570" s="143">
        <f t="shared" si="726"/>
        <v>0</v>
      </c>
      <c r="AJ1570" s="133">
        <f t="shared" si="727"/>
        <v>1</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1</v>
      </c>
      <c r="T1571" s="120"/>
      <c r="U1571" s="121" t="s">
        <v>293</v>
      </c>
      <c r="V1571" s="133">
        <f t="shared" si="721"/>
        <v>1</v>
      </c>
      <c r="W1571" s="133">
        <f>VLOOKUP(U1571,Sheet1!$B$6:$C$45,2,FALSE)*V1571</f>
        <v>0</v>
      </c>
      <c r="X1571" s="141"/>
      <c r="Y1571" s="121" t="s">
        <v>293</v>
      </c>
      <c r="Z1571" s="146">
        <f>VLOOKUP(Takeoffs!Y1571,Sheet1!$B$6:$C$124,2,FALSE)</f>
        <v>0</v>
      </c>
      <c r="AA1571" s="146">
        <f t="shared" si="722"/>
        <v>0</v>
      </c>
      <c r="AB1571" s="143">
        <f t="shared" si="723"/>
        <v>1</v>
      </c>
      <c r="AC1571" s="133">
        <f t="shared" si="724"/>
        <v>1</v>
      </c>
      <c r="AD1571" s="142">
        <v>1</v>
      </c>
      <c r="AE1571" s="141"/>
      <c r="AF1571" s="121" t="s">
        <v>293</v>
      </c>
      <c r="AG1571" s="146">
        <f>VLOOKUP(Takeoffs!AF1571,Sheet1!$B$6:$C$124,2,FALSE)</f>
        <v>0</v>
      </c>
      <c r="AH1571" s="146">
        <f t="shared" si="725"/>
        <v>0</v>
      </c>
      <c r="AI1571" s="143">
        <f t="shared" si="726"/>
        <v>0</v>
      </c>
      <c r="AJ1571" s="133">
        <f t="shared" si="727"/>
        <v>1</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1</v>
      </c>
      <c r="T1572" s="120"/>
      <c r="U1572" s="121" t="s">
        <v>293</v>
      </c>
      <c r="V1572" s="133">
        <f t="shared" si="721"/>
        <v>1</v>
      </c>
      <c r="W1572" s="133">
        <f>VLOOKUP(U1572,Sheet1!$B$6:$C$45,2,FALSE)*V1572</f>
        <v>0</v>
      </c>
      <c r="X1572" s="141"/>
      <c r="Y1572" s="121" t="s">
        <v>293</v>
      </c>
      <c r="Z1572" s="146">
        <f>VLOOKUP(Takeoffs!Y1572,Sheet1!$B$6:$C$124,2,FALSE)</f>
        <v>0</v>
      </c>
      <c r="AA1572" s="146">
        <f t="shared" si="722"/>
        <v>0</v>
      </c>
      <c r="AB1572" s="143">
        <f t="shared" si="723"/>
        <v>1</v>
      </c>
      <c r="AC1572" s="133">
        <f t="shared" si="724"/>
        <v>1</v>
      </c>
      <c r="AD1572" s="142">
        <v>1</v>
      </c>
      <c r="AE1572" s="141"/>
      <c r="AF1572" s="121" t="s">
        <v>293</v>
      </c>
      <c r="AG1572" s="146">
        <f>VLOOKUP(Takeoffs!AF1572,Sheet1!$B$6:$C$124,2,FALSE)</f>
        <v>0</v>
      </c>
      <c r="AH1572" s="146">
        <f t="shared" si="725"/>
        <v>0</v>
      </c>
      <c r="AI1572" s="143">
        <f t="shared" si="726"/>
        <v>0</v>
      </c>
      <c r="AJ1572" s="133">
        <f t="shared" si="727"/>
        <v>1</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1</v>
      </c>
      <c r="T1573" s="120"/>
      <c r="U1573" s="121" t="s">
        <v>293</v>
      </c>
      <c r="V1573" s="133">
        <f t="shared" si="721"/>
        <v>1</v>
      </c>
      <c r="W1573" s="133">
        <f>VLOOKUP(U1573,Sheet1!$B$6:$C$45,2,FALSE)*V1573</f>
        <v>0</v>
      </c>
      <c r="X1573" s="141"/>
      <c r="Y1573" s="121" t="s">
        <v>293</v>
      </c>
      <c r="Z1573" s="146">
        <f>VLOOKUP(Takeoffs!Y1573,Sheet1!$B$6:$C$124,2,FALSE)</f>
        <v>0</v>
      </c>
      <c r="AA1573" s="146">
        <f t="shared" si="722"/>
        <v>0</v>
      </c>
      <c r="AB1573" s="143">
        <f t="shared" si="723"/>
        <v>1</v>
      </c>
      <c r="AC1573" s="133">
        <f t="shared" si="724"/>
        <v>1</v>
      </c>
      <c r="AD1573" s="142">
        <v>1</v>
      </c>
      <c r="AE1573" s="141"/>
      <c r="AF1573" s="121" t="s">
        <v>293</v>
      </c>
      <c r="AG1573" s="146">
        <f>VLOOKUP(Takeoffs!AF1573,Sheet1!$B$6:$C$124,2,FALSE)</f>
        <v>0</v>
      </c>
      <c r="AH1573" s="146">
        <f t="shared" si="725"/>
        <v>0</v>
      </c>
      <c r="AI1573" s="143">
        <f t="shared" si="726"/>
        <v>0</v>
      </c>
      <c r="AJ1573" s="133">
        <f t="shared" si="727"/>
        <v>1</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1</v>
      </c>
      <c r="T1574" s="120"/>
      <c r="U1574" s="121" t="s">
        <v>293</v>
      </c>
      <c r="V1574" s="133">
        <f t="shared" si="721"/>
        <v>1</v>
      </c>
      <c r="W1574" s="133">
        <f>VLOOKUP(U1574,Sheet1!$B$6:$C$45,2,FALSE)*V1574</f>
        <v>0</v>
      </c>
      <c r="X1574" s="141"/>
      <c r="Y1574" s="121" t="s">
        <v>293</v>
      </c>
      <c r="Z1574" s="146">
        <f>VLOOKUP(Takeoffs!Y1574,Sheet1!$B$6:$C$124,2,FALSE)</f>
        <v>0</v>
      </c>
      <c r="AA1574" s="146">
        <f t="shared" si="722"/>
        <v>0</v>
      </c>
      <c r="AB1574" s="143">
        <f t="shared" si="723"/>
        <v>1</v>
      </c>
      <c r="AC1574" s="133">
        <f t="shared" si="724"/>
        <v>1</v>
      </c>
      <c r="AD1574" s="142">
        <v>1</v>
      </c>
      <c r="AE1574" s="141"/>
      <c r="AF1574" s="121" t="s">
        <v>293</v>
      </c>
      <c r="AG1574" s="146">
        <f>VLOOKUP(Takeoffs!AF1574,Sheet1!$B$6:$C$124,2,FALSE)</f>
        <v>0</v>
      </c>
      <c r="AH1574" s="146">
        <f t="shared" si="725"/>
        <v>0</v>
      </c>
      <c r="AI1574" s="143">
        <f t="shared" si="726"/>
        <v>0</v>
      </c>
      <c r="AJ1574" s="133">
        <f t="shared" si="727"/>
        <v>1</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1</v>
      </c>
      <c r="T1575" s="120"/>
      <c r="U1575" s="121" t="s">
        <v>293</v>
      </c>
      <c r="V1575" s="133">
        <f t="shared" si="721"/>
        <v>1</v>
      </c>
      <c r="W1575" s="133">
        <f>VLOOKUP(U1575,Sheet1!$B$6:$C$45,2,FALSE)*V1575</f>
        <v>0</v>
      </c>
      <c r="X1575" s="141"/>
      <c r="Y1575" s="121" t="s">
        <v>293</v>
      </c>
      <c r="Z1575" s="146">
        <f>VLOOKUP(Takeoffs!Y1575,Sheet1!$B$6:$C$124,2,FALSE)</f>
        <v>0</v>
      </c>
      <c r="AA1575" s="146">
        <f t="shared" si="722"/>
        <v>0</v>
      </c>
      <c r="AB1575" s="143">
        <f t="shared" si="723"/>
        <v>1</v>
      </c>
      <c r="AC1575" s="133">
        <f t="shared" si="724"/>
        <v>1</v>
      </c>
      <c r="AD1575" s="142">
        <v>1</v>
      </c>
      <c r="AE1575" s="141"/>
      <c r="AF1575" s="121" t="s">
        <v>293</v>
      </c>
      <c r="AG1575" s="146">
        <f>VLOOKUP(Takeoffs!AF1575,Sheet1!$B$6:$C$124,2,FALSE)</f>
        <v>0</v>
      </c>
      <c r="AH1575" s="146">
        <f t="shared" si="725"/>
        <v>0</v>
      </c>
      <c r="AI1575" s="143">
        <f t="shared" si="726"/>
        <v>0</v>
      </c>
      <c r="AJ1575" s="133">
        <f t="shared" si="727"/>
        <v>1</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1</v>
      </c>
      <c r="T1576" s="120"/>
      <c r="U1576" s="121" t="s">
        <v>293</v>
      </c>
      <c r="V1576" s="133">
        <f t="shared" si="721"/>
        <v>1</v>
      </c>
      <c r="W1576" s="133">
        <f>VLOOKUP(U1576,Sheet1!$B$6:$C$45,2,FALSE)*V1576</f>
        <v>0</v>
      </c>
      <c r="X1576" s="141"/>
      <c r="Y1576" s="121" t="s">
        <v>293</v>
      </c>
      <c r="Z1576" s="146">
        <f>VLOOKUP(Takeoffs!Y1576,Sheet1!$B$6:$C$124,2,FALSE)</f>
        <v>0</v>
      </c>
      <c r="AA1576" s="146">
        <f t="shared" si="722"/>
        <v>0</v>
      </c>
      <c r="AB1576" s="143">
        <f t="shared" si="723"/>
        <v>1</v>
      </c>
      <c r="AC1576" s="133">
        <f t="shared" si="724"/>
        <v>1</v>
      </c>
      <c r="AD1576" s="142">
        <v>1</v>
      </c>
      <c r="AE1576" s="141"/>
      <c r="AF1576" s="121" t="s">
        <v>293</v>
      </c>
      <c r="AG1576" s="146">
        <f>VLOOKUP(Takeoffs!AF1576,Sheet1!$B$6:$C$124,2,FALSE)</f>
        <v>0</v>
      </c>
      <c r="AH1576" s="146">
        <f t="shared" si="725"/>
        <v>0</v>
      </c>
      <c r="AI1576" s="143">
        <f t="shared" si="726"/>
        <v>0</v>
      </c>
      <c r="AJ1576" s="133">
        <f t="shared" si="727"/>
        <v>1</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1</v>
      </c>
      <c r="T1577" s="120"/>
      <c r="U1577" s="121" t="s">
        <v>293</v>
      </c>
      <c r="V1577" s="133">
        <f t="shared" si="721"/>
        <v>1</v>
      </c>
      <c r="W1577" s="133">
        <f>VLOOKUP(U1577,Sheet1!$B$6:$C$45,2,FALSE)*V1577</f>
        <v>0</v>
      </c>
      <c r="X1577" s="141"/>
      <c r="Y1577" s="121" t="s">
        <v>293</v>
      </c>
      <c r="Z1577" s="146">
        <f>VLOOKUP(Takeoffs!Y1577,Sheet1!$B$6:$C$124,2,FALSE)</f>
        <v>0</v>
      </c>
      <c r="AA1577" s="146">
        <f t="shared" si="722"/>
        <v>0</v>
      </c>
      <c r="AB1577" s="143">
        <f t="shared" si="723"/>
        <v>1</v>
      </c>
      <c r="AC1577" s="133">
        <f t="shared" si="724"/>
        <v>1</v>
      </c>
      <c r="AD1577" s="142">
        <v>1</v>
      </c>
      <c r="AE1577" s="141"/>
      <c r="AF1577" s="121" t="s">
        <v>293</v>
      </c>
      <c r="AG1577" s="146">
        <f>VLOOKUP(Takeoffs!AF1577,Sheet1!$B$6:$C$124,2,FALSE)</f>
        <v>0</v>
      </c>
      <c r="AH1577" s="146">
        <f t="shared" si="725"/>
        <v>0</v>
      </c>
      <c r="AI1577" s="143">
        <f t="shared" si="726"/>
        <v>0</v>
      </c>
      <c r="AJ1577" s="133">
        <f t="shared" si="727"/>
        <v>1</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1</v>
      </c>
      <c r="T1578" s="120"/>
      <c r="U1578" s="121" t="s">
        <v>293</v>
      </c>
      <c r="V1578" s="133">
        <f t="shared" si="721"/>
        <v>1</v>
      </c>
      <c r="W1578" s="133">
        <f>VLOOKUP(U1578,Sheet1!$B$6:$C$45,2,FALSE)*V1578</f>
        <v>0</v>
      </c>
      <c r="X1578" s="141"/>
      <c r="Y1578" s="121" t="s">
        <v>293</v>
      </c>
      <c r="Z1578" s="146">
        <f>VLOOKUP(Takeoffs!Y1578,Sheet1!$B$6:$C$124,2,FALSE)</f>
        <v>0</v>
      </c>
      <c r="AA1578" s="146">
        <f t="shared" si="722"/>
        <v>0</v>
      </c>
      <c r="AB1578" s="143">
        <f t="shared" si="723"/>
        <v>1</v>
      </c>
      <c r="AC1578" s="133">
        <f t="shared" si="724"/>
        <v>1</v>
      </c>
      <c r="AD1578" s="142">
        <v>1</v>
      </c>
      <c r="AE1578" s="141"/>
      <c r="AF1578" s="121" t="s">
        <v>293</v>
      </c>
      <c r="AG1578" s="146">
        <f>VLOOKUP(Takeoffs!AF1578,Sheet1!$B$6:$C$124,2,FALSE)</f>
        <v>0</v>
      </c>
      <c r="AH1578" s="146">
        <f t="shared" si="725"/>
        <v>0</v>
      </c>
      <c r="AI1578" s="143">
        <f t="shared" si="726"/>
        <v>0</v>
      </c>
      <c r="AJ1578" s="133">
        <f t="shared" si="727"/>
        <v>1</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1</v>
      </c>
      <c r="T1579" s="120"/>
      <c r="U1579" s="121" t="s">
        <v>293</v>
      </c>
      <c r="V1579" s="133">
        <f t="shared" si="721"/>
        <v>1</v>
      </c>
      <c r="W1579" s="133">
        <f>VLOOKUP(U1579,Sheet1!$B$6:$C$45,2,FALSE)*V1579</f>
        <v>0</v>
      </c>
      <c r="X1579" s="141"/>
      <c r="Y1579" s="121" t="s">
        <v>293</v>
      </c>
      <c r="Z1579" s="146">
        <f>VLOOKUP(Takeoffs!Y1579,Sheet1!$B$6:$C$124,2,FALSE)</f>
        <v>0</v>
      </c>
      <c r="AA1579" s="146">
        <f t="shared" si="722"/>
        <v>0</v>
      </c>
      <c r="AB1579" s="143">
        <f t="shared" si="723"/>
        <v>1</v>
      </c>
      <c r="AC1579" s="133">
        <f t="shared" si="724"/>
        <v>1</v>
      </c>
      <c r="AD1579" s="142">
        <v>1</v>
      </c>
      <c r="AE1579" s="141"/>
      <c r="AF1579" s="121" t="s">
        <v>293</v>
      </c>
      <c r="AG1579" s="146">
        <f>VLOOKUP(Takeoffs!AF1579,Sheet1!$B$6:$C$124,2,FALSE)</f>
        <v>0</v>
      </c>
      <c r="AH1579" s="146">
        <f t="shared" si="725"/>
        <v>0</v>
      </c>
      <c r="AI1579" s="143">
        <f t="shared" si="726"/>
        <v>0</v>
      </c>
      <c r="AJ1579" s="133">
        <f t="shared" si="727"/>
        <v>1</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1</v>
      </c>
      <c r="T1580" s="120"/>
      <c r="U1580" s="121" t="s">
        <v>293</v>
      </c>
      <c r="V1580" s="133">
        <f t="shared" si="721"/>
        <v>1</v>
      </c>
      <c r="W1580" s="133">
        <f>VLOOKUP(U1580,Sheet1!$B$6:$C$45,2,FALSE)*V1580</f>
        <v>0</v>
      </c>
      <c r="X1580" s="141"/>
      <c r="Y1580" s="121" t="s">
        <v>293</v>
      </c>
      <c r="Z1580" s="146">
        <f>VLOOKUP(Takeoffs!Y1580,Sheet1!$B$6:$C$124,2,FALSE)</f>
        <v>0</v>
      </c>
      <c r="AA1580" s="146">
        <f t="shared" si="722"/>
        <v>0</v>
      </c>
      <c r="AB1580" s="143">
        <f t="shared" si="723"/>
        <v>1</v>
      </c>
      <c r="AC1580" s="133">
        <f t="shared" si="724"/>
        <v>1</v>
      </c>
      <c r="AD1580" s="142">
        <v>1</v>
      </c>
      <c r="AE1580" s="141"/>
      <c r="AF1580" s="121" t="s">
        <v>293</v>
      </c>
      <c r="AG1580" s="146">
        <f>VLOOKUP(Takeoffs!AF1580,Sheet1!$B$6:$C$124,2,FALSE)</f>
        <v>0</v>
      </c>
      <c r="AH1580" s="146">
        <f t="shared" si="725"/>
        <v>0</v>
      </c>
      <c r="AI1580" s="143">
        <f t="shared" si="726"/>
        <v>0</v>
      </c>
      <c r="AJ1580" s="133">
        <f t="shared" si="727"/>
        <v>1</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379</v>
      </c>
      <c r="L1581" s="128" t="s">
        <v>380</v>
      </c>
      <c r="N1581" s="129"/>
      <c r="O1581" s="130" t="s">
        <v>359</v>
      </c>
      <c r="P1581" s="131">
        <f>V1581+AA1581+AH1581</f>
        <v>478.30399999999997</v>
      </c>
      <c r="Q1581" s="131"/>
      <c r="R1581" s="131"/>
      <c r="S1581" s="130"/>
      <c r="T1581" s="127"/>
      <c r="U1581" s="126" t="s">
        <v>353</v>
      </c>
      <c r="V1581" s="127">
        <f>W1581*80</f>
        <v>320</v>
      </c>
      <c r="W1581" s="147">
        <f>SUM(W1560:W1580)</f>
        <v>4</v>
      </c>
      <c r="X1581" s="148"/>
      <c r="Y1581" s="127" t="s">
        <v>354</v>
      </c>
      <c r="Z1581" s="116"/>
      <c r="AA1581" s="116">
        <f>SUM(AA1560:AA1580)</f>
        <v>89.903999999999996</v>
      </c>
      <c r="AB1581" s="149"/>
      <c r="AC1581" s="149"/>
      <c r="AD1581" s="149"/>
      <c r="AE1581" s="149"/>
      <c r="AF1581" s="127" t="s">
        <v>358</v>
      </c>
      <c r="AG1581" s="116"/>
      <c r="AH1581" s="116">
        <f>SUM(AH1560:AH1580)</f>
        <v>68.399999999999991</v>
      </c>
      <c r="AI1581" s="149"/>
      <c r="AJ1581" s="149"/>
      <c r="AK1581" s="149"/>
      <c r="AL1581" s="149"/>
      <c r="AM1581" s="150">
        <f>P1581</f>
        <v>478.30399999999997</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494</v>
      </c>
      <c r="C1582" s="217" t="str">
        <f>N1560</f>
        <v>Packaged units</v>
      </c>
      <c r="D1582" s="260" t="s">
        <v>681</v>
      </c>
      <c r="E1582" s="238"/>
      <c r="F1582" s="217"/>
      <c r="G1582" s="217">
        <v>2</v>
      </c>
      <c r="H1582" s="245"/>
      <c r="I1582" s="270">
        <v>1</v>
      </c>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one (1) Packaged units. This includes supply and install of CB, cabling from MSSB </v>
      </c>
      <c r="K1582" s="246">
        <f>P1581</f>
        <v>478.30399999999997</v>
      </c>
      <c r="L1582" s="235" t="str">
        <f>CONCATENATE(Q1561,Q1562,Q1563,Q1564,Q1565,Q1566,Q1567,Q1568,Q1569,Q1570,Q1571,Q1572,Q1573,Q1574,Q1575,Q1576,Q1577,Q1578,Q1579,Q1580,)</f>
        <v/>
      </c>
      <c r="M1582" s="166" t="s">
        <v>369</v>
      </c>
      <c r="N1582" s="160" t="str">
        <f>N1560</f>
        <v>Packaged units</v>
      </c>
      <c r="O1582" s="160" t="s">
        <v>367</v>
      </c>
      <c r="P1582" s="64">
        <f>P1581/M1560</f>
        <v>478.30399999999997</v>
      </c>
      <c r="Q1582" s="161"/>
      <c r="R1582" s="161"/>
      <c r="S1582" s="160"/>
      <c r="T1582" s="161"/>
      <c r="U1582" s="327" t="s">
        <v>368</v>
      </c>
      <c r="V1582" s="327"/>
      <c r="W1582" s="162">
        <f>W1581/M1560</f>
        <v>4</v>
      </c>
      <c r="X1582" s="163"/>
      <c r="Y1582" s="325" t="s">
        <v>367</v>
      </c>
      <c r="Z1582" s="325"/>
      <c r="AA1582" s="164">
        <f>AA1581/M1560</f>
        <v>89.903999999999996</v>
      </c>
      <c r="AB1582" s="161"/>
      <c r="AC1582" s="161"/>
      <c r="AD1582" s="161"/>
      <c r="AE1582" s="161"/>
      <c r="AF1582" s="325" t="s">
        <v>367</v>
      </c>
      <c r="AG1582" s="325"/>
      <c r="AH1582" s="164">
        <f>AH1581/M1560</f>
        <v>68.399999999999991</v>
      </c>
      <c r="AI1582" s="161"/>
      <c r="AJ1582" s="161"/>
      <c r="AK1582" s="161"/>
      <c r="AL1582" s="247"/>
      <c r="AM1582" s="257"/>
      <c r="AN1582" s="230">
        <f>K1582*1.25</f>
        <v>597.88</v>
      </c>
      <c r="AO1582" s="286"/>
      <c r="AP1582" s="284">
        <f t="shared" si="716"/>
        <v>478.30399999999997</v>
      </c>
      <c r="AQ1582" s="281">
        <f t="shared" si="717"/>
        <v>320</v>
      </c>
      <c r="AR1582" s="284">
        <f t="shared" si="718"/>
        <v>89.903999999999996</v>
      </c>
      <c r="AS1582" s="281">
        <f t="shared" si="719"/>
        <v>68.399999999999991</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454</v>
      </c>
      <c r="M1583" s="116" t="s">
        <v>107</v>
      </c>
      <c r="N1583" s="116" t="s">
        <v>108</v>
      </c>
      <c r="O1583" s="170" t="s">
        <v>388</v>
      </c>
      <c r="P1583" s="326" t="s">
        <v>377</v>
      </c>
      <c r="Q1583" s="326"/>
      <c r="R1583" s="101" t="s">
        <v>454</v>
      </c>
      <c r="S1583" s="116" t="s">
        <v>0</v>
      </c>
      <c r="T1583" s="118"/>
      <c r="U1583" s="116" t="s">
        <v>288</v>
      </c>
      <c r="V1583" s="116" t="s">
        <v>289</v>
      </c>
      <c r="W1583" s="116" t="s">
        <v>292</v>
      </c>
      <c r="X1583" s="140"/>
      <c r="Y1583" s="116" t="s">
        <v>290</v>
      </c>
      <c r="Z1583" s="116" t="s">
        <v>356</v>
      </c>
      <c r="AA1583" s="116" t="s">
        <v>357</v>
      </c>
      <c r="AB1583" s="116" t="s">
        <v>319</v>
      </c>
      <c r="AC1583" s="116" t="s">
        <v>320</v>
      </c>
      <c r="AD1583" s="116" t="s">
        <v>318</v>
      </c>
      <c r="AE1583" s="140"/>
      <c r="AF1583" s="116" t="s">
        <v>294</v>
      </c>
      <c r="AG1583" s="116" t="s">
        <v>356</v>
      </c>
      <c r="AH1583" s="116" t="s">
        <v>357</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one</v>
      </c>
      <c r="M1584" s="121">
        <f>I1606</f>
        <v>1</v>
      </c>
      <c r="N1584" s="132" t="s">
        <v>622</v>
      </c>
      <c r="O1584" s="121" t="s">
        <v>133</v>
      </c>
      <c r="P1584" s="169" t="s">
        <v>381</v>
      </c>
      <c r="Q1584" s="169" t="s">
        <v>377</v>
      </c>
      <c r="R1584" s="169"/>
      <c r="S1584" s="133">
        <f>M1584</f>
        <v>1</v>
      </c>
      <c r="T1584" s="119"/>
      <c r="U1584" s="121" t="s">
        <v>293</v>
      </c>
      <c r="V1584" s="133">
        <f>S1584</f>
        <v>1</v>
      </c>
      <c r="W1584" s="133">
        <f>VLOOKUP(U1584,Sheet1!$B$6:$C$45,2,FALSE)*V1584</f>
        <v>0</v>
      </c>
      <c r="X1584" s="141"/>
      <c r="Y1584" s="121" t="s">
        <v>293</v>
      </c>
      <c r="Z1584" s="146">
        <f>VLOOKUP(Takeoffs!Y1584,Sheet1!$B$6:$C$124,2,FALSE)</f>
        <v>0</v>
      </c>
      <c r="AA1584" s="146">
        <f>Z1584*AB1584</f>
        <v>0</v>
      </c>
      <c r="AB1584" s="143">
        <f>AD1584*AC1584</f>
        <v>1</v>
      </c>
      <c r="AC1584" s="133">
        <f>S1584</f>
        <v>1</v>
      </c>
      <c r="AD1584" s="142">
        <v>1</v>
      </c>
      <c r="AE1584" s="141"/>
      <c r="AF1584" s="121" t="s">
        <v>293</v>
      </c>
      <c r="AG1584" s="146">
        <f>VLOOKUP(Takeoffs!AF1584,Sheet1!$B$6:$C$124,2,FALSE)</f>
        <v>0</v>
      </c>
      <c r="AH1584" s="146">
        <f>AG1584*AI1584</f>
        <v>0</v>
      </c>
      <c r="AI1584" s="143">
        <f>AK1584*AJ1584</f>
        <v>0</v>
      </c>
      <c r="AJ1584" s="133">
        <f>S1584</f>
        <v>1</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1</v>
      </c>
      <c r="T1585" s="120"/>
      <c r="U1585" s="121" t="s">
        <v>293</v>
      </c>
      <c r="V1585" s="133">
        <f t="shared" ref="V1585:V1604" si="730">S1585</f>
        <v>1</v>
      </c>
      <c r="W1585" s="133">
        <f>VLOOKUP(U1585,Sheet1!$B$6:$C$45,2,FALSE)*V1585</f>
        <v>0</v>
      </c>
      <c r="X1585" s="141"/>
      <c r="Y1585" s="122" t="s">
        <v>250</v>
      </c>
      <c r="Z1585" s="146">
        <f>VLOOKUP(Takeoffs!Y1585,Sheet1!$B$6:$C$124,2,FALSE)</f>
        <v>43.440000000000005</v>
      </c>
      <c r="AA1585" s="146">
        <f t="shared" ref="AA1585:AA1604" si="731">Z1585*AB1585</f>
        <v>43.440000000000005</v>
      </c>
      <c r="AB1585" s="143">
        <f t="shared" ref="AB1585:AB1604" si="732">AD1585*AC1585</f>
        <v>1</v>
      </c>
      <c r="AC1585" s="133">
        <f t="shared" ref="AC1585:AC1604" si="733">S1585</f>
        <v>1</v>
      </c>
      <c r="AD1585" s="142">
        <v>1</v>
      </c>
      <c r="AE1585" s="141"/>
      <c r="AF1585" s="121" t="s">
        <v>293</v>
      </c>
      <c r="AG1585" s="146">
        <f>VLOOKUP(Takeoffs!AF1585,Sheet1!$B$6:$C$124,2,FALSE)</f>
        <v>0</v>
      </c>
      <c r="AH1585" s="146">
        <f t="shared" ref="AH1585:AH1604" si="734">AG1585*AI1585</f>
        <v>0</v>
      </c>
      <c r="AI1585" s="143">
        <f t="shared" ref="AI1585:AI1604" si="735">AK1585*AJ1585</f>
        <v>15</v>
      </c>
      <c r="AJ1585" s="133">
        <f t="shared" ref="AJ1585:AJ1604" si="736">S1585</f>
        <v>1</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624</v>
      </c>
      <c r="P1586" s="121"/>
      <c r="Q1586" s="66"/>
      <c r="R1586" s="121"/>
      <c r="S1586" s="133">
        <f>M1584</f>
        <v>1</v>
      </c>
      <c r="T1586" s="120"/>
      <c r="U1586" s="117" t="s">
        <v>365</v>
      </c>
      <c r="V1586" s="133">
        <f t="shared" si="730"/>
        <v>1</v>
      </c>
      <c r="W1586" s="133">
        <f>VLOOKUP(U1586,Sheet1!$B$6:$C$45,2,FALSE)*V1586</f>
        <v>1</v>
      </c>
      <c r="X1586" s="141"/>
      <c r="Y1586" s="122" t="s">
        <v>245</v>
      </c>
      <c r="Z1586" s="146">
        <f>VLOOKUP(Takeoffs!Y1586,Sheet1!$B$6:$C$124,2,FALSE)</f>
        <v>46.463999999999999</v>
      </c>
      <c r="AA1586" s="146">
        <f t="shared" si="731"/>
        <v>46.463999999999999</v>
      </c>
      <c r="AB1586" s="143">
        <f t="shared" si="732"/>
        <v>1</v>
      </c>
      <c r="AC1586" s="133">
        <f t="shared" si="733"/>
        <v>1</v>
      </c>
      <c r="AD1586" s="142">
        <v>1</v>
      </c>
      <c r="AE1586" s="141"/>
      <c r="AF1586" s="121" t="s">
        <v>293</v>
      </c>
      <c r="AG1586" s="146">
        <f>VLOOKUP(Takeoffs!AF1586,Sheet1!$B$6:$C$124,2,FALSE)</f>
        <v>0</v>
      </c>
      <c r="AH1586" s="146">
        <f t="shared" si="734"/>
        <v>0</v>
      </c>
      <c r="AI1586" s="143">
        <f t="shared" si="735"/>
        <v>0</v>
      </c>
      <c r="AJ1586" s="133">
        <f t="shared" si="736"/>
        <v>1</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596</v>
      </c>
      <c r="Q1587" s="66" t="s">
        <v>625</v>
      </c>
      <c r="R1587" s="121"/>
      <c r="S1587" s="133">
        <f>M1584</f>
        <v>1</v>
      </c>
      <c r="T1587" s="120"/>
      <c r="U1587" s="121" t="s">
        <v>293</v>
      </c>
      <c r="V1587" s="133">
        <f t="shared" si="730"/>
        <v>1</v>
      </c>
      <c r="W1587" s="133">
        <f>VLOOKUP(U1587,Sheet1!$B$6:$C$45,2,FALSE)*V1587</f>
        <v>0</v>
      </c>
      <c r="X1587" s="141"/>
      <c r="Y1587" s="121" t="s">
        <v>293</v>
      </c>
      <c r="Z1587" s="146">
        <f>VLOOKUP(Takeoffs!Y1587,Sheet1!$B$6:$C$124,2,FALSE)</f>
        <v>0</v>
      </c>
      <c r="AA1587" s="146">
        <f t="shared" si="731"/>
        <v>0</v>
      </c>
      <c r="AB1587" s="143">
        <f t="shared" si="732"/>
        <v>1</v>
      </c>
      <c r="AC1587" s="133">
        <f t="shared" si="733"/>
        <v>1</v>
      </c>
      <c r="AD1587" s="142">
        <v>1</v>
      </c>
      <c r="AE1587" s="141"/>
      <c r="AF1587" s="121" t="s">
        <v>293</v>
      </c>
      <c r="AG1587" s="146">
        <f>VLOOKUP(Takeoffs!AF1587,Sheet1!$B$6:$C$124,2,FALSE)</f>
        <v>0</v>
      </c>
      <c r="AH1587" s="146">
        <f t="shared" si="734"/>
        <v>0</v>
      </c>
      <c r="AI1587" s="143">
        <f t="shared" si="735"/>
        <v>0</v>
      </c>
      <c r="AJ1587" s="133">
        <f t="shared" si="736"/>
        <v>1</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614</v>
      </c>
      <c r="P1588" s="121" t="s">
        <v>596</v>
      </c>
      <c r="Q1588" s="121" t="s">
        <v>597</v>
      </c>
      <c r="R1588" s="121"/>
      <c r="S1588" s="133">
        <f>M1584</f>
        <v>1</v>
      </c>
      <c r="T1588" s="120"/>
      <c r="U1588" s="121" t="s">
        <v>293</v>
      </c>
      <c r="V1588" s="133">
        <f t="shared" si="730"/>
        <v>1</v>
      </c>
      <c r="W1588" s="133">
        <f>VLOOKUP(U1588,Sheet1!$B$6:$C$45,2,FALSE)*V1588</f>
        <v>0</v>
      </c>
      <c r="X1588" s="141"/>
      <c r="Y1588" s="121" t="s">
        <v>293</v>
      </c>
      <c r="Z1588" s="146">
        <f>VLOOKUP(Takeoffs!Y1588,Sheet1!$B$6:$C$124,2,FALSE)</f>
        <v>0</v>
      </c>
      <c r="AA1588" s="146">
        <f t="shared" si="731"/>
        <v>0</v>
      </c>
      <c r="AB1588" s="143">
        <f t="shared" si="732"/>
        <v>1</v>
      </c>
      <c r="AC1588" s="133">
        <f t="shared" si="733"/>
        <v>1</v>
      </c>
      <c r="AD1588" s="142">
        <v>1</v>
      </c>
      <c r="AE1588" s="141"/>
      <c r="AF1588" s="121" t="s">
        <v>293</v>
      </c>
      <c r="AG1588" s="146">
        <f>VLOOKUP(Takeoffs!AF1588,Sheet1!$B$6:$C$124,2,FALSE)</f>
        <v>0</v>
      </c>
      <c r="AH1588" s="146">
        <f t="shared" si="734"/>
        <v>0</v>
      </c>
      <c r="AI1588" s="143">
        <f t="shared" si="735"/>
        <v>0</v>
      </c>
      <c r="AJ1588" s="133">
        <f t="shared" si="736"/>
        <v>1</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599</v>
      </c>
      <c r="P1589" s="121"/>
      <c r="Q1589" s="121"/>
      <c r="R1589" s="121"/>
      <c r="S1589" s="133">
        <f>M1584</f>
        <v>1</v>
      </c>
      <c r="T1589" s="120"/>
      <c r="U1589" s="121" t="s">
        <v>293</v>
      </c>
      <c r="V1589" s="133">
        <f t="shared" si="730"/>
        <v>1</v>
      </c>
      <c r="W1589" s="133">
        <f>VLOOKUP(U1589,Sheet1!$B$6:$C$45,2,FALSE)*V1589</f>
        <v>0</v>
      </c>
      <c r="X1589" s="141"/>
      <c r="Y1589" s="121" t="s">
        <v>293</v>
      </c>
      <c r="Z1589" s="146">
        <f>VLOOKUP(Takeoffs!Y1589,Sheet1!$B$6:$C$124,2,FALSE)</f>
        <v>0</v>
      </c>
      <c r="AA1589" s="146">
        <f t="shared" si="731"/>
        <v>0</v>
      </c>
      <c r="AB1589" s="143">
        <f t="shared" si="732"/>
        <v>1</v>
      </c>
      <c r="AC1589" s="133">
        <f t="shared" si="733"/>
        <v>1</v>
      </c>
      <c r="AD1589" s="142">
        <v>1</v>
      </c>
      <c r="AE1589" s="141"/>
      <c r="AF1589" s="121" t="s">
        <v>293</v>
      </c>
      <c r="AG1589" s="146">
        <f>VLOOKUP(Takeoffs!AF1589,Sheet1!$B$6:$C$124,2,FALSE)</f>
        <v>0</v>
      </c>
      <c r="AH1589" s="146">
        <f t="shared" si="734"/>
        <v>0</v>
      </c>
      <c r="AI1589" s="143">
        <f t="shared" si="735"/>
        <v>0</v>
      </c>
      <c r="AJ1589" s="133">
        <f t="shared" si="736"/>
        <v>1</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600</v>
      </c>
      <c r="P1590" s="121" t="s">
        <v>596</v>
      </c>
      <c r="Q1590" s="66" t="s">
        <v>626</v>
      </c>
      <c r="R1590" s="121"/>
      <c r="S1590" s="133">
        <f>M1584</f>
        <v>1</v>
      </c>
      <c r="T1590" s="120"/>
      <c r="U1590" s="117" t="s">
        <v>365</v>
      </c>
      <c r="V1590" s="133">
        <f t="shared" si="730"/>
        <v>1</v>
      </c>
      <c r="W1590" s="133">
        <f>VLOOKUP(U1590,Sheet1!$B$6:$C$45,2,FALSE)*V1590</f>
        <v>1</v>
      </c>
      <c r="X1590" s="141"/>
      <c r="Y1590" s="121" t="s">
        <v>293</v>
      </c>
      <c r="Z1590" s="146">
        <f>VLOOKUP(Takeoffs!Y1590,Sheet1!$B$6:$C$124,2,FALSE)</f>
        <v>0</v>
      </c>
      <c r="AA1590" s="146">
        <f t="shared" si="731"/>
        <v>0</v>
      </c>
      <c r="AB1590" s="143">
        <f t="shared" si="732"/>
        <v>1</v>
      </c>
      <c r="AC1590" s="133">
        <f t="shared" si="733"/>
        <v>1</v>
      </c>
      <c r="AD1590" s="142">
        <v>1</v>
      </c>
      <c r="AE1590" s="141"/>
      <c r="AF1590" s="121" t="s">
        <v>293</v>
      </c>
      <c r="AG1590" s="146">
        <f>VLOOKUP(Takeoffs!AF1590,Sheet1!$B$6:$C$124,2,FALSE)</f>
        <v>0</v>
      </c>
      <c r="AH1590" s="146">
        <f t="shared" si="734"/>
        <v>0</v>
      </c>
      <c r="AI1590" s="143">
        <f t="shared" si="735"/>
        <v>0</v>
      </c>
      <c r="AJ1590" s="133">
        <f t="shared" si="736"/>
        <v>1</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1</v>
      </c>
      <c r="T1591" s="120"/>
      <c r="U1591" s="121" t="s">
        <v>293</v>
      </c>
      <c r="V1591" s="133">
        <f t="shared" si="730"/>
        <v>1</v>
      </c>
      <c r="W1591" s="133">
        <f>VLOOKUP(U1591,Sheet1!$B$6:$C$45,2,FALSE)*V1591</f>
        <v>0</v>
      </c>
      <c r="X1591" s="141"/>
      <c r="Y1591" s="121" t="s">
        <v>293</v>
      </c>
      <c r="Z1591" s="146">
        <f>VLOOKUP(Takeoffs!Y1591,Sheet1!$B$6:$C$124,2,FALSE)</f>
        <v>0</v>
      </c>
      <c r="AA1591" s="146">
        <f t="shared" si="731"/>
        <v>0</v>
      </c>
      <c r="AB1591" s="143">
        <f t="shared" si="732"/>
        <v>1</v>
      </c>
      <c r="AC1591" s="133">
        <f t="shared" si="733"/>
        <v>1</v>
      </c>
      <c r="AD1591" s="142">
        <v>1</v>
      </c>
      <c r="AE1591" s="141"/>
      <c r="AF1591" s="121" t="s">
        <v>293</v>
      </c>
      <c r="AG1591" s="146">
        <f>VLOOKUP(Takeoffs!AF1591,Sheet1!$B$6:$C$124,2,FALSE)</f>
        <v>0</v>
      </c>
      <c r="AH1591" s="146">
        <f t="shared" si="734"/>
        <v>0</v>
      </c>
      <c r="AI1591" s="143">
        <f t="shared" si="735"/>
        <v>0</v>
      </c>
      <c r="AJ1591" s="133">
        <f t="shared" si="736"/>
        <v>1</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1</v>
      </c>
      <c r="T1592" s="120"/>
      <c r="U1592" s="121" t="s">
        <v>293</v>
      </c>
      <c r="V1592" s="133">
        <f t="shared" si="730"/>
        <v>1</v>
      </c>
      <c r="W1592" s="133">
        <f>VLOOKUP(U1592,Sheet1!$B$6:$C$45,2,FALSE)*V1592</f>
        <v>0</v>
      </c>
      <c r="X1592" s="141"/>
      <c r="Y1592" s="121" t="s">
        <v>293</v>
      </c>
      <c r="Z1592" s="146">
        <f>VLOOKUP(Takeoffs!Y1592,Sheet1!$B$6:$C$124,2,FALSE)</f>
        <v>0</v>
      </c>
      <c r="AA1592" s="146">
        <f t="shared" si="731"/>
        <v>0</v>
      </c>
      <c r="AB1592" s="143">
        <f t="shared" si="732"/>
        <v>1</v>
      </c>
      <c r="AC1592" s="133">
        <f t="shared" si="733"/>
        <v>1</v>
      </c>
      <c r="AD1592" s="142">
        <v>1</v>
      </c>
      <c r="AE1592" s="141"/>
      <c r="AF1592" s="121" t="s">
        <v>293</v>
      </c>
      <c r="AG1592" s="146">
        <f>VLOOKUP(Takeoffs!AF1592,Sheet1!$B$6:$C$124,2,FALSE)</f>
        <v>0</v>
      </c>
      <c r="AH1592" s="146">
        <f t="shared" si="734"/>
        <v>0</v>
      </c>
      <c r="AI1592" s="143">
        <f t="shared" si="735"/>
        <v>0</v>
      </c>
      <c r="AJ1592" s="133">
        <f t="shared" si="736"/>
        <v>1</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1</v>
      </c>
      <c r="T1593" s="120"/>
      <c r="U1593" s="121" t="s">
        <v>293</v>
      </c>
      <c r="V1593" s="133">
        <f t="shared" si="730"/>
        <v>1</v>
      </c>
      <c r="W1593" s="133">
        <f>VLOOKUP(U1593,Sheet1!$B$6:$C$45,2,FALSE)*V1593</f>
        <v>0</v>
      </c>
      <c r="X1593" s="141"/>
      <c r="Y1593" s="121" t="s">
        <v>293</v>
      </c>
      <c r="Z1593" s="146">
        <f>VLOOKUP(Takeoffs!Y1593,Sheet1!$B$6:$C$124,2,FALSE)</f>
        <v>0</v>
      </c>
      <c r="AA1593" s="146">
        <f t="shared" si="731"/>
        <v>0</v>
      </c>
      <c r="AB1593" s="143">
        <f t="shared" si="732"/>
        <v>1</v>
      </c>
      <c r="AC1593" s="133">
        <f t="shared" si="733"/>
        <v>1</v>
      </c>
      <c r="AD1593" s="142">
        <v>1</v>
      </c>
      <c r="AE1593" s="141"/>
      <c r="AF1593" s="121" t="s">
        <v>293</v>
      </c>
      <c r="AG1593" s="146">
        <f>VLOOKUP(Takeoffs!AF1593,Sheet1!$B$6:$C$124,2,FALSE)</f>
        <v>0</v>
      </c>
      <c r="AH1593" s="146">
        <f t="shared" si="734"/>
        <v>0</v>
      </c>
      <c r="AI1593" s="143">
        <f t="shared" si="735"/>
        <v>0</v>
      </c>
      <c r="AJ1593" s="133">
        <f t="shared" si="736"/>
        <v>1</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1</v>
      </c>
      <c r="T1594" s="120"/>
      <c r="U1594" s="121" t="s">
        <v>293</v>
      </c>
      <c r="V1594" s="133">
        <f t="shared" si="730"/>
        <v>1</v>
      </c>
      <c r="W1594" s="133">
        <f>VLOOKUP(U1594,Sheet1!$B$6:$C$45,2,FALSE)*V1594</f>
        <v>0</v>
      </c>
      <c r="X1594" s="141"/>
      <c r="Y1594" s="121" t="s">
        <v>293</v>
      </c>
      <c r="Z1594" s="146">
        <f>VLOOKUP(Takeoffs!Y1594,Sheet1!$B$6:$C$124,2,FALSE)</f>
        <v>0</v>
      </c>
      <c r="AA1594" s="146">
        <f t="shared" si="731"/>
        <v>0</v>
      </c>
      <c r="AB1594" s="143">
        <f t="shared" si="732"/>
        <v>1</v>
      </c>
      <c r="AC1594" s="133">
        <f t="shared" si="733"/>
        <v>1</v>
      </c>
      <c r="AD1594" s="142">
        <v>1</v>
      </c>
      <c r="AE1594" s="141"/>
      <c r="AF1594" s="121" t="s">
        <v>293</v>
      </c>
      <c r="AG1594" s="146">
        <f>VLOOKUP(Takeoffs!AF1594,Sheet1!$B$6:$C$124,2,FALSE)</f>
        <v>0</v>
      </c>
      <c r="AH1594" s="146">
        <f t="shared" si="734"/>
        <v>0</v>
      </c>
      <c r="AI1594" s="143">
        <f t="shared" si="735"/>
        <v>0</v>
      </c>
      <c r="AJ1594" s="133">
        <f t="shared" si="736"/>
        <v>1</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1</v>
      </c>
      <c r="T1595" s="120"/>
      <c r="U1595" s="121" t="s">
        <v>293</v>
      </c>
      <c r="V1595" s="133">
        <f t="shared" si="730"/>
        <v>1</v>
      </c>
      <c r="W1595" s="133">
        <f>VLOOKUP(U1595,Sheet1!$B$6:$C$45,2,FALSE)*V1595</f>
        <v>0</v>
      </c>
      <c r="X1595" s="141"/>
      <c r="Y1595" s="121" t="s">
        <v>293</v>
      </c>
      <c r="Z1595" s="146">
        <f>VLOOKUP(Takeoffs!Y1595,Sheet1!$B$6:$C$124,2,FALSE)</f>
        <v>0</v>
      </c>
      <c r="AA1595" s="146">
        <f t="shared" si="731"/>
        <v>0</v>
      </c>
      <c r="AB1595" s="143">
        <f t="shared" si="732"/>
        <v>1</v>
      </c>
      <c r="AC1595" s="133">
        <f t="shared" si="733"/>
        <v>1</v>
      </c>
      <c r="AD1595" s="142">
        <v>1</v>
      </c>
      <c r="AE1595" s="141"/>
      <c r="AF1595" s="121" t="s">
        <v>293</v>
      </c>
      <c r="AG1595" s="146">
        <f>VLOOKUP(Takeoffs!AF1595,Sheet1!$B$6:$C$124,2,FALSE)</f>
        <v>0</v>
      </c>
      <c r="AH1595" s="146">
        <f t="shared" si="734"/>
        <v>0</v>
      </c>
      <c r="AI1595" s="143">
        <f t="shared" si="735"/>
        <v>0</v>
      </c>
      <c r="AJ1595" s="133">
        <f t="shared" si="736"/>
        <v>1</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596</v>
      </c>
      <c r="Q1596" s="121" t="s">
        <v>623</v>
      </c>
      <c r="R1596" s="121"/>
      <c r="S1596" s="133">
        <f>M1584</f>
        <v>1</v>
      </c>
      <c r="T1596" s="120"/>
      <c r="U1596" s="121" t="s">
        <v>293</v>
      </c>
      <c r="V1596" s="133">
        <f t="shared" si="730"/>
        <v>1</v>
      </c>
      <c r="W1596" s="133">
        <f>VLOOKUP(U1596,Sheet1!$B$6:$C$45,2,FALSE)*V1596</f>
        <v>0</v>
      </c>
      <c r="X1596" s="141"/>
      <c r="Y1596" s="121" t="s">
        <v>293</v>
      </c>
      <c r="Z1596" s="146">
        <f>VLOOKUP(Takeoffs!Y1596,Sheet1!$B$6:$C$124,2,FALSE)</f>
        <v>0</v>
      </c>
      <c r="AA1596" s="146">
        <f t="shared" si="731"/>
        <v>0</v>
      </c>
      <c r="AB1596" s="143">
        <f t="shared" si="732"/>
        <v>1</v>
      </c>
      <c r="AC1596" s="133">
        <f t="shared" si="733"/>
        <v>1</v>
      </c>
      <c r="AD1596" s="142">
        <v>1</v>
      </c>
      <c r="AE1596" s="141"/>
      <c r="AF1596" s="121" t="s">
        <v>293</v>
      </c>
      <c r="AG1596" s="146">
        <f>VLOOKUP(Takeoffs!AF1596,Sheet1!$B$6:$C$124,2,FALSE)</f>
        <v>0</v>
      </c>
      <c r="AH1596" s="146">
        <f t="shared" si="734"/>
        <v>0</v>
      </c>
      <c r="AI1596" s="143">
        <f t="shared" si="735"/>
        <v>0</v>
      </c>
      <c r="AJ1596" s="133">
        <f t="shared" si="736"/>
        <v>1</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1</v>
      </c>
      <c r="T1597" s="120"/>
      <c r="U1597" s="121" t="s">
        <v>293</v>
      </c>
      <c r="V1597" s="133">
        <f t="shared" si="730"/>
        <v>1</v>
      </c>
      <c r="W1597" s="133">
        <f>VLOOKUP(U1597,Sheet1!$B$6:$C$45,2,FALSE)*V1597</f>
        <v>0</v>
      </c>
      <c r="X1597" s="141"/>
      <c r="Y1597" s="121" t="s">
        <v>293</v>
      </c>
      <c r="Z1597" s="146">
        <f>VLOOKUP(Takeoffs!Y1597,Sheet1!$B$6:$C$124,2,FALSE)</f>
        <v>0</v>
      </c>
      <c r="AA1597" s="146">
        <f t="shared" si="731"/>
        <v>0</v>
      </c>
      <c r="AB1597" s="143">
        <f t="shared" si="732"/>
        <v>1</v>
      </c>
      <c r="AC1597" s="133">
        <f t="shared" si="733"/>
        <v>1</v>
      </c>
      <c r="AD1597" s="142">
        <v>1</v>
      </c>
      <c r="AE1597" s="141"/>
      <c r="AF1597" s="121" t="s">
        <v>293</v>
      </c>
      <c r="AG1597" s="146">
        <f>VLOOKUP(Takeoffs!AF1597,Sheet1!$B$6:$C$124,2,FALSE)</f>
        <v>0</v>
      </c>
      <c r="AH1597" s="146">
        <f t="shared" si="734"/>
        <v>0</v>
      </c>
      <c r="AI1597" s="143">
        <f t="shared" si="735"/>
        <v>0</v>
      </c>
      <c r="AJ1597" s="133">
        <f t="shared" si="736"/>
        <v>1</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1</v>
      </c>
      <c r="T1598" s="120"/>
      <c r="U1598" s="121" t="s">
        <v>293</v>
      </c>
      <c r="V1598" s="133">
        <f t="shared" si="730"/>
        <v>1</v>
      </c>
      <c r="W1598" s="133">
        <f>VLOOKUP(U1598,Sheet1!$B$6:$C$45,2,FALSE)*V1598</f>
        <v>0</v>
      </c>
      <c r="X1598" s="141"/>
      <c r="Y1598" s="121" t="s">
        <v>293</v>
      </c>
      <c r="Z1598" s="146">
        <f>VLOOKUP(Takeoffs!Y1598,Sheet1!$B$6:$C$124,2,FALSE)</f>
        <v>0</v>
      </c>
      <c r="AA1598" s="146">
        <f t="shared" si="731"/>
        <v>0</v>
      </c>
      <c r="AB1598" s="143">
        <f t="shared" si="732"/>
        <v>1</v>
      </c>
      <c r="AC1598" s="133">
        <f t="shared" si="733"/>
        <v>1</v>
      </c>
      <c r="AD1598" s="142">
        <v>1</v>
      </c>
      <c r="AE1598" s="141"/>
      <c r="AF1598" s="121" t="s">
        <v>293</v>
      </c>
      <c r="AG1598" s="146">
        <f>VLOOKUP(Takeoffs!AF1598,Sheet1!$B$6:$C$124,2,FALSE)</f>
        <v>0</v>
      </c>
      <c r="AH1598" s="146">
        <f t="shared" si="734"/>
        <v>0</v>
      </c>
      <c r="AI1598" s="143">
        <f t="shared" si="735"/>
        <v>0</v>
      </c>
      <c r="AJ1598" s="133">
        <f t="shared" si="736"/>
        <v>1</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1</v>
      </c>
      <c r="T1599" s="120"/>
      <c r="U1599" s="121" t="s">
        <v>293</v>
      </c>
      <c r="V1599" s="133">
        <f t="shared" si="730"/>
        <v>1</v>
      </c>
      <c r="W1599" s="133">
        <f>VLOOKUP(U1599,Sheet1!$B$6:$C$45,2,FALSE)*V1599</f>
        <v>0</v>
      </c>
      <c r="X1599" s="141"/>
      <c r="Y1599" s="121" t="s">
        <v>293</v>
      </c>
      <c r="Z1599" s="146">
        <f>VLOOKUP(Takeoffs!Y1599,Sheet1!$B$6:$C$124,2,FALSE)</f>
        <v>0</v>
      </c>
      <c r="AA1599" s="146">
        <f t="shared" si="731"/>
        <v>0</v>
      </c>
      <c r="AB1599" s="143">
        <f t="shared" si="732"/>
        <v>1</v>
      </c>
      <c r="AC1599" s="133">
        <f t="shared" si="733"/>
        <v>1</v>
      </c>
      <c r="AD1599" s="142">
        <v>1</v>
      </c>
      <c r="AE1599" s="141"/>
      <c r="AF1599" s="121" t="s">
        <v>293</v>
      </c>
      <c r="AG1599" s="146">
        <f>VLOOKUP(Takeoffs!AF1599,Sheet1!$B$6:$C$124,2,FALSE)</f>
        <v>0</v>
      </c>
      <c r="AH1599" s="146">
        <f t="shared" si="734"/>
        <v>0</v>
      </c>
      <c r="AI1599" s="143">
        <f t="shared" si="735"/>
        <v>0</v>
      </c>
      <c r="AJ1599" s="133">
        <f t="shared" si="736"/>
        <v>1</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1</v>
      </c>
      <c r="T1600" s="120"/>
      <c r="U1600" s="121" t="s">
        <v>293</v>
      </c>
      <c r="V1600" s="133">
        <f t="shared" si="730"/>
        <v>1</v>
      </c>
      <c r="W1600" s="133">
        <f>VLOOKUP(U1600,Sheet1!$B$6:$C$45,2,FALSE)*V1600</f>
        <v>0</v>
      </c>
      <c r="X1600" s="141"/>
      <c r="Y1600" s="121" t="s">
        <v>293</v>
      </c>
      <c r="Z1600" s="146">
        <f>VLOOKUP(Takeoffs!Y1600,Sheet1!$B$6:$C$124,2,FALSE)</f>
        <v>0</v>
      </c>
      <c r="AA1600" s="146">
        <f t="shared" si="731"/>
        <v>0</v>
      </c>
      <c r="AB1600" s="143">
        <f t="shared" si="732"/>
        <v>1</v>
      </c>
      <c r="AC1600" s="133">
        <f t="shared" si="733"/>
        <v>1</v>
      </c>
      <c r="AD1600" s="142">
        <v>1</v>
      </c>
      <c r="AE1600" s="141"/>
      <c r="AF1600" s="121" t="s">
        <v>293</v>
      </c>
      <c r="AG1600" s="146">
        <f>VLOOKUP(Takeoffs!AF1600,Sheet1!$B$6:$C$124,2,FALSE)</f>
        <v>0</v>
      </c>
      <c r="AH1600" s="146">
        <f t="shared" si="734"/>
        <v>0</v>
      </c>
      <c r="AI1600" s="143">
        <f t="shared" si="735"/>
        <v>0</v>
      </c>
      <c r="AJ1600" s="133">
        <f t="shared" si="736"/>
        <v>1</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1</v>
      </c>
      <c r="T1601" s="120"/>
      <c r="U1601" s="121" t="s">
        <v>293</v>
      </c>
      <c r="V1601" s="133">
        <f t="shared" si="730"/>
        <v>1</v>
      </c>
      <c r="W1601" s="133">
        <f>VLOOKUP(U1601,Sheet1!$B$6:$C$45,2,FALSE)*V1601</f>
        <v>0</v>
      </c>
      <c r="X1601" s="141"/>
      <c r="Y1601" s="121" t="s">
        <v>293</v>
      </c>
      <c r="Z1601" s="146">
        <f>VLOOKUP(Takeoffs!Y1601,Sheet1!$B$6:$C$124,2,FALSE)</f>
        <v>0</v>
      </c>
      <c r="AA1601" s="146">
        <f t="shared" si="731"/>
        <v>0</v>
      </c>
      <c r="AB1601" s="143">
        <f t="shared" si="732"/>
        <v>1</v>
      </c>
      <c r="AC1601" s="133">
        <f t="shared" si="733"/>
        <v>1</v>
      </c>
      <c r="AD1601" s="142">
        <v>1</v>
      </c>
      <c r="AE1601" s="141"/>
      <c r="AF1601" s="121" t="s">
        <v>293</v>
      </c>
      <c r="AG1601" s="146">
        <f>VLOOKUP(Takeoffs!AF1601,Sheet1!$B$6:$C$124,2,FALSE)</f>
        <v>0</v>
      </c>
      <c r="AH1601" s="146">
        <f t="shared" si="734"/>
        <v>0</v>
      </c>
      <c r="AI1601" s="143">
        <f t="shared" si="735"/>
        <v>0</v>
      </c>
      <c r="AJ1601" s="133">
        <f t="shared" si="736"/>
        <v>1</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1</v>
      </c>
      <c r="T1602" s="120"/>
      <c r="U1602" s="121" t="s">
        <v>293</v>
      </c>
      <c r="V1602" s="133">
        <f t="shared" si="730"/>
        <v>1</v>
      </c>
      <c r="W1602" s="133">
        <f>VLOOKUP(U1602,Sheet1!$B$6:$C$45,2,FALSE)*V1602</f>
        <v>0</v>
      </c>
      <c r="X1602" s="141"/>
      <c r="Y1602" s="121" t="s">
        <v>293</v>
      </c>
      <c r="Z1602" s="146">
        <f>VLOOKUP(Takeoffs!Y1602,Sheet1!$B$6:$C$124,2,FALSE)</f>
        <v>0</v>
      </c>
      <c r="AA1602" s="146">
        <f t="shared" si="731"/>
        <v>0</v>
      </c>
      <c r="AB1602" s="143">
        <f t="shared" si="732"/>
        <v>1</v>
      </c>
      <c r="AC1602" s="133">
        <f t="shared" si="733"/>
        <v>1</v>
      </c>
      <c r="AD1602" s="142">
        <v>1</v>
      </c>
      <c r="AE1602" s="141"/>
      <c r="AF1602" s="121" t="s">
        <v>293</v>
      </c>
      <c r="AG1602" s="146">
        <f>VLOOKUP(Takeoffs!AF1602,Sheet1!$B$6:$C$124,2,FALSE)</f>
        <v>0</v>
      </c>
      <c r="AH1602" s="146">
        <f t="shared" si="734"/>
        <v>0</v>
      </c>
      <c r="AI1602" s="143">
        <f t="shared" si="735"/>
        <v>0</v>
      </c>
      <c r="AJ1602" s="133">
        <f t="shared" si="736"/>
        <v>1</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1</v>
      </c>
      <c r="T1603" s="120"/>
      <c r="U1603" s="121" t="s">
        <v>293</v>
      </c>
      <c r="V1603" s="133">
        <f t="shared" si="730"/>
        <v>1</v>
      </c>
      <c r="W1603" s="133">
        <f>VLOOKUP(U1603,Sheet1!$B$6:$C$45,2,FALSE)*V1603</f>
        <v>0</v>
      </c>
      <c r="X1603" s="141"/>
      <c r="Y1603" s="121" t="s">
        <v>293</v>
      </c>
      <c r="Z1603" s="146">
        <f>VLOOKUP(Takeoffs!Y1603,Sheet1!$B$6:$C$124,2,FALSE)</f>
        <v>0</v>
      </c>
      <c r="AA1603" s="146">
        <f t="shared" si="731"/>
        <v>0</v>
      </c>
      <c r="AB1603" s="143">
        <f t="shared" si="732"/>
        <v>1</v>
      </c>
      <c r="AC1603" s="133">
        <f t="shared" si="733"/>
        <v>1</v>
      </c>
      <c r="AD1603" s="142">
        <v>1</v>
      </c>
      <c r="AE1603" s="141"/>
      <c r="AF1603" s="121" t="s">
        <v>293</v>
      </c>
      <c r="AG1603" s="146">
        <f>VLOOKUP(Takeoffs!AF1603,Sheet1!$B$6:$C$124,2,FALSE)</f>
        <v>0</v>
      </c>
      <c r="AH1603" s="146">
        <f t="shared" si="734"/>
        <v>0</v>
      </c>
      <c r="AI1603" s="143">
        <f t="shared" si="735"/>
        <v>0</v>
      </c>
      <c r="AJ1603" s="133">
        <f t="shared" si="736"/>
        <v>1</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1</v>
      </c>
      <c r="T1604" s="120"/>
      <c r="U1604" s="121" t="s">
        <v>293</v>
      </c>
      <c r="V1604" s="133">
        <f t="shared" si="730"/>
        <v>1</v>
      </c>
      <c r="W1604" s="133">
        <f>VLOOKUP(U1604,Sheet1!$B$6:$C$45,2,FALSE)*V1604</f>
        <v>0</v>
      </c>
      <c r="X1604" s="141"/>
      <c r="Y1604" s="121" t="s">
        <v>293</v>
      </c>
      <c r="Z1604" s="146">
        <f>VLOOKUP(Takeoffs!Y1604,Sheet1!$B$6:$C$124,2,FALSE)</f>
        <v>0</v>
      </c>
      <c r="AA1604" s="146">
        <f t="shared" si="731"/>
        <v>0</v>
      </c>
      <c r="AB1604" s="143">
        <f t="shared" si="732"/>
        <v>1</v>
      </c>
      <c r="AC1604" s="133">
        <f t="shared" si="733"/>
        <v>1</v>
      </c>
      <c r="AD1604" s="142">
        <v>1</v>
      </c>
      <c r="AE1604" s="141"/>
      <c r="AF1604" s="121" t="s">
        <v>293</v>
      </c>
      <c r="AG1604" s="146">
        <f>VLOOKUP(Takeoffs!AF1604,Sheet1!$B$6:$C$124,2,FALSE)</f>
        <v>0</v>
      </c>
      <c r="AH1604" s="146">
        <f t="shared" si="734"/>
        <v>0</v>
      </c>
      <c r="AI1604" s="143">
        <f t="shared" si="735"/>
        <v>0</v>
      </c>
      <c r="AJ1604" s="133">
        <f t="shared" si="736"/>
        <v>1</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379</v>
      </c>
      <c r="L1605" s="128" t="s">
        <v>380</v>
      </c>
      <c r="N1605" s="129"/>
      <c r="O1605" s="130" t="s">
        <v>359</v>
      </c>
      <c r="P1605" s="131">
        <f>V1605+AA1605+AH1605</f>
        <v>249.904</v>
      </c>
      <c r="Q1605" s="131"/>
      <c r="R1605" s="131"/>
      <c r="S1605" s="130"/>
      <c r="T1605" s="127"/>
      <c r="U1605" s="126" t="s">
        <v>353</v>
      </c>
      <c r="V1605" s="127">
        <f>W1605*80</f>
        <v>160</v>
      </c>
      <c r="W1605" s="147">
        <f>SUM(W1584:W1604)</f>
        <v>2</v>
      </c>
      <c r="X1605" s="148"/>
      <c r="Y1605" s="127" t="s">
        <v>354</v>
      </c>
      <c r="Z1605" s="116"/>
      <c r="AA1605" s="116">
        <f>SUM(AA1584:AA1604)</f>
        <v>89.903999999999996</v>
      </c>
      <c r="AB1605" s="149"/>
      <c r="AC1605" s="149"/>
      <c r="AD1605" s="149"/>
      <c r="AE1605" s="149"/>
      <c r="AF1605" s="127" t="s">
        <v>358</v>
      </c>
      <c r="AG1605" s="116"/>
      <c r="AH1605" s="116">
        <f>SUM(AH1584:AH1604)</f>
        <v>0</v>
      </c>
      <c r="AI1605" s="149"/>
      <c r="AJ1605" s="149"/>
      <c r="AK1605" s="149"/>
      <c r="AL1605" s="149"/>
      <c r="AM1605" s="150">
        <f>P1605</f>
        <v>249.904</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494</v>
      </c>
      <c r="C1606" s="217" t="str">
        <f>N1584</f>
        <v>Packaged units (Field wiring by customer)</v>
      </c>
      <c r="D1606" s="260" t="s">
        <v>681</v>
      </c>
      <c r="E1606" s="238"/>
      <c r="F1606" s="217"/>
      <c r="G1606" s="217">
        <v>2</v>
      </c>
      <c r="H1606" s="245"/>
      <c r="I1606" s="270">
        <v>1</v>
      </c>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one (1)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249.904</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369</v>
      </c>
      <c r="N1606" s="160" t="str">
        <f>N1584</f>
        <v>Packaged units (Field wiring by customer)</v>
      </c>
      <c r="O1606" s="160" t="s">
        <v>367</v>
      </c>
      <c r="P1606" s="64">
        <f>P1605/M1584</f>
        <v>249.904</v>
      </c>
      <c r="Q1606" s="161"/>
      <c r="R1606" s="161"/>
      <c r="S1606" s="160"/>
      <c r="T1606" s="161"/>
      <c r="U1606" s="327" t="s">
        <v>368</v>
      </c>
      <c r="V1606" s="327"/>
      <c r="W1606" s="162">
        <f>W1605/M1584</f>
        <v>2</v>
      </c>
      <c r="X1606" s="163"/>
      <c r="Y1606" s="325" t="s">
        <v>367</v>
      </c>
      <c r="Z1606" s="325"/>
      <c r="AA1606" s="164">
        <f>AA1605/M1584</f>
        <v>89.903999999999996</v>
      </c>
      <c r="AB1606" s="161"/>
      <c r="AC1606" s="161"/>
      <c r="AD1606" s="161"/>
      <c r="AE1606" s="161"/>
      <c r="AF1606" s="325" t="s">
        <v>367</v>
      </c>
      <c r="AG1606" s="325"/>
      <c r="AH1606" s="164">
        <f>AH1605/M1584</f>
        <v>0</v>
      </c>
      <c r="AI1606" s="161"/>
      <c r="AJ1606" s="161"/>
      <c r="AK1606" s="161"/>
      <c r="AL1606" s="247"/>
      <c r="AM1606" s="257"/>
      <c r="AN1606" s="230">
        <f>K1606*1.25</f>
        <v>312.38</v>
      </c>
      <c r="AO1606" s="286"/>
      <c r="AP1606" s="284">
        <f t="shared" si="716"/>
        <v>249.904</v>
      </c>
      <c r="AQ1606" s="281">
        <f t="shared" si="717"/>
        <v>160</v>
      </c>
      <c r="AR1606" s="284">
        <f t="shared" si="718"/>
        <v>89.903999999999996</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454</v>
      </c>
      <c r="M1607" s="2" t="s">
        <v>107</v>
      </c>
      <c r="N1607" s="2" t="s">
        <v>108</v>
      </c>
      <c r="O1607" s="97" t="s">
        <v>388</v>
      </c>
      <c r="P1607" s="326" t="s">
        <v>377</v>
      </c>
      <c r="Q1607" s="326"/>
      <c r="R1607" s="101" t="s">
        <v>454</v>
      </c>
      <c r="S1607" s="2" t="s">
        <v>0</v>
      </c>
      <c r="T1607" s="9"/>
      <c r="U1607" s="2" t="s">
        <v>288</v>
      </c>
      <c r="V1607" s="2" t="s">
        <v>289</v>
      </c>
      <c r="W1607" s="2" t="s">
        <v>292</v>
      </c>
      <c r="X1607" s="58"/>
      <c r="Y1607" s="2" t="s">
        <v>290</v>
      </c>
      <c r="Z1607" s="2" t="s">
        <v>356</v>
      </c>
      <c r="AA1607" s="2" t="s">
        <v>357</v>
      </c>
      <c r="AB1607" s="2" t="s">
        <v>319</v>
      </c>
      <c r="AC1607" s="2" t="s">
        <v>320</v>
      </c>
      <c r="AD1607" s="2" t="s">
        <v>318</v>
      </c>
      <c r="AE1607" s="58"/>
      <c r="AF1607" s="2" t="s">
        <v>294</v>
      </c>
      <c r="AG1607" s="2" t="s">
        <v>356</v>
      </c>
      <c r="AH1607" s="2" t="s">
        <v>357</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one</v>
      </c>
      <c r="M1608" s="121">
        <f>I1630</f>
        <v>1</v>
      </c>
      <c r="N1608" s="27" t="s">
        <v>291</v>
      </c>
      <c r="O1608" s="12" t="s">
        <v>133</v>
      </c>
      <c r="P1608" s="96" t="s">
        <v>381</v>
      </c>
      <c r="Q1608" s="96" t="s">
        <v>377</v>
      </c>
      <c r="R1608" s="96"/>
      <c r="S1608" s="28">
        <f>M1608</f>
        <v>1</v>
      </c>
      <c r="T1608" s="10"/>
      <c r="U1608" s="12" t="s">
        <v>293</v>
      </c>
      <c r="V1608" s="28">
        <f>S1608</f>
        <v>1</v>
      </c>
      <c r="W1608" s="28">
        <f>VLOOKUP(U1608,Sheet1!$B$6:$C$45,2,FALSE)*V1608</f>
        <v>0</v>
      </c>
      <c r="X1608" s="59"/>
      <c r="Y1608" s="12" t="s">
        <v>293</v>
      </c>
      <c r="Z1608" s="68">
        <f>VLOOKUP(Takeoffs!Y1608,Sheet1!$B$6:$C$124,2,FALSE)</f>
        <v>0</v>
      </c>
      <c r="AA1608" s="68">
        <f>Z1608*AB1608</f>
        <v>0</v>
      </c>
      <c r="AB1608" s="63">
        <f>AD1608*AC1608</f>
        <v>1</v>
      </c>
      <c r="AC1608" s="28">
        <f>S1608</f>
        <v>1</v>
      </c>
      <c r="AD1608" s="61">
        <v>1</v>
      </c>
      <c r="AE1608" s="59"/>
      <c r="AF1608" s="12" t="s">
        <v>293</v>
      </c>
      <c r="AG1608" s="68">
        <f>VLOOKUP(Takeoffs!AF1608,Sheet1!$B$6:$C$124,2,FALSE)</f>
        <v>0</v>
      </c>
      <c r="AH1608" s="68">
        <f>AG1608*AI1608</f>
        <v>0</v>
      </c>
      <c r="AI1608" s="63">
        <f>AK1608*AJ1608</f>
        <v>0</v>
      </c>
      <c r="AJ1608" s="28">
        <f>S1608</f>
        <v>1</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397</v>
      </c>
      <c r="P1609" s="12"/>
      <c r="Q1609" s="12"/>
      <c r="R1609" s="12"/>
      <c r="S1609" s="28">
        <f>M1608</f>
        <v>1</v>
      </c>
      <c r="T1609" s="11"/>
      <c r="U1609" s="12" t="s">
        <v>298</v>
      </c>
      <c r="V1609" s="28">
        <f>S1609</f>
        <v>1</v>
      </c>
      <c r="W1609" s="28">
        <f>VLOOKUP(U1609,Sheet1!$B$6:$C$45,2,FALSE)*V1609</f>
        <v>2</v>
      </c>
      <c r="X1609" s="59"/>
      <c r="Y1609" s="13" t="s">
        <v>250</v>
      </c>
      <c r="Z1609" s="68">
        <f>VLOOKUP(Takeoffs!Y1609,Sheet1!$B$6:$C$124,2,FALSE)</f>
        <v>43.440000000000005</v>
      </c>
      <c r="AA1609" s="68">
        <f t="shared" ref="AA1609:AA1628" si="739">Z1609*AB1609</f>
        <v>43.440000000000005</v>
      </c>
      <c r="AB1609" s="63">
        <f t="shared" ref="AB1609:AB1628" si="740">AD1609*AC1609</f>
        <v>1</v>
      </c>
      <c r="AC1609" s="28">
        <f>S1609</f>
        <v>1</v>
      </c>
      <c r="AD1609" s="61">
        <v>1</v>
      </c>
      <c r="AE1609" s="59"/>
      <c r="AF1609" s="13" t="s">
        <v>266</v>
      </c>
      <c r="AG1609" s="68">
        <f>VLOOKUP(Takeoffs!AF1609,Sheet1!$B$6:$C$124,2,FALSE)</f>
        <v>4.5599999999999996</v>
      </c>
      <c r="AH1609" s="68">
        <f t="shared" ref="AH1609:AH1628" si="741">AG1609*AI1609</f>
        <v>68.399999999999991</v>
      </c>
      <c r="AI1609" s="63">
        <f t="shared" ref="AI1609:AI1628" si="742">AK1609*AJ1609</f>
        <v>15</v>
      </c>
      <c r="AJ1609" s="28">
        <f t="shared" ref="AJ1609:AJ1628" si="743">S1609</f>
        <v>1</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408</v>
      </c>
      <c r="P1610" s="12"/>
      <c r="Q1610" s="12"/>
      <c r="R1610" s="12"/>
      <c r="S1610" s="28">
        <f>M1608</f>
        <v>1</v>
      </c>
      <c r="T1610" s="11"/>
      <c r="U1610" s="12" t="s">
        <v>293</v>
      </c>
      <c r="V1610" s="28">
        <f>S1610</f>
        <v>1</v>
      </c>
      <c r="W1610" s="28">
        <f>VLOOKUP(U1610,Sheet1!$B$6:$C$45,2,FALSE)*V1610</f>
        <v>0</v>
      </c>
      <c r="X1610" s="59"/>
      <c r="Y1610" s="13" t="s">
        <v>245</v>
      </c>
      <c r="Z1610" s="68">
        <f>VLOOKUP(Takeoffs!Y1610,Sheet1!$B$6:$C$124,2,FALSE)</f>
        <v>46.463999999999999</v>
      </c>
      <c r="AA1610" s="68">
        <f t="shared" si="739"/>
        <v>46.463999999999999</v>
      </c>
      <c r="AB1610" s="63">
        <f t="shared" si="740"/>
        <v>1</v>
      </c>
      <c r="AC1610" s="28">
        <f>S1610</f>
        <v>1</v>
      </c>
      <c r="AD1610" s="61">
        <v>1</v>
      </c>
      <c r="AE1610" s="59"/>
      <c r="AF1610" s="12" t="s">
        <v>293</v>
      </c>
      <c r="AG1610" s="68">
        <f>VLOOKUP(Takeoffs!AF1610,Sheet1!$B$6:$C$124,2,FALSE)</f>
        <v>0</v>
      </c>
      <c r="AH1610" s="68">
        <f t="shared" si="741"/>
        <v>0</v>
      </c>
      <c r="AI1610" s="63">
        <f t="shared" si="742"/>
        <v>0</v>
      </c>
      <c r="AJ1610" s="28">
        <f t="shared" si="743"/>
        <v>1</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1</v>
      </c>
      <c r="T1611" s="11"/>
      <c r="U1611" s="12" t="s">
        <v>293</v>
      </c>
      <c r="V1611" s="28">
        <f t="shared" ref="V1611:V1628" si="746">S1611</f>
        <v>1</v>
      </c>
      <c r="W1611" s="28">
        <f>VLOOKUP(U1611,Sheet1!$B$6:$C$45,2,FALSE)*V1611</f>
        <v>0</v>
      </c>
      <c r="X1611" s="59"/>
      <c r="Y1611" s="12" t="s">
        <v>293</v>
      </c>
      <c r="Z1611" s="68">
        <f>VLOOKUP(Takeoffs!Y1611,Sheet1!$B$6:$C$124,2,FALSE)</f>
        <v>0</v>
      </c>
      <c r="AA1611" s="68">
        <f t="shared" si="739"/>
        <v>0</v>
      </c>
      <c r="AB1611" s="63">
        <f t="shared" si="740"/>
        <v>1</v>
      </c>
      <c r="AC1611" s="28">
        <f t="shared" ref="AC1611:AC1628" si="747">S1611</f>
        <v>1</v>
      </c>
      <c r="AD1611" s="61">
        <v>1</v>
      </c>
      <c r="AE1611" s="59"/>
      <c r="AF1611" s="12" t="s">
        <v>293</v>
      </c>
      <c r="AG1611" s="68">
        <f>VLOOKUP(Takeoffs!AF1611,Sheet1!$B$6:$C$124,2,FALSE)</f>
        <v>0</v>
      </c>
      <c r="AH1611" s="68">
        <f t="shared" si="741"/>
        <v>0</v>
      </c>
      <c r="AI1611" s="63">
        <f t="shared" si="742"/>
        <v>0</v>
      </c>
      <c r="AJ1611" s="28">
        <f t="shared" si="743"/>
        <v>1</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1</v>
      </c>
      <c r="T1612" s="11"/>
      <c r="U1612" s="12" t="s">
        <v>293</v>
      </c>
      <c r="V1612" s="28">
        <f t="shared" si="746"/>
        <v>1</v>
      </c>
      <c r="W1612" s="28">
        <f>VLOOKUP(U1612,Sheet1!$B$6:$C$45,2,FALSE)*V1612</f>
        <v>0</v>
      </c>
      <c r="X1612" s="59"/>
      <c r="Y1612" s="12" t="s">
        <v>293</v>
      </c>
      <c r="Z1612" s="68">
        <f>VLOOKUP(Takeoffs!Y1612,Sheet1!$B$6:$C$124,2,FALSE)</f>
        <v>0</v>
      </c>
      <c r="AA1612" s="68">
        <f t="shared" si="739"/>
        <v>0</v>
      </c>
      <c r="AB1612" s="63">
        <f t="shared" si="740"/>
        <v>1</v>
      </c>
      <c r="AC1612" s="28">
        <f t="shared" si="747"/>
        <v>1</v>
      </c>
      <c r="AD1612" s="61">
        <v>1</v>
      </c>
      <c r="AE1612" s="59"/>
      <c r="AF1612" s="12" t="s">
        <v>293</v>
      </c>
      <c r="AG1612" s="68">
        <f>VLOOKUP(Takeoffs!AF1612,Sheet1!$B$6:$C$124,2,FALSE)</f>
        <v>0</v>
      </c>
      <c r="AH1612" s="68">
        <f t="shared" si="741"/>
        <v>0</v>
      </c>
      <c r="AI1612" s="63">
        <f t="shared" si="742"/>
        <v>0</v>
      </c>
      <c r="AJ1612" s="28">
        <f t="shared" si="743"/>
        <v>1</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1</v>
      </c>
      <c r="T1613" s="11"/>
      <c r="U1613" s="12" t="s">
        <v>293</v>
      </c>
      <c r="V1613" s="28">
        <f t="shared" si="746"/>
        <v>1</v>
      </c>
      <c r="W1613" s="28">
        <f>VLOOKUP(U1613,Sheet1!$B$6:$C$45,2,FALSE)*V1613</f>
        <v>0</v>
      </c>
      <c r="X1613" s="59"/>
      <c r="Y1613" s="12" t="s">
        <v>293</v>
      </c>
      <c r="Z1613" s="68">
        <f>VLOOKUP(Takeoffs!Y1613,Sheet1!$B$6:$C$124,2,FALSE)</f>
        <v>0</v>
      </c>
      <c r="AA1613" s="68">
        <f t="shared" si="739"/>
        <v>0</v>
      </c>
      <c r="AB1613" s="63">
        <f t="shared" si="740"/>
        <v>1</v>
      </c>
      <c r="AC1613" s="28">
        <f t="shared" si="747"/>
        <v>1</v>
      </c>
      <c r="AD1613" s="61">
        <v>1</v>
      </c>
      <c r="AE1613" s="59"/>
      <c r="AF1613" s="12" t="s">
        <v>293</v>
      </c>
      <c r="AG1613" s="68">
        <f>VLOOKUP(Takeoffs!AF1613,Sheet1!$B$6:$C$124,2,FALSE)</f>
        <v>0</v>
      </c>
      <c r="AH1613" s="68">
        <f t="shared" si="741"/>
        <v>0</v>
      </c>
      <c r="AI1613" s="63">
        <f t="shared" si="742"/>
        <v>0</v>
      </c>
      <c r="AJ1613" s="28">
        <f t="shared" si="743"/>
        <v>1</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1</v>
      </c>
      <c r="T1614" s="11"/>
      <c r="U1614" s="12" t="s">
        <v>293</v>
      </c>
      <c r="V1614" s="28">
        <f t="shared" si="746"/>
        <v>1</v>
      </c>
      <c r="W1614" s="28">
        <f>VLOOKUP(U1614,Sheet1!$B$6:$C$45,2,FALSE)*V1614</f>
        <v>0</v>
      </c>
      <c r="X1614" s="59"/>
      <c r="Y1614" s="12" t="s">
        <v>293</v>
      </c>
      <c r="Z1614" s="68">
        <f>VLOOKUP(Takeoffs!Y1614,Sheet1!$B$6:$C$124,2,FALSE)</f>
        <v>0</v>
      </c>
      <c r="AA1614" s="68">
        <f t="shared" si="739"/>
        <v>0</v>
      </c>
      <c r="AB1614" s="63">
        <f t="shared" si="740"/>
        <v>1</v>
      </c>
      <c r="AC1614" s="28">
        <f t="shared" si="747"/>
        <v>1</v>
      </c>
      <c r="AD1614" s="61">
        <v>1</v>
      </c>
      <c r="AE1614" s="59"/>
      <c r="AF1614" s="12" t="s">
        <v>293</v>
      </c>
      <c r="AG1614" s="68">
        <f>VLOOKUP(Takeoffs!AF1614,Sheet1!$B$6:$C$124,2,FALSE)</f>
        <v>0</v>
      </c>
      <c r="AH1614" s="68">
        <f t="shared" si="741"/>
        <v>0</v>
      </c>
      <c r="AI1614" s="63">
        <f t="shared" si="742"/>
        <v>0</v>
      </c>
      <c r="AJ1614" s="28">
        <f t="shared" si="743"/>
        <v>1</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1</v>
      </c>
      <c r="T1615" s="11"/>
      <c r="U1615" s="12" t="s">
        <v>293</v>
      </c>
      <c r="V1615" s="28">
        <f t="shared" si="746"/>
        <v>1</v>
      </c>
      <c r="W1615" s="28">
        <f>VLOOKUP(U1615,Sheet1!$B$6:$C$45,2,FALSE)*V1615</f>
        <v>0</v>
      </c>
      <c r="X1615" s="59"/>
      <c r="Y1615" s="12" t="s">
        <v>293</v>
      </c>
      <c r="Z1615" s="68">
        <f>VLOOKUP(Takeoffs!Y1615,Sheet1!$B$6:$C$124,2,FALSE)</f>
        <v>0</v>
      </c>
      <c r="AA1615" s="68">
        <f t="shared" si="739"/>
        <v>0</v>
      </c>
      <c r="AB1615" s="63">
        <f t="shared" si="740"/>
        <v>1</v>
      </c>
      <c r="AC1615" s="28">
        <f t="shared" si="747"/>
        <v>1</v>
      </c>
      <c r="AD1615" s="61">
        <v>1</v>
      </c>
      <c r="AE1615" s="59"/>
      <c r="AF1615" s="12" t="s">
        <v>293</v>
      </c>
      <c r="AG1615" s="68">
        <f>VLOOKUP(Takeoffs!AF1615,Sheet1!$B$6:$C$124,2,FALSE)</f>
        <v>0</v>
      </c>
      <c r="AH1615" s="68">
        <f t="shared" si="741"/>
        <v>0</v>
      </c>
      <c r="AI1615" s="63">
        <f t="shared" si="742"/>
        <v>0</v>
      </c>
      <c r="AJ1615" s="28">
        <f t="shared" si="743"/>
        <v>1</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1</v>
      </c>
      <c r="T1616" s="11"/>
      <c r="U1616" s="12" t="s">
        <v>293</v>
      </c>
      <c r="V1616" s="28">
        <f t="shared" si="746"/>
        <v>1</v>
      </c>
      <c r="W1616" s="28">
        <f>VLOOKUP(U1616,Sheet1!$B$6:$C$45,2,FALSE)*V1616</f>
        <v>0</v>
      </c>
      <c r="X1616" s="59"/>
      <c r="Y1616" s="12" t="s">
        <v>293</v>
      </c>
      <c r="Z1616" s="68">
        <f>VLOOKUP(Takeoffs!Y1616,Sheet1!$B$6:$C$124,2,FALSE)</f>
        <v>0</v>
      </c>
      <c r="AA1616" s="68">
        <f t="shared" si="739"/>
        <v>0</v>
      </c>
      <c r="AB1616" s="63">
        <f t="shared" si="740"/>
        <v>1</v>
      </c>
      <c r="AC1616" s="28">
        <f t="shared" si="747"/>
        <v>1</v>
      </c>
      <c r="AD1616" s="61">
        <v>1</v>
      </c>
      <c r="AE1616" s="59"/>
      <c r="AF1616" s="12" t="s">
        <v>293</v>
      </c>
      <c r="AG1616" s="68">
        <f>VLOOKUP(Takeoffs!AF1616,Sheet1!$B$6:$C$124,2,FALSE)</f>
        <v>0</v>
      </c>
      <c r="AH1616" s="68">
        <f t="shared" si="741"/>
        <v>0</v>
      </c>
      <c r="AI1616" s="63">
        <f t="shared" si="742"/>
        <v>0</v>
      </c>
      <c r="AJ1616" s="28">
        <f t="shared" si="743"/>
        <v>1</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1</v>
      </c>
      <c r="T1617" s="11"/>
      <c r="U1617" s="12" t="s">
        <v>293</v>
      </c>
      <c r="V1617" s="28">
        <f t="shared" si="746"/>
        <v>1</v>
      </c>
      <c r="W1617" s="28">
        <f>VLOOKUP(U1617,Sheet1!$B$6:$C$45,2,FALSE)*V1617</f>
        <v>0</v>
      </c>
      <c r="X1617" s="59"/>
      <c r="Y1617" s="12" t="s">
        <v>293</v>
      </c>
      <c r="Z1617" s="68">
        <f>VLOOKUP(Takeoffs!Y1617,Sheet1!$B$6:$C$124,2,FALSE)</f>
        <v>0</v>
      </c>
      <c r="AA1617" s="68">
        <f t="shared" si="739"/>
        <v>0</v>
      </c>
      <c r="AB1617" s="63">
        <f t="shared" si="740"/>
        <v>1</v>
      </c>
      <c r="AC1617" s="28">
        <f t="shared" si="747"/>
        <v>1</v>
      </c>
      <c r="AD1617" s="61">
        <v>1</v>
      </c>
      <c r="AE1617" s="59"/>
      <c r="AF1617" s="12" t="s">
        <v>293</v>
      </c>
      <c r="AG1617" s="68">
        <f>VLOOKUP(Takeoffs!AF1617,Sheet1!$B$6:$C$124,2,FALSE)</f>
        <v>0</v>
      </c>
      <c r="AH1617" s="68">
        <f t="shared" si="741"/>
        <v>0</v>
      </c>
      <c r="AI1617" s="63">
        <f t="shared" si="742"/>
        <v>0</v>
      </c>
      <c r="AJ1617" s="28">
        <f t="shared" si="743"/>
        <v>1</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1</v>
      </c>
      <c r="T1618" s="11"/>
      <c r="U1618" s="12" t="s">
        <v>293</v>
      </c>
      <c r="V1618" s="28">
        <f t="shared" si="746"/>
        <v>1</v>
      </c>
      <c r="W1618" s="28">
        <f>VLOOKUP(U1618,Sheet1!$B$6:$C$45,2,FALSE)*V1618</f>
        <v>0</v>
      </c>
      <c r="X1618" s="59"/>
      <c r="Y1618" s="12" t="s">
        <v>293</v>
      </c>
      <c r="Z1618" s="68">
        <f>VLOOKUP(Takeoffs!Y1618,Sheet1!$B$6:$C$124,2,FALSE)</f>
        <v>0</v>
      </c>
      <c r="AA1618" s="68">
        <f t="shared" si="739"/>
        <v>0</v>
      </c>
      <c r="AB1618" s="63">
        <f t="shared" si="740"/>
        <v>1</v>
      </c>
      <c r="AC1618" s="28">
        <f t="shared" si="747"/>
        <v>1</v>
      </c>
      <c r="AD1618" s="61">
        <v>1</v>
      </c>
      <c r="AE1618" s="59"/>
      <c r="AF1618" s="12" t="s">
        <v>293</v>
      </c>
      <c r="AG1618" s="68">
        <f>VLOOKUP(Takeoffs!AF1618,Sheet1!$B$6:$C$124,2,FALSE)</f>
        <v>0</v>
      </c>
      <c r="AH1618" s="68">
        <f t="shared" si="741"/>
        <v>0</v>
      </c>
      <c r="AI1618" s="63">
        <f t="shared" si="742"/>
        <v>0</v>
      </c>
      <c r="AJ1618" s="28">
        <f t="shared" si="743"/>
        <v>1</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1</v>
      </c>
      <c r="T1619" s="11"/>
      <c r="U1619" s="12" t="s">
        <v>293</v>
      </c>
      <c r="V1619" s="28">
        <f t="shared" si="746"/>
        <v>1</v>
      </c>
      <c r="W1619" s="28">
        <f>VLOOKUP(U1619,Sheet1!$B$6:$C$45,2,FALSE)*V1619</f>
        <v>0</v>
      </c>
      <c r="X1619" s="59"/>
      <c r="Y1619" s="12" t="s">
        <v>293</v>
      </c>
      <c r="Z1619" s="68">
        <f>VLOOKUP(Takeoffs!Y1619,Sheet1!$B$6:$C$124,2,FALSE)</f>
        <v>0</v>
      </c>
      <c r="AA1619" s="68">
        <f t="shared" si="739"/>
        <v>0</v>
      </c>
      <c r="AB1619" s="63">
        <f t="shared" si="740"/>
        <v>1</v>
      </c>
      <c r="AC1619" s="28">
        <f t="shared" si="747"/>
        <v>1</v>
      </c>
      <c r="AD1619" s="61">
        <v>1</v>
      </c>
      <c r="AE1619" s="59"/>
      <c r="AF1619" s="12" t="s">
        <v>293</v>
      </c>
      <c r="AG1619" s="68">
        <f>VLOOKUP(Takeoffs!AF1619,Sheet1!$B$6:$C$124,2,FALSE)</f>
        <v>0</v>
      </c>
      <c r="AH1619" s="68">
        <f t="shared" si="741"/>
        <v>0</v>
      </c>
      <c r="AI1619" s="63">
        <f t="shared" si="742"/>
        <v>0</v>
      </c>
      <c r="AJ1619" s="28">
        <f t="shared" si="743"/>
        <v>1</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1</v>
      </c>
      <c r="T1620" s="11"/>
      <c r="U1620" s="12" t="s">
        <v>293</v>
      </c>
      <c r="V1620" s="28">
        <f t="shared" si="746"/>
        <v>1</v>
      </c>
      <c r="W1620" s="28">
        <f>VLOOKUP(U1620,Sheet1!$B$6:$C$45,2,FALSE)*V1620</f>
        <v>0</v>
      </c>
      <c r="X1620" s="59"/>
      <c r="Y1620" s="12" t="s">
        <v>293</v>
      </c>
      <c r="Z1620" s="68">
        <f>VLOOKUP(Takeoffs!Y1620,Sheet1!$B$6:$C$124,2,FALSE)</f>
        <v>0</v>
      </c>
      <c r="AA1620" s="68">
        <f t="shared" si="739"/>
        <v>0</v>
      </c>
      <c r="AB1620" s="63">
        <f t="shared" si="740"/>
        <v>1</v>
      </c>
      <c r="AC1620" s="28">
        <f t="shared" si="747"/>
        <v>1</v>
      </c>
      <c r="AD1620" s="61">
        <v>1</v>
      </c>
      <c r="AE1620" s="59"/>
      <c r="AF1620" s="12" t="s">
        <v>293</v>
      </c>
      <c r="AG1620" s="68">
        <f>VLOOKUP(Takeoffs!AF1620,Sheet1!$B$6:$C$124,2,FALSE)</f>
        <v>0</v>
      </c>
      <c r="AH1620" s="68">
        <f t="shared" si="741"/>
        <v>0</v>
      </c>
      <c r="AI1620" s="63">
        <f t="shared" si="742"/>
        <v>0</v>
      </c>
      <c r="AJ1620" s="28">
        <f t="shared" si="743"/>
        <v>1</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1</v>
      </c>
      <c r="T1621" s="11"/>
      <c r="U1621" s="12" t="s">
        <v>293</v>
      </c>
      <c r="V1621" s="28">
        <f t="shared" si="746"/>
        <v>1</v>
      </c>
      <c r="W1621" s="28">
        <f>VLOOKUP(U1621,Sheet1!$B$6:$C$45,2,FALSE)*V1621</f>
        <v>0</v>
      </c>
      <c r="X1621" s="59"/>
      <c r="Y1621" s="12" t="s">
        <v>293</v>
      </c>
      <c r="Z1621" s="68">
        <f>VLOOKUP(Takeoffs!Y1621,Sheet1!$B$6:$C$124,2,FALSE)</f>
        <v>0</v>
      </c>
      <c r="AA1621" s="68">
        <f t="shared" si="739"/>
        <v>0</v>
      </c>
      <c r="AB1621" s="63">
        <f t="shared" si="740"/>
        <v>1</v>
      </c>
      <c r="AC1621" s="28">
        <f t="shared" si="747"/>
        <v>1</v>
      </c>
      <c r="AD1621" s="61">
        <v>1</v>
      </c>
      <c r="AE1621" s="59"/>
      <c r="AF1621" s="12" t="s">
        <v>293</v>
      </c>
      <c r="AG1621" s="68">
        <f>VLOOKUP(Takeoffs!AF1621,Sheet1!$B$6:$C$124,2,FALSE)</f>
        <v>0</v>
      </c>
      <c r="AH1621" s="68">
        <f t="shared" si="741"/>
        <v>0</v>
      </c>
      <c r="AI1621" s="63">
        <f t="shared" si="742"/>
        <v>0</v>
      </c>
      <c r="AJ1621" s="28">
        <f t="shared" si="743"/>
        <v>1</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1</v>
      </c>
      <c r="T1622" s="11"/>
      <c r="U1622" s="12" t="s">
        <v>293</v>
      </c>
      <c r="V1622" s="28">
        <f t="shared" si="746"/>
        <v>1</v>
      </c>
      <c r="W1622" s="28">
        <f>VLOOKUP(U1622,Sheet1!$B$6:$C$45,2,FALSE)*V1622</f>
        <v>0</v>
      </c>
      <c r="X1622" s="59"/>
      <c r="Y1622" s="12" t="s">
        <v>293</v>
      </c>
      <c r="Z1622" s="68">
        <f>VLOOKUP(Takeoffs!Y1622,Sheet1!$B$6:$C$124,2,FALSE)</f>
        <v>0</v>
      </c>
      <c r="AA1622" s="68">
        <f t="shared" si="739"/>
        <v>0</v>
      </c>
      <c r="AB1622" s="63">
        <f t="shared" si="740"/>
        <v>1</v>
      </c>
      <c r="AC1622" s="28">
        <f t="shared" si="747"/>
        <v>1</v>
      </c>
      <c r="AD1622" s="61">
        <v>1</v>
      </c>
      <c r="AE1622" s="59"/>
      <c r="AF1622" s="12" t="s">
        <v>293</v>
      </c>
      <c r="AG1622" s="68">
        <f>VLOOKUP(Takeoffs!AF1622,Sheet1!$B$6:$C$124,2,FALSE)</f>
        <v>0</v>
      </c>
      <c r="AH1622" s="68">
        <f t="shared" si="741"/>
        <v>0</v>
      </c>
      <c r="AI1622" s="63">
        <f t="shared" si="742"/>
        <v>0</v>
      </c>
      <c r="AJ1622" s="28">
        <f t="shared" si="743"/>
        <v>1</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1</v>
      </c>
      <c r="T1623" s="11"/>
      <c r="U1623" s="12" t="s">
        <v>293</v>
      </c>
      <c r="V1623" s="28">
        <f t="shared" si="746"/>
        <v>1</v>
      </c>
      <c r="W1623" s="28">
        <f>VLOOKUP(U1623,Sheet1!$B$6:$C$45,2,FALSE)*V1623</f>
        <v>0</v>
      </c>
      <c r="X1623" s="59"/>
      <c r="Y1623" s="12" t="s">
        <v>293</v>
      </c>
      <c r="Z1623" s="68">
        <f>VLOOKUP(Takeoffs!Y1623,Sheet1!$B$6:$C$124,2,FALSE)</f>
        <v>0</v>
      </c>
      <c r="AA1623" s="68">
        <f t="shared" si="739"/>
        <v>0</v>
      </c>
      <c r="AB1623" s="63">
        <f t="shared" si="740"/>
        <v>1</v>
      </c>
      <c r="AC1623" s="28">
        <f t="shared" si="747"/>
        <v>1</v>
      </c>
      <c r="AD1623" s="61">
        <v>1</v>
      </c>
      <c r="AE1623" s="59"/>
      <c r="AF1623" s="12" t="s">
        <v>293</v>
      </c>
      <c r="AG1623" s="68">
        <f>VLOOKUP(Takeoffs!AF1623,Sheet1!$B$6:$C$124,2,FALSE)</f>
        <v>0</v>
      </c>
      <c r="AH1623" s="68">
        <f t="shared" si="741"/>
        <v>0</v>
      </c>
      <c r="AI1623" s="63">
        <f t="shared" si="742"/>
        <v>0</v>
      </c>
      <c r="AJ1623" s="28">
        <f t="shared" si="743"/>
        <v>1</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1</v>
      </c>
      <c r="T1624" s="11"/>
      <c r="U1624" s="12" t="s">
        <v>293</v>
      </c>
      <c r="V1624" s="28">
        <f t="shared" si="746"/>
        <v>1</v>
      </c>
      <c r="W1624" s="28">
        <f>VLOOKUP(U1624,Sheet1!$B$6:$C$45,2,FALSE)*V1624</f>
        <v>0</v>
      </c>
      <c r="X1624" s="59"/>
      <c r="Y1624" s="12" t="s">
        <v>293</v>
      </c>
      <c r="Z1624" s="68">
        <f>VLOOKUP(Takeoffs!Y1624,Sheet1!$B$6:$C$124,2,FALSE)</f>
        <v>0</v>
      </c>
      <c r="AA1624" s="68">
        <f t="shared" si="739"/>
        <v>0</v>
      </c>
      <c r="AB1624" s="63">
        <f t="shared" si="740"/>
        <v>1</v>
      </c>
      <c r="AC1624" s="28">
        <f t="shared" si="747"/>
        <v>1</v>
      </c>
      <c r="AD1624" s="61">
        <v>1</v>
      </c>
      <c r="AE1624" s="59"/>
      <c r="AF1624" s="12" t="s">
        <v>293</v>
      </c>
      <c r="AG1624" s="68">
        <f>VLOOKUP(Takeoffs!AF1624,Sheet1!$B$6:$C$124,2,FALSE)</f>
        <v>0</v>
      </c>
      <c r="AH1624" s="68">
        <f t="shared" si="741"/>
        <v>0</v>
      </c>
      <c r="AI1624" s="63">
        <f t="shared" si="742"/>
        <v>0</v>
      </c>
      <c r="AJ1624" s="28">
        <f t="shared" si="743"/>
        <v>1</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1</v>
      </c>
      <c r="T1625" s="11"/>
      <c r="U1625" s="12" t="s">
        <v>293</v>
      </c>
      <c r="V1625" s="28">
        <f t="shared" si="746"/>
        <v>1</v>
      </c>
      <c r="W1625" s="28">
        <f>VLOOKUP(U1625,Sheet1!$B$6:$C$45,2,FALSE)*V1625</f>
        <v>0</v>
      </c>
      <c r="X1625" s="59"/>
      <c r="Y1625" s="12" t="s">
        <v>293</v>
      </c>
      <c r="Z1625" s="68">
        <f>VLOOKUP(Takeoffs!Y1625,Sheet1!$B$6:$C$124,2,FALSE)</f>
        <v>0</v>
      </c>
      <c r="AA1625" s="68">
        <f t="shared" si="739"/>
        <v>0</v>
      </c>
      <c r="AB1625" s="63">
        <f t="shared" si="740"/>
        <v>1</v>
      </c>
      <c r="AC1625" s="28">
        <f t="shared" si="747"/>
        <v>1</v>
      </c>
      <c r="AD1625" s="61">
        <v>1</v>
      </c>
      <c r="AE1625" s="59"/>
      <c r="AF1625" s="12" t="s">
        <v>293</v>
      </c>
      <c r="AG1625" s="68">
        <f>VLOOKUP(Takeoffs!AF1625,Sheet1!$B$6:$C$124,2,FALSE)</f>
        <v>0</v>
      </c>
      <c r="AH1625" s="68">
        <f t="shared" si="741"/>
        <v>0</v>
      </c>
      <c r="AI1625" s="63">
        <f t="shared" si="742"/>
        <v>0</v>
      </c>
      <c r="AJ1625" s="28">
        <f t="shared" si="743"/>
        <v>1</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1</v>
      </c>
      <c r="T1626" s="11"/>
      <c r="U1626" s="12" t="s">
        <v>293</v>
      </c>
      <c r="V1626" s="28">
        <f t="shared" si="746"/>
        <v>1</v>
      </c>
      <c r="W1626" s="28">
        <f>VLOOKUP(U1626,Sheet1!$B$6:$C$45,2,FALSE)*V1626</f>
        <v>0</v>
      </c>
      <c r="X1626" s="59"/>
      <c r="Y1626" s="12" t="s">
        <v>293</v>
      </c>
      <c r="Z1626" s="68">
        <f>VLOOKUP(Takeoffs!Y1626,Sheet1!$B$6:$C$124,2,FALSE)</f>
        <v>0</v>
      </c>
      <c r="AA1626" s="68">
        <f t="shared" si="739"/>
        <v>0</v>
      </c>
      <c r="AB1626" s="63">
        <f t="shared" si="740"/>
        <v>1</v>
      </c>
      <c r="AC1626" s="28">
        <f t="shared" si="747"/>
        <v>1</v>
      </c>
      <c r="AD1626" s="61">
        <v>1</v>
      </c>
      <c r="AE1626" s="59"/>
      <c r="AF1626" s="12" t="s">
        <v>293</v>
      </c>
      <c r="AG1626" s="68">
        <f>VLOOKUP(Takeoffs!AF1626,Sheet1!$B$6:$C$124,2,FALSE)</f>
        <v>0</v>
      </c>
      <c r="AH1626" s="68">
        <f t="shared" si="741"/>
        <v>0</v>
      </c>
      <c r="AI1626" s="63">
        <f t="shared" si="742"/>
        <v>0</v>
      </c>
      <c r="AJ1626" s="28">
        <f t="shared" si="743"/>
        <v>1</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1</v>
      </c>
      <c r="T1627" s="11"/>
      <c r="U1627" s="12" t="s">
        <v>293</v>
      </c>
      <c r="V1627" s="28">
        <f t="shared" si="746"/>
        <v>1</v>
      </c>
      <c r="W1627" s="28">
        <f>VLOOKUP(U1627,Sheet1!$B$6:$C$45,2,FALSE)*V1627</f>
        <v>0</v>
      </c>
      <c r="X1627" s="59"/>
      <c r="Y1627" s="12" t="s">
        <v>293</v>
      </c>
      <c r="Z1627" s="68">
        <f>VLOOKUP(Takeoffs!Y1627,Sheet1!$B$6:$C$124,2,FALSE)</f>
        <v>0</v>
      </c>
      <c r="AA1627" s="68">
        <f t="shared" si="739"/>
        <v>0</v>
      </c>
      <c r="AB1627" s="63">
        <f t="shared" si="740"/>
        <v>1</v>
      </c>
      <c r="AC1627" s="28">
        <f t="shared" si="747"/>
        <v>1</v>
      </c>
      <c r="AD1627" s="61">
        <v>1</v>
      </c>
      <c r="AE1627" s="59"/>
      <c r="AF1627" s="12" t="s">
        <v>293</v>
      </c>
      <c r="AG1627" s="68">
        <f>VLOOKUP(Takeoffs!AF1627,Sheet1!$B$6:$C$124,2,FALSE)</f>
        <v>0</v>
      </c>
      <c r="AH1627" s="68">
        <f t="shared" si="741"/>
        <v>0</v>
      </c>
      <c r="AI1627" s="63">
        <f t="shared" si="742"/>
        <v>0</v>
      </c>
      <c r="AJ1627" s="28">
        <f t="shared" si="743"/>
        <v>1</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1</v>
      </c>
      <c r="T1628" s="11"/>
      <c r="U1628" s="12" t="s">
        <v>293</v>
      </c>
      <c r="V1628" s="28">
        <f t="shared" si="746"/>
        <v>1</v>
      </c>
      <c r="W1628" s="28">
        <f>VLOOKUP(U1628,Sheet1!$B$6:$C$45,2,FALSE)*V1628</f>
        <v>0</v>
      </c>
      <c r="X1628" s="59"/>
      <c r="Y1628" s="12" t="s">
        <v>293</v>
      </c>
      <c r="Z1628" s="68">
        <f>VLOOKUP(Takeoffs!Y1628,Sheet1!$B$6:$C$124,2,FALSE)</f>
        <v>0</v>
      </c>
      <c r="AA1628" s="68">
        <f t="shared" si="739"/>
        <v>0</v>
      </c>
      <c r="AB1628" s="63">
        <f t="shared" si="740"/>
        <v>1</v>
      </c>
      <c r="AC1628" s="28">
        <f t="shared" si="747"/>
        <v>1</v>
      </c>
      <c r="AD1628" s="61">
        <v>1</v>
      </c>
      <c r="AE1628" s="59"/>
      <c r="AF1628" s="12" t="s">
        <v>293</v>
      </c>
      <c r="AG1628" s="68">
        <f>VLOOKUP(Takeoffs!AF1628,Sheet1!$B$6:$C$124,2,FALSE)</f>
        <v>0</v>
      </c>
      <c r="AH1628" s="68">
        <f t="shared" si="741"/>
        <v>0</v>
      </c>
      <c r="AI1628" s="63">
        <f t="shared" si="742"/>
        <v>0</v>
      </c>
      <c r="AJ1628" s="28">
        <f t="shared" si="743"/>
        <v>1</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379</v>
      </c>
      <c r="L1629" s="21" t="s">
        <v>380</v>
      </c>
      <c r="N1629" s="22"/>
      <c r="O1629" s="23" t="s">
        <v>359</v>
      </c>
      <c r="P1629" s="24">
        <f>V1629+AA1629+AH1629</f>
        <v>318.30399999999997</v>
      </c>
      <c r="Q1629" s="24"/>
      <c r="R1629" s="24"/>
      <c r="S1629" s="23"/>
      <c r="T1629" s="20"/>
      <c r="U1629" s="19" t="s">
        <v>353</v>
      </c>
      <c r="V1629" s="20">
        <f>W1629*80</f>
        <v>160</v>
      </c>
      <c r="W1629" s="69">
        <f>SUM(W1608:W1628)</f>
        <v>2</v>
      </c>
      <c r="X1629" s="70"/>
      <c r="Y1629" s="20" t="s">
        <v>354</v>
      </c>
      <c r="Z1629" s="2"/>
      <c r="AA1629" s="2">
        <f>SUM(AA1608:AA1628)</f>
        <v>89.903999999999996</v>
      </c>
      <c r="AB1629" s="71"/>
      <c r="AC1629" s="71"/>
      <c r="AD1629" s="71"/>
      <c r="AE1629" s="71"/>
      <c r="AF1629" s="20" t="s">
        <v>358</v>
      </c>
      <c r="AG1629" s="2"/>
      <c r="AH1629" s="2">
        <f>SUM(AH1608:AH1628)</f>
        <v>68.399999999999991</v>
      </c>
      <c r="AI1629" s="71"/>
      <c r="AJ1629" s="71"/>
      <c r="AK1629" s="71"/>
      <c r="AL1629" s="71"/>
      <c r="AM1629" s="150">
        <f>P1629</f>
        <v>318.30399999999997</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494</v>
      </c>
      <c r="C1630" s="217" t="str">
        <f>N1608</f>
        <v>Office VRF outdoor units</v>
      </c>
      <c r="D1630" s="260" t="s">
        <v>681</v>
      </c>
      <c r="E1630" s="238"/>
      <c r="F1630" s="217"/>
      <c r="G1630" s="217"/>
      <c r="H1630" s="245"/>
      <c r="I1630" s="270">
        <v>1</v>
      </c>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one (1) Office VRF outdoor units. This includes supply and install of CB, cabling from MSSB and local isolator. </v>
      </c>
      <c r="K1630" s="246">
        <f>P1629</f>
        <v>318.30399999999997</v>
      </c>
      <c r="L1630" s="234" t="str">
        <f>CONCATENATE(Q1609,Q1610,Q1611,Q1612,Q1613,Q1614,Q1615,Q1616,Q1617,Q1618,Q1619,Q1620,Q1621,Q1622,Q1623,Q1624,Q1625,Q1626,Q1627,Q1628,)</f>
        <v/>
      </c>
      <c r="M1630" s="91" t="s">
        <v>369</v>
      </c>
      <c r="N1630" s="83" t="str">
        <f>N1608</f>
        <v>Office VRF outdoor units</v>
      </c>
      <c r="O1630" s="83" t="s">
        <v>367</v>
      </c>
      <c r="P1630" s="64">
        <f>P1629/M1608</f>
        <v>318.30399999999997</v>
      </c>
      <c r="Q1630" s="84"/>
      <c r="R1630" s="84"/>
      <c r="S1630" s="83"/>
      <c r="T1630" s="84"/>
      <c r="U1630" s="327" t="s">
        <v>368</v>
      </c>
      <c r="V1630" s="327"/>
      <c r="W1630" s="85">
        <f>W1629/M1608</f>
        <v>2</v>
      </c>
      <c r="X1630" s="86"/>
      <c r="Y1630" s="325" t="s">
        <v>367</v>
      </c>
      <c r="Z1630" s="325"/>
      <c r="AA1630" s="87">
        <f>AA1629/M1608</f>
        <v>89.903999999999996</v>
      </c>
      <c r="AB1630" s="84"/>
      <c r="AC1630" s="84"/>
      <c r="AD1630" s="84"/>
      <c r="AE1630" s="84"/>
      <c r="AF1630" s="325" t="s">
        <v>367</v>
      </c>
      <c r="AG1630" s="325"/>
      <c r="AH1630" s="87">
        <f>AH1629/M1608</f>
        <v>68.399999999999991</v>
      </c>
      <c r="AI1630" s="84"/>
      <c r="AJ1630" s="84"/>
      <c r="AK1630" s="84"/>
      <c r="AL1630" s="247"/>
      <c r="AM1630" s="257"/>
      <c r="AN1630" s="236">
        <f>K1630*1.25</f>
        <v>397.88</v>
      </c>
      <c r="AO1630" s="286"/>
      <c r="AP1630" s="284">
        <f t="shared" si="748"/>
        <v>318.30399999999997</v>
      </c>
      <c r="AQ1630" s="281">
        <f t="shared" si="749"/>
        <v>160</v>
      </c>
      <c r="AR1630" s="284">
        <f t="shared" si="750"/>
        <v>89.903999999999996</v>
      </c>
      <c r="AS1630" s="281">
        <f t="shared" si="751"/>
        <v>68.399999999999991</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494</v>
      </c>
      <c r="D1631" s="261" t="str">
        <f>IF(B1631="Shopping List",IF(ISNUMBER(SEARCH("MSSB",C1631)),"MSSB",IF(ISNUMBER(SEARCH("local",C1631)),"LOCAL","")))</f>
        <v/>
      </c>
      <c r="I1631" s="269">
        <v>1</v>
      </c>
      <c r="J1631" s="261" t="s">
        <v>497</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454</v>
      </c>
      <c r="M1632" s="116" t="s">
        <v>107</v>
      </c>
      <c r="N1632" s="116" t="s">
        <v>108</v>
      </c>
      <c r="O1632" s="170" t="s">
        <v>388</v>
      </c>
      <c r="P1632" s="326" t="s">
        <v>377</v>
      </c>
      <c r="Q1632" s="326"/>
      <c r="R1632" s="101" t="s">
        <v>454</v>
      </c>
      <c r="S1632" s="116" t="s">
        <v>0</v>
      </c>
      <c r="T1632" s="118"/>
      <c r="U1632" s="116" t="s">
        <v>288</v>
      </c>
      <c r="V1632" s="116" t="s">
        <v>289</v>
      </c>
      <c r="W1632" s="116" t="s">
        <v>292</v>
      </c>
      <c r="X1632" s="140"/>
      <c r="Y1632" s="116" t="s">
        <v>290</v>
      </c>
      <c r="Z1632" s="116" t="s">
        <v>356</v>
      </c>
      <c r="AA1632" s="116" t="s">
        <v>357</v>
      </c>
      <c r="AB1632" s="116" t="s">
        <v>319</v>
      </c>
      <c r="AC1632" s="116" t="s">
        <v>320</v>
      </c>
      <c r="AD1632" s="116" t="s">
        <v>318</v>
      </c>
      <c r="AE1632" s="140"/>
      <c r="AF1632" s="116" t="s">
        <v>294</v>
      </c>
      <c r="AG1632" s="116" t="s">
        <v>356</v>
      </c>
      <c r="AH1632" s="116" t="s">
        <v>357</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one</v>
      </c>
      <c r="M1633" s="121">
        <f>I1655</f>
        <v>1</v>
      </c>
      <c r="N1633" s="132" t="s">
        <v>640</v>
      </c>
      <c r="O1633" s="175" t="s">
        <v>133</v>
      </c>
      <c r="P1633" s="173" t="s">
        <v>381</v>
      </c>
      <c r="Q1633" s="173" t="s">
        <v>377</v>
      </c>
      <c r="R1633" s="173"/>
      <c r="S1633" s="174">
        <f>M1633</f>
        <v>1</v>
      </c>
      <c r="T1633" s="175"/>
      <c r="U1633" s="175" t="s">
        <v>293</v>
      </c>
      <c r="V1633" s="174">
        <f>S1633</f>
        <v>1</v>
      </c>
      <c r="W1633" s="174">
        <f>VLOOKUP(U1633,Sheet1!$B$6:$C$45,2,FALSE)*V1633</f>
        <v>0</v>
      </c>
      <c r="X1633" s="174"/>
      <c r="Y1633" s="175" t="s">
        <v>293</v>
      </c>
      <c r="Z1633" s="168">
        <f>VLOOKUP(Takeoffs!Y1633,Sheet1!$B$6:$C$124,2,FALSE)</f>
        <v>0</v>
      </c>
      <c r="AA1633" s="168">
        <f>Z1633*AB1633</f>
        <v>0</v>
      </c>
      <c r="AB1633" s="176">
        <f>AD1633*AC1633</f>
        <v>1</v>
      </c>
      <c r="AC1633" s="174">
        <f>S1633</f>
        <v>1</v>
      </c>
      <c r="AD1633" s="174">
        <v>1</v>
      </c>
      <c r="AE1633" s="174"/>
      <c r="AF1633" s="175" t="s">
        <v>293</v>
      </c>
      <c r="AG1633" s="168">
        <f>VLOOKUP(Takeoffs!AF1633,Sheet1!$B$6:$C$124,2,FALSE)</f>
        <v>0</v>
      </c>
      <c r="AH1633" s="168">
        <f>AG1633*AI1633</f>
        <v>0</v>
      </c>
      <c r="AI1633" s="176">
        <f>AK1633*AJ1633</f>
        <v>0</v>
      </c>
      <c r="AJ1633" s="174">
        <f>S1633</f>
        <v>1</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1</v>
      </c>
      <c r="T1634" s="172"/>
      <c r="U1634" s="175" t="s">
        <v>293</v>
      </c>
      <c r="V1634" s="174">
        <f t="shared" ref="V1634:V1653" si="753">S1634</f>
        <v>1</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1</v>
      </c>
      <c r="AC1634" s="174">
        <f t="shared" ref="AC1634:AC1653" si="756">S1634</f>
        <v>1</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1</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1</v>
      </c>
      <c r="T1635" s="172"/>
      <c r="U1635" s="175" t="s">
        <v>293</v>
      </c>
      <c r="V1635" s="174">
        <f t="shared" si="753"/>
        <v>1</v>
      </c>
      <c r="W1635" s="174">
        <f>VLOOKUP(U1635,Sheet1!$B$6:$C$45,2,FALSE)*V1635</f>
        <v>0</v>
      </c>
      <c r="X1635" s="174"/>
      <c r="Y1635" s="175" t="s">
        <v>293</v>
      </c>
      <c r="Z1635" s="168">
        <f>VLOOKUP(Takeoffs!Y1635,Sheet1!$B$6:$C$124,2,FALSE)</f>
        <v>0</v>
      </c>
      <c r="AA1635" s="168">
        <f t="shared" si="754"/>
        <v>0</v>
      </c>
      <c r="AB1635" s="176">
        <f t="shared" si="755"/>
        <v>1</v>
      </c>
      <c r="AC1635" s="174">
        <f t="shared" si="756"/>
        <v>1</v>
      </c>
      <c r="AD1635" s="174">
        <v>1</v>
      </c>
      <c r="AE1635" s="174"/>
      <c r="AF1635" s="175" t="s">
        <v>293</v>
      </c>
      <c r="AG1635" s="168">
        <f>VLOOKUP(Takeoffs!AF1635,Sheet1!$B$6:$C$124,2,FALSE)</f>
        <v>0</v>
      </c>
      <c r="AH1635" s="168">
        <f t="shared" si="757"/>
        <v>0</v>
      </c>
      <c r="AI1635" s="176">
        <f t="shared" si="758"/>
        <v>0</v>
      </c>
      <c r="AJ1635" s="174">
        <f t="shared" si="759"/>
        <v>1</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533</v>
      </c>
      <c r="P1636" s="175"/>
      <c r="Q1636" s="175"/>
      <c r="R1636" s="175"/>
      <c r="S1636" s="174">
        <f>M1633</f>
        <v>1</v>
      </c>
      <c r="T1636" s="172"/>
      <c r="U1636" s="175" t="s">
        <v>293</v>
      </c>
      <c r="V1636" s="174">
        <f t="shared" si="753"/>
        <v>1</v>
      </c>
      <c r="W1636" s="174">
        <f>VLOOKUP(U1636,Sheet1!$B$6:$C$45,2,FALSE)*V1636</f>
        <v>0</v>
      </c>
      <c r="X1636" s="174"/>
      <c r="Y1636" s="175" t="s">
        <v>293</v>
      </c>
      <c r="Z1636" s="168">
        <f>VLOOKUP(Takeoffs!Y1636,Sheet1!$B$6:$C$124,2,FALSE)</f>
        <v>0</v>
      </c>
      <c r="AA1636" s="168">
        <f t="shared" si="754"/>
        <v>0</v>
      </c>
      <c r="AB1636" s="176">
        <f t="shared" si="755"/>
        <v>1</v>
      </c>
      <c r="AC1636" s="174">
        <f t="shared" si="756"/>
        <v>1</v>
      </c>
      <c r="AD1636" s="174">
        <v>1</v>
      </c>
      <c r="AE1636" s="174"/>
      <c r="AF1636" s="175" t="s">
        <v>293</v>
      </c>
      <c r="AG1636" s="168">
        <f>VLOOKUP(Takeoffs!AF1636,Sheet1!$B$6:$C$124,2,FALSE)</f>
        <v>0</v>
      </c>
      <c r="AH1636" s="168">
        <f t="shared" si="757"/>
        <v>0</v>
      </c>
      <c r="AI1636" s="176">
        <f t="shared" si="758"/>
        <v>0</v>
      </c>
      <c r="AJ1636" s="174">
        <f t="shared" si="759"/>
        <v>1</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534</v>
      </c>
      <c r="P1637" s="175"/>
      <c r="Q1637" s="175"/>
      <c r="R1637" s="175"/>
      <c r="S1637" s="174">
        <f>M1633</f>
        <v>1</v>
      </c>
      <c r="T1637" s="172"/>
      <c r="U1637" s="175" t="s">
        <v>293</v>
      </c>
      <c r="V1637" s="174">
        <f t="shared" si="753"/>
        <v>1</v>
      </c>
      <c r="W1637" s="174">
        <f>VLOOKUP(U1637,Sheet1!$B$6:$C$45,2,FALSE)*V1637</f>
        <v>0</v>
      </c>
      <c r="X1637" s="174"/>
      <c r="Y1637" s="175" t="s">
        <v>293</v>
      </c>
      <c r="Z1637" s="168">
        <f>VLOOKUP(Takeoffs!Y1637,Sheet1!$B$6:$C$124,2,FALSE)</f>
        <v>0</v>
      </c>
      <c r="AA1637" s="168">
        <f t="shared" si="754"/>
        <v>0</v>
      </c>
      <c r="AB1637" s="176">
        <f t="shared" si="755"/>
        <v>1</v>
      </c>
      <c r="AC1637" s="174">
        <f t="shared" si="756"/>
        <v>1</v>
      </c>
      <c r="AD1637" s="174">
        <v>1</v>
      </c>
      <c r="AE1637" s="174"/>
      <c r="AF1637" s="175" t="s">
        <v>293</v>
      </c>
      <c r="AG1637" s="168">
        <f>VLOOKUP(Takeoffs!AF1637,Sheet1!$B$6:$C$124,2,FALSE)</f>
        <v>0</v>
      </c>
      <c r="AH1637" s="168">
        <f t="shared" si="757"/>
        <v>0</v>
      </c>
      <c r="AI1637" s="176">
        <f t="shared" si="758"/>
        <v>0</v>
      </c>
      <c r="AJ1637" s="174">
        <f t="shared" si="759"/>
        <v>1</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409</v>
      </c>
      <c r="P1638" s="175"/>
      <c r="Q1638" s="175"/>
      <c r="R1638" s="175"/>
      <c r="S1638" s="174">
        <f>M1633</f>
        <v>1</v>
      </c>
      <c r="T1638" s="172"/>
      <c r="U1638" s="175" t="s">
        <v>293</v>
      </c>
      <c r="V1638" s="174">
        <f t="shared" si="753"/>
        <v>1</v>
      </c>
      <c r="W1638" s="174">
        <f>VLOOKUP(U1638,Sheet1!$B$6:$C$45,2,FALSE)*V1638</f>
        <v>0</v>
      </c>
      <c r="X1638" s="174"/>
      <c r="Y1638" s="175" t="s">
        <v>293</v>
      </c>
      <c r="Z1638" s="168">
        <f>VLOOKUP(Takeoffs!Y1638,Sheet1!$B$6:$C$124,2,FALSE)</f>
        <v>0</v>
      </c>
      <c r="AA1638" s="168">
        <f t="shared" si="754"/>
        <v>0</v>
      </c>
      <c r="AB1638" s="176">
        <f t="shared" si="755"/>
        <v>1</v>
      </c>
      <c r="AC1638" s="174">
        <f t="shared" si="756"/>
        <v>1</v>
      </c>
      <c r="AD1638" s="174">
        <v>1</v>
      </c>
      <c r="AE1638" s="174"/>
      <c r="AF1638" s="175" t="s">
        <v>293</v>
      </c>
      <c r="AG1638" s="168">
        <f>VLOOKUP(Takeoffs!AF1638,Sheet1!$B$6:$C$124,2,FALSE)</f>
        <v>0</v>
      </c>
      <c r="AH1638" s="168">
        <f t="shared" si="757"/>
        <v>0</v>
      </c>
      <c r="AI1638" s="176">
        <f t="shared" si="758"/>
        <v>0</v>
      </c>
      <c r="AJ1638" s="174">
        <f t="shared" si="759"/>
        <v>1</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410</v>
      </c>
      <c r="P1639" s="175"/>
      <c r="Q1639" s="175"/>
      <c r="R1639" s="175"/>
      <c r="S1639" s="174">
        <f>M1633</f>
        <v>1</v>
      </c>
      <c r="T1639" s="172"/>
      <c r="U1639" s="175" t="s">
        <v>293</v>
      </c>
      <c r="V1639" s="174">
        <f t="shared" si="753"/>
        <v>1</v>
      </c>
      <c r="W1639" s="174">
        <f>VLOOKUP(U1639,Sheet1!$B$6:$C$45,2,FALSE)*V1639</f>
        <v>0</v>
      </c>
      <c r="X1639" s="174"/>
      <c r="Y1639" s="175" t="s">
        <v>293</v>
      </c>
      <c r="Z1639" s="168">
        <f>VLOOKUP(Takeoffs!Y1639,Sheet1!$B$6:$C$124,2,FALSE)</f>
        <v>0</v>
      </c>
      <c r="AA1639" s="168">
        <f t="shared" si="754"/>
        <v>0</v>
      </c>
      <c r="AB1639" s="176">
        <f t="shared" si="755"/>
        <v>1</v>
      </c>
      <c r="AC1639" s="174">
        <f t="shared" si="756"/>
        <v>1</v>
      </c>
      <c r="AD1639" s="174">
        <v>1</v>
      </c>
      <c r="AE1639" s="174"/>
      <c r="AF1639" s="175" t="s">
        <v>293</v>
      </c>
      <c r="AG1639" s="168">
        <f>VLOOKUP(Takeoffs!AF1639,Sheet1!$B$6:$C$124,2,FALSE)</f>
        <v>0</v>
      </c>
      <c r="AH1639" s="168">
        <f t="shared" si="757"/>
        <v>0</v>
      </c>
      <c r="AI1639" s="176">
        <f t="shared" si="758"/>
        <v>0</v>
      </c>
      <c r="AJ1639" s="174">
        <f t="shared" si="759"/>
        <v>1</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1</v>
      </c>
      <c r="T1640" s="172"/>
      <c r="U1640" s="175" t="s">
        <v>293</v>
      </c>
      <c r="V1640" s="174">
        <f t="shared" si="753"/>
        <v>1</v>
      </c>
      <c r="W1640" s="174">
        <f>VLOOKUP(U1640,Sheet1!$B$6:$C$45,2,FALSE)*V1640</f>
        <v>0</v>
      </c>
      <c r="X1640" s="174"/>
      <c r="Y1640" s="175" t="s">
        <v>293</v>
      </c>
      <c r="Z1640" s="168">
        <f>VLOOKUP(Takeoffs!Y1640,Sheet1!$B$6:$C$124,2,FALSE)</f>
        <v>0</v>
      </c>
      <c r="AA1640" s="168">
        <f t="shared" si="754"/>
        <v>0</v>
      </c>
      <c r="AB1640" s="176">
        <f t="shared" si="755"/>
        <v>1</v>
      </c>
      <c r="AC1640" s="174">
        <f t="shared" si="756"/>
        <v>1</v>
      </c>
      <c r="AD1640" s="174">
        <v>1</v>
      </c>
      <c r="AE1640" s="174"/>
      <c r="AF1640" s="175" t="s">
        <v>293</v>
      </c>
      <c r="AG1640" s="168">
        <f>VLOOKUP(Takeoffs!AF1640,Sheet1!$B$6:$C$124,2,FALSE)</f>
        <v>0</v>
      </c>
      <c r="AH1640" s="168">
        <f t="shared" si="757"/>
        <v>0</v>
      </c>
      <c r="AI1640" s="176">
        <f t="shared" si="758"/>
        <v>0</v>
      </c>
      <c r="AJ1640" s="174">
        <f t="shared" si="759"/>
        <v>1</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1</v>
      </c>
      <c r="T1641" s="172"/>
      <c r="U1641" s="175" t="s">
        <v>293</v>
      </c>
      <c r="V1641" s="174">
        <f t="shared" si="753"/>
        <v>1</v>
      </c>
      <c r="W1641" s="174">
        <f>VLOOKUP(U1641,Sheet1!$B$6:$C$45,2,FALSE)*V1641</f>
        <v>0</v>
      </c>
      <c r="X1641" s="174"/>
      <c r="Y1641" s="175" t="s">
        <v>293</v>
      </c>
      <c r="Z1641" s="168">
        <f>VLOOKUP(Takeoffs!Y1641,Sheet1!$B$6:$C$124,2,FALSE)</f>
        <v>0</v>
      </c>
      <c r="AA1641" s="168">
        <f t="shared" si="754"/>
        <v>0</v>
      </c>
      <c r="AB1641" s="176">
        <f t="shared" si="755"/>
        <v>1</v>
      </c>
      <c r="AC1641" s="174">
        <f t="shared" si="756"/>
        <v>1</v>
      </c>
      <c r="AD1641" s="174">
        <v>1</v>
      </c>
      <c r="AE1641" s="174"/>
      <c r="AF1641" s="175" t="s">
        <v>293</v>
      </c>
      <c r="AG1641" s="168">
        <f>VLOOKUP(Takeoffs!AF1641,Sheet1!$B$6:$C$124,2,FALSE)</f>
        <v>0</v>
      </c>
      <c r="AH1641" s="168">
        <f t="shared" si="757"/>
        <v>0</v>
      </c>
      <c r="AI1641" s="176">
        <f t="shared" si="758"/>
        <v>0</v>
      </c>
      <c r="AJ1641" s="174">
        <f t="shared" si="759"/>
        <v>1</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1</v>
      </c>
      <c r="T1642" s="172"/>
      <c r="U1642" s="175" t="s">
        <v>293</v>
      </c>
      <c r="V1642" s="174">
        <f t="shared" si="753"/>
        <v>1</v>
      </c>
      <c r="W1642" s="174">
        <f>VLOOKUP(U1642,Sheet1!$B$6:$C$45,2,FALSE)*V1642</f>
        <v>0</v>
      </c>
      <c r="X1642" s="174"/>
      <c r="Y1642" s="175" t="s">
        <v>293</v>
      </c>
      <c r="Z1642" s="168">
        <f>VLOOKUP(Takeoffs!Y1642,Sheet1!$B$6:$C$124,2,FALSE)</f>
        <v>0</v>
      </c>
      <c r="AA1642" s="168">
        <f t="shared" si="754"/>
        <v>0</v>
      </c>
      <c r="AB1642" s="176">
        <f t="shared" si="755"/>
        <v>1</v>
      </c>
      <c r="AC1642" s="174">
        <f t="shared" si="756"/>
        <v>1</v>
      </c>
      <c r="AD1642" s="174">
        <v>1</v>
      </c>
      <c r="AE1642" s="174"/>
      <c r="AF1642" s="175" t="s">
        <v>293</v>
      </c>
      <c r="AG1642" s="168">
        <f>VLOOKUP(Takeoffs!AF1642,Sheet1!$B$6:$C$124,2,FALSE)</f>
        <v>0</v>
      </c>
      <c r="AH1642" s="168">
        <f t="shared" si="757"/>
        <v>0</v>
      </c>
      <c r="AI1642" s="176">
        <f t="shared" si="758"/>
        <v>0</v>
      </c>
      <c r="AJ1642" s="174">
        <f t="shared" si="759"/>
        <v>1</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1</v>
      </c>
      <c r="T1643" s="172"/>
      <c r="U1643" s="175" t="s">
        <v>293</v>
      </c>
      <c r="V1643" s="174">
        <f t="shared" si="753"/>
        <v>1</v>
      </c>
      <c r="W1643" s="174">
        <f>VLOOKUP(U1643,Sheet1!$B$6:$C$45,2,FALSE)*V1643</f>
        <v>0</v>
      </c>
      <c r="X1643" s="174"/>
      <c r="Y1643" s="175" t="s">
        <v>293</v>
      </c>
      <c r="Z1643" s="168">
        <f>VLOOKUP(Takeoffs!Y1643,Sheet1!$B$6:$C$124,2,FALSE)</f>
        <v>0</v>
      </c>
      <c r="AA1643" s="168">
        <f t="shared" si="754"/>
        <v>0</v>
      </c>
      <c r="AB1643" s="176">
        <f t="shared" si="755"/>
        <v>1</v>
      </c>
      <c r="AC1643" s="174">
        <f t="shared" si="756"/>
        <v>1</v>
      </c>
      <c r="AD1643" s="174">
        <v>1</v>
      </c>
      <c r="AE1643" s="174"/>
      <c r="AF1643" s="175" t="s">
        <v>293</v>
      </c>
      <c r="AG1643" s="168">
        <f>VLOOKUP(Takeoffs!AF1643,Sheet1!$B$6:$C$124,2,FALSE)</f>
        <v>0</v>
      </c>
      <c r="AH1643" s="168">
        <f t="shared" si="757"/>
        <v>0</v>
      </c>
      <c r="AI1643" s="176">
        <f t="shared" si="758"/>
        <v>0</v>
      </c>
      <c r="AJ1643" s="174">
        <f t="shared" si="759"/>
        <v>1</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1</v>
      </c>
      <c r="T1644" s="172"/>
      <c r="U1644" s="175" t="s">
        <v>293</v>
      </c>
      <c r="V1644" s="174">
        <f t="shared" si="753"/>
        <v>1</v>
      </c>
      <c r="W1644" s="174">
        <f>VLOOKUP(U1644,Sheet1!$B$6:$C$45,2,FALSE)*V1644</f>
        <v>0</v>
      </c>
      <c r="X1644" s="174"/>
      <c r="Y1644" s="175" t="s">
        <v>293</v>
      </c>
      <c r="Z1644" s="168">
        <f>VLOOKUP(Takeoffs!Y1644,Sheet1!$B$6:$C$124,2,FALSE)</f>
        <v>0</v>
      </c>
      <c r="AA1644" s="168">
        <f t="shared" si="754"/>
        <v>0</v>
      </c>
      <c r="AB1644" s="176">
        <f t="shared" si="755"/>
        <v>1</v>
      </c>
      <c r="AC1644" s="174">
        <f t="shared" si="756"/>
        <v>1</v>
      </c>
      <c r="AD1644" s="174">
        <v>1</v>
      </c>
      <c r="AE1644" s="174"/>
      <c r="AF1644" s="175" t="s">
        <v>293</v>
      </c>
      <c r="AG1644" s="168">
        <f>VLOOKUP(Takeoffs!AF1644,Sheet1!$B$6:$C$124,2,FALSE)</f>
        <v>0</v>
      </c>
      <c r="AH1644" s="168">
        <f t="shared" si="757"/>
        <v>0</v>
      </c>
      <c r="AI1644" s="176">
        <f t="shared" si="758"/>
        <v>0</v>
      </c>
      <c r="AJ1644" s="174">
        <f t="shared" si="759"/>
        <v>1</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1</v>
      </c>
      <c r="T1645" s="172"/>
      <c r="U1645" s="175" t="s">
        <v>293</v>
      </c>
      <c r="V1645" s="174">
        <f t="shared" si="753"/>
        <v>1</v>
      </c>
      <c r="W1645" s="174">
        <f>VLOOKUP(U1645,Sheet1!$B$6:$C$45,2,FALSE)*V1645</f>
        <v>0</v>
      </c>
      <c r="X1645" s="174"/>
      <c r="Y1645" s="175" t="s">
        <v>293</v>
      </c>
      <c r="Z1645" s="168">
        <f>VLOOKUP(Takeoffs!Y1645,Sheet1!$B$6:$C$124,2,FALSE)</f>
        <v>0</v>
      </c>
      <c r="AA1645" s="168">
        <f t="shared" si="754"/>
        <v>0</v>
      </c>
      <c r="AB1645" s="176">
        <f t="shared" si="755"/>
        <v>1</v>
      </c>
      <c r="AC1645" s="174">
        <f t="shared" si="756"/>
        <v>1</v>
      </c>
      <c r="AD1645" s="174">
        <v>1</v>
      </c>
      <c r="AE1645" s="174"/>
      <c r="AF1645" s="175" t="s">
        <v>293</v>
      </c>
      <c r="AG1645" s="168">
        <f>VLOOKUP(Takeoffs!AF1645,Sheet1!$B$6:$C$124,2,FALSE)</f>
        <v>0</v>
      </c>
      <c r="AH1645" s="168">
        <f t="shared" si="757"/>
        <v>0</v>
      </c>
      <c r="AI1645" s="176">
        <f t="shared" si="758"/>
        <v>0</v>
      </c>
      <c r="AJ1645" s="174">
        <f t="shared" si="759"/>
        <v>1</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1</v>
      </c>
      <c r="T1646" s="172"/>
      <c r="U1646" s="175" t="s">
        <v>293</v>
      </c>
      <c r="V1646" s="174">
        <f t="shared" si="753"/>
        <v>1</v>
      </c>
      <c r="W1646" s="174">
        <f>VLOOKUP(U1646,Sheet1!$B$6:$C$45,2,FALSE)*V1646</f>
        <v>0</v>
      </c>
      <c r="X1646" s="174"/>
      <c r="Y1646" s="175" t="s">
        <v>293</v>
      </c>
      <c r="Z1646" s="168">
        <f>VLOOKUP(Takeoffs!Y1646,Sheet1!$B$6:$C$124,2,FALSE)</f>
        <v>0</v>
      </c>
      <c r="AA1646" s="168">
        <f t="shared" si="754"/>
        <v>0</v>
      </c>
      <c r="AB1646" s="176">
        <f t="shared" si="755"/>
        <v>1</v>
      </c>
      <c r="AC1646" s="174">
        <f t="shared" si="756"/>
        <v>1</v>
      </c>
      <c r="AD1646" s="174">
        <v>1</v>
      </c>
      <c r="AE1646" s="174"/>
      <c r="AF1646" s="175" t="s">
        <v>293</v>
      </c>
      <c r="AG1646" s="168">
        <f>VLOOKUP(Takeoffs!AF1646,Sheet1!$B$6:$C$124,2,FALSE)</f>
        <v>0</v>
      </c>
      <c r="AH1646" s="168">
        <f t="shared" si="757"/>
        <v>0</v>
      </c>
      <c r="AI1646" s="176">
        <f t="shared" si="758"/>
        <v>0</v>
      </c>
      <c r="AJ1646" s="174">
        <f t="shared" si="759"/>
        <v>1</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1</v>
      </c>
      <c r="T1647" s="172"/>
      <c r="U1647" s="175" t="s">
        <v>293</v>
      </c>
      <c r="V1647" s="174">
        <f t="shared" si="753"/>
        <v>1</v>
      </c>
      <c r="W1647" s="174">
        <f>VLOOKUP(U1647,Sheet1!$B$6:$C$45,2,FALSE)*V1647</f>
        <v>0</v>
      </c>
      <c r="X1647" s="174"/>
      <c r="Y1647" s="175" t="s">
        <v>293</v>
      </c>
      <c r="Z1647" s="168">
        <f>VLOOKUP(Takeoffs!Y1647,Sheet1!$B$6:$C$124,2,FALSE)</f>
        <v>0</v>
      </c>
      <c r="AA1647" s="168">
        <f t="shared" si="754"/>
        <v>0</v>
      </c>
      <c r="AB1647" s="176">
        <f t="shared" si="755"/>
        <v>1</v>
      </c>
      <c r="AC1647" s="174">
        <f t="shared" si="756"/>
        <v>1</v>
      </c>
      <c r="AD1647" s="174">
        <v>1</v>
      </c>
      <c r="AE1647" s="174"/>
      <c r="AF1647" s="175" t="s">
        <v>293</v>
      </c>
      <c r="AG1647" s="168">
        <f>VLOOKUP(Takeoffs!AF1647,Sheet1!$B$6:$C$124,2,FALSE)</f>
        <v>0</v>
      </c>
      <c r="AH1647" s="168">
        <f t="shared" si="757"/>
        <v>0</v>
      </c>
      <c r="AI1647" s="176">
        <f t="shared" si="758"/>
        <v>0</v>
      </c>
      <c r="AJ1647" s="174">
        <f t="shared" si="759"/>
        <v>1</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1</v>
      </c>
      <c r="T1648" s="172"/>
      <c r="U1648" s="175" t="s">
        <v>293</v>
      </c>
      <c r="V1648" s="174">
        <f t="shared" si="753"/>
        <v>1</v>
      </c>
      <c r="W1648" s="174">
        <f>VLOOKUP(U1648,Sheet1!$B$6:$C$45,2,FALSE)*V1648</f>
        <v>0</v>
      </c>
      <c r="X1648" s="174"/>
      <c r="Y1648" s="175" t="s">
        <v>293</v>
      </c>
      <c r="Z1648" s="168">
        <f>VLOOKUP(Takeoffs!Y1648,Sheet1!$B$6:$C$124,2,FALSE)</f>
        <v>0</v>
      </c>
      <c r="AA1648" s="168">
        <f t="shared" si="754"/>
        <v>0</v>
      </c>
      <c r="AB1648" s="176">
        <f t="shared" si="755"/>
        <v>2</v>
      </c>
      <c r="AC1648" s="174">
        <f t="shared" si="756"/>
        <v>1</v>
      </c>
      <c r="AD1648" s="174">
        <v>2</v>
      </c>
      <c r="AE1648" s="174"/>
      <c r="AF1648" s="175" t="s">
        <v>293</v>
      </c>
      <c r="AG1648" s="168">
        <f>VLOOKUP(Takeoffs!AF1648,Sheet1!$B$6:$C$124,2,FALSE)</f>
        <v>0</v>
      </c>
      <c r="AH1648" s="168">
        <f t="shared" si="757"/>
        <v>0</v>
      </c>
      <c r="AI1648" s="176">
        <f t="shared" si="758"/>
        <v>0</v>
      </c>
      <c r="AJ1648" s="174">
        <f t="shared" si="759"/>
        <v>1</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1</v>
      </c>
      <c r="T1649" s="172"/>
      <c r="U1649" s="175" t="s">
        <v>293</v>
      </c>
      <c r="V1649" s="174">
        <f t="shared" si="753"/>
        <v>1</v>
      </c>
      <c r="W1649" s="174">
        <f>VLOOKUP(U1649,Sheet1!$B$6:$C$45,2,FALSE)*V1649</f>
        <v>0</v>
      </c>
      <c r="X1649" s="174"/>
      <c r="Y1649" s="175" t="s">
        <v>293</v>
      </c>
      <c r="Z1649" s="168">
        <f>VLOOKUP(Takeoffs!Y1649,Sheet1!$B$6:$C$124,2,FALSE)</f>
        <v>0</v>
      </c>
      <c r="AA1649" s="168">
        <f t="shared" si="754"/>
        <v>0</v>
      </c>
      <c r="AB1649" s="176">
        <f t="shared" si="755"/>
        <v>1</v>
      </c>
      <c r="AC1649" s="174">
        <f t="shared" si="756"/>
        <v>1</v>
      </c>
      <c r="AD1649" s="174">
        <v>1</v>
      </c>
      <c r="AE1649" s="174"/>
      <c r="AF1649" s="175" t="s">
        <v>293</v>
      </c>
      <c r="AG1649" s="168">
        <f>VLOOKUP(Takeoffs!AF1649,Sheet1!$B$6:$C$124,2,FALSE)</f>
        <v>0</v>
      </c>
      <c r="AH1649" s="168">
        <f t="shared" si="757"/>
        <v>0</v>
      </c>
      <c r="AI1649" s="176">
        <f t="shared" si="758"/>
        <v>0</v>
      </c>
      <c r="AJ1649" s="174">
        <f t="shared" si="759"/>
        <v>1</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1</v>
      </c>
      <c r="T1650" s="172"/>
      <c r="U1650" s="175" t="s">
        <v>293</v>
      </c>
      <c r="V1650" s="174">
        <f t="shared" si="753"/>
        <v>1</v>
      </c>
      <c r="W1650" s="174">
        <f>VLOOKUP(U1650,Sheet1!$B$6:$C$45,2,FALSE)*V1650</f>
        <v>0</v>
      </c>
      <c r="X1650" s="174"/>
      <c r="Y1650" s="175" t="s">
        <v>293</v>
      </c>
      <c r="Z1650" s="168">
        <f>VLOOKUP(Takeoffs!Y1650,Sheet1!$B$6:$C$124,2,FALSE)</f>
        <v>0</v>
      </c>
      <c r="AA1650" s="168">
        <f t="shared" si="754"/>
        <v>0</v>
      </c>
      <c r="AB1650" s="176">
        <f t="shared" si="755"/>
        <v>1</v>
      </c>
      <c r="AC1650" s="174">
        <f t="shared" si="756"/>
        <v>1</v>
      </c>
      <c r="AD1650" s="174">
        <v>1</v>
      </c>
      <c r="AE1650" s="174"/>
      <c r="AF1650" s="175" t="s">
        <v>293</v>
      </c>
      <c r="AG1650" s="168">
        <f>VLOOKUP(Takeoffs!AF1650,Sheet1!$B$6:$C$124,2,FALSE)</f>
        <v>0</v>
      </c>
      <c r="AH1650" s="168">
        <f t="shared" si="757"/>
        <v>0</v>
      </c>
      <c r="AI1650" s="176">
        <f t="shared" si="758"/>
        <v>0</v>
      </c>
      <c r="AJ1650" s="174">
        <f t="shared" si="759"/>
        <v>1</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1</v>
      </c>
      <c r="T1651" s="172"/>
      <c r="U1651" s="175" t="s">
        <v>293</v>
      </c>
      <c r="V1651" s="174">
        <f t="shared" si="753"/>
        <v>1</v>
      </c>
      <c r="W1651" s="174">
        <f>VLOOKUP(U1651,Sheet1!$B$6:$C$45,2,FALSE)*V1651</f>
        <v>0</v>
      </c>
      <c r="X1651" s="174"/>
      <c r="Y1651" s="175" t="s">
        <v>293</v>
      </c>
      <c r="Z1651" s="168">
        <f>VLOOKUP(Takeoffs!Y1651,Sheet1!$B$6:$C$124,2,FALSE)</f>
        <v>0</v>
      </c>
      <c r="AA1651" s="168">
        <f t="shared" si="754"/>
        <v>0</v>
      </c>
      <c r="AB1651" s="176">
        <f t="shared" si="755"/>
        <v>1</v>
      </c>
      <c r="AC1651" s="174">
        <f t="shared" si="756"/>
        <v>1</v>
      </c>
      <c r="AD1651" s="174">
        <v>1</v>
      </c>
      <c r="AE1651" s="174"/>
      <c r="AF1651" s="175" t="s">
        <v>293</v>
      </c>
      <c r="AG1651" s="168">
        <f>VLOOKUP(Takeoffs!AF1651,Sheet1!$B$6:$C$124,2,FALSE)</f>
        <v>0</v>
      </c>
      <c r="AH1651" s="168">
        <f t="shared" si="757"/>
        <v>0</v>
      </c>
      <c r="AI1651" s="176">
        <f t="shared" si="758"/>
        <v>0</v>
      </c>
      <c r="AJ1651" s="174">
        <f t="shared" si="759"/>
        <v>1</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1</v>
      </c>
      <c r="T1652" s="172"/>
      <c r="U1652" s="175" t="s">
        <v>293</v>
      </c>
      <c r="V1652" s="174">
        <f t="shared" si="753"/>
        <v>1</v>
      </c>
      <c r="W1652" s="174">
        <f>VLOOKUP(U1652,Sheet1!$B$6:$C$45,2,FALSE)*V1652</f>
        <v>0</v>
      </c>
      <c r="X1652" s="174"/>
      <c r="Y1652" s="175" t="s">
        <v>293</v>
      </c>
      <c r="Z1652" s="168">
        <f>VLOOKUP(Takeoffs!Y1652,Sheet1!$B$6:$C$124,2,FALSE)</f>
        <v>0</v>
      </c>
      <c r="AA1652" s="168">
        <f t="shared" si="754"/>
        <v>0</v>
      </c>
      <c r="AB1652" s="176">
        <f t="shared" si="755"/>
        <v>1</v>
      </c>
      <c r="AC1652" s="174">
        <f t="shared" si="756"/>
        <v>1</v>
      </c>
      <c r="AD1652" s="174">
        <v>1</v>
      </c>
      <c r="AE1652" s="174"/>
      <c r="AF1652" s="175" t="s">
        <v>293</v>
      </c>
      <c r="AG1652" s="168">
        <f>VLOOKUP(Takeoffs!AF1652,Sheet1!$B$6:$C$124,2,FALSE)</f>
        <v>0</v>
      </c>
      <c r="AH1652" s="168">
        <f t="shared" si="757"/>
        <v>0</v>
      </c>
      <c r="AI1652" s="176">
        <f t="shared" si="758"/>
        <v>0</v>
      </c>
      <c r="AJ1652" s="174">
        <f t="shared" si="759"/>
        <v>1</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1</v>
      </c>
      <c r="T1653" s="172"/>
      <c r="U1653" s="175" t="s">
        <v>293</v>
      </c>
      <c r="V1653" s="174">
        <f t="shared" si="753"/>
        <v>1</v>
      </c>
      <c r="W1653" s="174">
        <f>VLOOKUP(U1653,Sheet1!$B$6:$C$45,2,FALSE)*V1653</f>
        <v>0</v>
      </c>
      <c r="X1653" s="174"/>
      <c r="Y1653" s="175" t="s">
        <v>293</v>
      </c>
      <c r="Z1653" s="168">
        <f>VLOOKUP(Takeoffs!Y1653,Sheet1!$B$6:$C$124,2,FALSE)</f>
        <v>0</v>
      </c>
      <c r="AA1653" s="168">
        <f t="shared" si="754"/>
        <v>0</v>
      </c>
      <c r="AB1653" s="176">
        <f t="shared" si="755"/>
        <v>1</v>
      </c>
      <c r="AC1653" s="174">
        <f t="shared" si="756"/>
        <v>1</v>
      </c>
      <c r="AD1653" s="174">
        <v>1</v>
      </c>
      <c r="AE1653" s="174"/>
      <c r="AF1653" s="175" t="s">
        <v>293</v>
      </c>
      <c r="AG1653" s="168">
        <f>VLOOKUP(Takeoffs!AF1653,Sheet1!$B$6:$C$124,2,FALSE)</f>
        <v>0</v>
      </c>
      <c r="AH1653" s="168">
        <f t="shared" si="757"/>
        <v>0</v>
      </c>
      <c r="AI1653" s="176">
        <f t="shared" si="758"/>
        <v>0</v>
      </c>
      <c r="AJ1653" s="174">
        <f t="shared" si="759"/>
        <v>1</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379</v>
      </c>
      <c r="L1654" s="128" t="s">
        <v>380</v>
      </c>
      <c r="N1654" s="129"/>
      <c r="O1654" s="175" t="s">
        <v>359</v>
      </c>
      <c r="P1654" s="172">
        <f>P1655*M1633</f>
        <v>1000</v>
      </c>
      <c r="Q1654" s="172"/>
      <c r="R1654" s="172"/>
      <c r="S1654" s="175"/>
      <c r="T1654" s="172"/>
      <c r="U1654" s="175" t="s">
        <v>353</v>
      </c>
      <c r="V1654" s="172">
        <f>W1654*80</f>
        <v>0</v>
      </c>
      <c r="W1654" s="177">
        <f>SUM(W1633:W1653)</f>
        <v>0</v>
      </c>
      <c r="X1654" s="178"/>
      <c r="Y1654" s="172" t="s">
        <v>354</v>
      </c>
      <c r="Z1654" s="168"/>
      <c r="AA1654" s="168">
        <f>SUM(AA1633:AA1653)</f>
        <v>0</v>
      </c>
      <c r="AB1654" s="179"/>
      <c r="AC1654" s="179"/>
      <c r="AD1654" s="179"/>
      <c r="AE1654" s="179"/>
      <c r="AF1654" s="172" t="s">
        <v>358</v>
      </c>
      <c r="AG1654" s="168"/>
      <c r="AH1654" s="168">
        <f>SUM(AH1633:AH1653)</f>
        <v>0</v>
      </c>
      <c r="AI1654" s="179"/>
      <c r="AJ1654" s="179"/>
      <c r="AK1654" s="179"/>
      <c r="AL1654" s="179"/>
      <c r="AM1654" s="150">
        <f>P1654</f>
        <v>1000</v>
      </c>
      <c r="AO1654" s="286"/>
      <c r="AP1654" s="284">
        <f t="shared" si="748"/>
        <v>0</v>
      </c>
      <c r="AQ1654" s="281">
        <f t="shared" si="749"/>
        <v>0</v>
      </c>
      <c r="AR1654" s="284">
        <f t="shared" si="750"/>
        <v>0</v>
      </c>
      <c r="AS1654" s="281">
        <f t="shared" si="751"/>
        <v>0</v>
      </c>
      <c r="AT1654" s="284">
        <f t="shared" si="752"/>
        <v>0</v>
      </c>
    </row>
    <row r="1655" spans="1:97" s="234" customFormat="1" ht="123.45" x14ac:dyDescent="0.8">
      <c r="A1655" s="262">
        <f>ROW()</f>
        <v>1655</v>
      </c>
      <c r="B1655" s="234" t="s">
        <v>494</v>
      </c>
      <c r="C1655" s="217" t="str">
        <f>N1633</f>
        <v>Small Coolingwater Aircooled Chillers - from Chiller MSSB</v>
      </c>
      <c r="D1655" s="260" t="str">
        <f>IF(B1655="Shopping List",IF(ISNUMBER(SEARCH("MSSB",C1655)),"MSSB",IF(ISNUMBER(SEARCH("local",C1655)),"LOCAL","")))</f>
        <v>MSSB</v>
      </c>
      <c r="E1655" s="238"/>
      <c r="F1655" s="217"/>
      <c r="G1655" s="217"/>
      <c r="H1655" s="245">
        <v>2</v>
      </c>
      <c r="I1655" s="270">
        <v>1</v>
      </c>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one (1) Small Coolingwater Aircooled Chillers - from Chiller MSSB. This includes supply and install of Cabling to chiller, cable ladder with mechanical protection, trefolyte labelling, and commissioning/testing. </v>
      </c>
      <c r="K1655" s="246">
        <f>P1654</f>
        <v>1000</v>
      </c>
      <c r="L1655" s="234" t="str">
        <f>CONCATENATE(Q1634,Q1635,Q1636,Q1637,Q1638,Q1639,Q1640,Q1641,Q1642,Q1643,Q1644,Q1645,Q1646,Q1647,Q1648,Q1649,Q1650,Q1651,Q1652,Q1653,)</f>
        <v/>
      </c>
      <c r="M1655" s="166" t="s">
        <v>369</v>
      </c>
      <c r="N1655" s="160" t="str">
        <f>N1633</f>
        <v>Small Coolingwater Aircooled Chillers - from Chiller MSSB</v>
      </c>
      <c r="O1655" s="175" t="s">
        <v>367</v>
      </c>
      <c r="P1655" s="64">
        <v>1000</v>
      </c>
      <c r="Q1655" s="172"/>
      <c r="R1655" s="172"/>
      <c r="S1655" s="175"/>
      <c r="T1655" s="172"/>
      <c r="U1655" s="329" t="s">
        <v>368</v>
      </c>
      <c r="V1655" s="329"/>
      <c r="W1655" s="177">
        <f>W1654/M1633</f>
        <v>0</v>
      </c>
      <c r="X1655" s="178"/>
      <c r="Y1655" s="330" t="s">
        <v>367</v>
      </c>
      <c r="Z1655" s="330"/>
      <c r="AA1655" s="181">
        <f>AA1654/M1633</f>
        <v>0</v>
      </c>
      <c r="AB1655" s="172"/>
      <c r="AC1655" s="172"/>
      <c r="AD1655" s="172"/>
      <c r="AE1655" s="172"/>
      <c r="AF1655" s="330" t="s">
        <v>367</v>
      </c>
      <c r="AG1655" s="330"/>
      <c r="AH1655" s="181">
        <f>AH1654/M1633</f>
        <v>0</v>
      </c>
      <c r="AI1655" s="172"/>
      <c r="AJ1655" s="172"/>
      <c r="AK1655" s="172"/>
      <c r="AL1655" s="250"/>
      <c r="AM1655" s="257"/>
      <c r="AN1655" s="236">
        <f>K1655*1.25</f>
        <v>1250</v>
      </c>
      <c r="AO1655" s="286"/>
      <c r="AP1655" s="284">
        <f t="shared" si="748"/>
        <v>1000</v>
      </c>
      <c r="AQ1655" s="281">
        <f t="shared" si="749"/>
        <v>0</v>
      </c>
      <c r="AR1655" s="284">
        <f t="shared" si="750"/>
        <v>0</v>
      </c>
      <c r="AS1655" s="281">
        <f t="shared" si="751"/>
        <v>0</v>
      </c>
      <c r="AT1655" s="284">
        <f t="shared" si="752"/>
        <v>1000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454</v>
      </c>
      <c r="M1656" s="116" t="s">
        <v>107</v>
      </c>
      <c r="N1656" s="116" t="s">
        <v>108</v>
      </c>
      <c r="O1656" s="170" t="s">
        <v>388</v>
      </c>
      <c r="P1656" s="326" t="s">
        <v>377</v>
      </c>
      <c r="Q1656" s="326"/>
      <c r="R1656" s="101" t="s">
        <v>454</v>
      </c>
      <c r="S1656" s="116" t="s">
        <v>0</v>
      </c>
      <c r="T1656" s="118"/>
      <c r="U1656" s="116" t="s">
        <v>288</v>
      </c>
      <c r="V1656" s="116" t="s">
        <v>289</v>
      </c>
      <c r="W1656" s="116" t="s">
        <v>292</v>
      </c>
      <c r="X1656" s="140"/>
      <c r="Y1656" s="116" t="s">
        <v>290</v>
      </c>
      <c r="Z1656" s="116" t="s">
        <v>356</v>
      </c>
      <c r="AA1656" s="116" t="s">
        <v>357</v>
      </c>
      <c r="AB1656" s="116" t="s">
        <v>319</v>
      </c>
      <c r="AC1656" s="116" t="s">
        <v>320</v>
      </c>
      <c r="AD1656" s="116" t="s">
        <v>318</v>
      </c>
      <c r="AE1656" s="140"/>
      <c r="AF1656" s="116" t="s">
        <v>294</v>
      </c>
      <c r="AG1656" s="116" t="s">
        <v>356</v>
      </c>
      <c r="AH1656" s="116" t="s">
        <v>357</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one</v>
      </c>
      <c r="M1657" s="121">
        <f>I1679</f>
        <v>1</v>
      </c>
      <c r="N1657" s="132" t="s">
        <v>565</v>
      </c>
      <c r="O1657" s="175" t="s">
        <v>133</v>
      </c>
      <c r="P1657" s="173" t="s">
        <v>381</v>
      </c>
      <c r="Q1657" s="173" t="s">
        <v>377</v>
      </c>
      <c r="R1657" s="173"/>
      <c r="S1657" s="174">
        <f>M1657</f>
        <v>1</v>
      </c>
      <c r="T1657" s="175"/>
      <c r="U1657" s="175" t="s">
        <v>293</v>
      </c>
      <c r="V1657" s="174">
        <f>S1657</f>
        <v>1</v>
      </c>
      <c r="W1657" s="174">
        <f>VLOOKUP(U1657,Sheet1!$B$6:$C$45,2,FALSE)*V1657</f>
        <v>0</v>
      </c>
      <c r="X1657" s="174"/>
      <c r="Y1657" s="175" t="s">
        <v>293</v>
      </c>
      <c r="Z1657" s="168">
        <f>VLOOKUP(Takeoffs!Y1657,Sheet1!$B$6:$C$124,2,FALSE)</f>
        <v>0</v>
      </c>
      <c r="AA1657" s="168">
        <f>Z1657*AB1657</f>
        <v>0</v>
      </c>
      <c r="AB1657" s="176">
        <f>AD1657*AC1657</f>
        <v>1</v>
      </c>
      <c r="AC1657" s="174">
        <f>S1657</f>
        <v>1</v>
      </c>
      <c r="AD1657" s="174">
        <v>1</v>
      </c>
      <c r="AE1657" s="174"/>
      <c r="AF1657" s="175" t="s">
        <v>293</v>
      </c>
      <c r="AG1657" s="168">
        <f>VLOOKUP(Takeoffs!AF1657,Sheet1!$B$6:$C$124,2,FALSE)</f>
        <v>0</v>
      </c>
      <c r="AH1657" s="168">
        <f>AG1657*AI1657</f>
        <v>0</v>
      </c>
      <c r="AI1657" s="176">
        <f>AK1657*AJ1657</f>
        <v>0</v>
      </c>
      <c r="AJ1657" s="174">
        <f>S1657</f>
        <v>1</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1</v>
      </c>
      <c r="T1658" s="172"/>
      <c r="U1658" s="175" t="s">
        <v>293</v>
      </c>
      <c r="V1658" s="174">
        <f t="shared" ref="V1658:V1677" si="762">S1658</f>
        <v>1</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1</v>
      </c>
      <c r="AC1658" s="174">
        <f t="shared" ref="AC1658:AC1677" si="765">S1658</f>
        <v>1</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1</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1</v>
      </c>
      <c r="T1659" s="172"/>
      <c r="U1659" s="175" t="s">
        <v>293</v>
      </c>
      <c r="V1659" s="174">
        <f t="shared" si="762"/>
        <v>1</v>
      </c>
      <c r="W1659" s="174">
        <f>VLOOKUP(U1659,Sheet1!$B$6:$C$45,2,FALSE)*V1659</f>
        <v>0</v>
      </c>
      <c r="X1659" s="174"/>
      <c r="Y1659" s="175" t="s">
        <v>293</v>
      </c>
      <c r="Z1659" s="168">
        <f>VLOOKUP(Takeoffs!Y1659,Sheet1!$B$6:$C$124,2,FALSE)</f>
        <v>0</v>
      </c>
      <c r="AA1659" s="168">
        <f t="shared" si="763"/>
        <v>0</v>
      </c>
      <c r="AB1659" s="176">
        <f t="shared" si="764"/>
        <v>1</v>
      </c>
      <c r="AC1659" s="174">
        <f t="shared" si="765"/>
        <v>1</v>
      </c>
      <c r="AD1659" s="174">
        <v>1</v>
      </c>
      <c r="AE1659" s="174"/>
      <c r="AF1659" s="175" t="s">
        <v>293</v>
      </c>
      <c r="AG1659" s="168">
        <f>VLOOKUP(Takeoffs!AF1659,Sheet1!$B$6:$C$124,2,FALSE)</f>
        <v>0</v>
      </c>
      <c r="AH1659" s="168">
        <f t="shared" si="766"/>
        <v>0</v>
      </c>
      <c r="AI1659" s="176">
        <f t="shared" si="767"/>
        <v>0</v>
      </c>
      <c r="AJ1659" s="174">
        <f t="shared" si="768"/>
        <v>1</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533</v>
      </c>
      <c r="P1660" s="175"/>
      <c r="Q1660" s="175"/>
      <c r="R1660" s="175"/>
      <c r="S1660" s="174">
        <f>M1657</f>
        <v>1</v>
      </c>
      <c r="T1660" s="172"/>
      <c r="U1660" s="175" t="s">
        <v>293</v>
      </c>
      <c r="V1660" s="174">
        <f t="shared" si="762"/>
        <v>1</v>
      </c>
      <c r="W1660" s="174">
        <f>VLOOKUP(U1660,Sheet1!$B$6:$C$45,2,FALSE)*V1660</f>
        <v>0</v>
      </c>
      <c r="X1660" s="174"/>
      <c r="Y1660" s="175" t="s">
        <v>293</v>
      </c>
      <c r="Z1660" s="168">
        <f>VLOOKUP(Takeoffs!Y1660,Sheet1!$B$6:$C$124,2,FALSE)</f>
        <v>0</v>
      </c>
      <c r="AA1660" s="168">
        <f t="shared" si="763"/>
        <v>0</v>
      </c>
      <c r="AB1660" s="176">
        <f t="shared" si="764"/>
        <v>1</v>
      </c>
      <c r="AC1660" s="174">
        <f t="shared" si="765"/>
        <v>1</v>
      </c>
      <c r="AD1660" s="174">
        <v>1</v>
      </c>
      <c r="AE1660" s="174"/>
      <c r="AF1660" s="175" t="s">
        <v>293</v>
      </c>
      <c r="AG1660" s="168">
        <f>VLOOKUP(Takeoffs!AF1660,Sheet1!$B$6:$C$124,2,FALSE)</f>
        <v>0</v>
      </c>
      <c r="AH1660" s="168">
        <f t="shared" si="766"/>
        <v>0</v>
      </c>
      <c r="AI1660" s="176">
        <f t="shared" si="767"/>
        <v>0</v>
      </c>
      <c r="AJ1660" s="174">
        <f t="shared" si="768"/>
        <v>1</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534</v>
      </c>
      <c r="P1661" s="175"/>
      <c r="Q1661" s="175"/>
      <c r="R1661" s="175"/>
      <c r="S1661" s="174">
        <f>M1657</f>
        <v>1</v>
      </c>
      <c r="T1661" s="172"/>
      <c r="U1661" s="175" t="s">
        <v>293</v>
      </c>
      <c r="V1661" s="174">
        <f t="shared" si="762"/>
        <v>1</v>
      </c>
      <c r="W1661" s="174">
        <f>VLOOKUP(U1661,Sheet1!$B$6:$C$45,2,FALSE)*V1661</f>
        <v>0</v>
      </c>
      <c r="X1661" s="174"/>
      <c r="Y1661" s="175" t="s">
        <v>293</v>
      </c>
      <c r="Z1661" s="168">
        <f>VLOOKUP(Takeoffs!Y1661,Sheet1!$B$6:$C$124,2,FALSE)</f>
        <v>0</v>
      </c>
      <c r="AA1661" s="168">
        <f t="shared" si="763"/>
        <v>0</v>
      </c>
      <c r="AB1661" s="176">
        <f t="shared" si="764"/>
        <v>1</v>
      </c>
      <c r="AC1661" s="174">
        <f t="shared" si="765"/>
        <v>1</v>
      </c>
      <c r="AD1661" s="174">
        <v>1</v>
      </c>
      <c r="AE1661" s="174"/>
      <c r="AF1661" s="175" t="s">
        <v>293</v>
      </c>
      <c r="AG1661" s="168">
        <f>VLOOKUP(Takeoffs!AF1661,Sheet1!$B$6:$C$124,2,FALSE)</f>
        <v>0</v>
      </c>
      <c r="AH1661" s="168">
        <f t="shared" si="766"/>
        <v>0</v>
      </c>
      <c r="AI1661" s="176">
        <f t="shared" si="767"/>
        <v>0</v>
      </c>
      <c r="AJ1661" s="174">
        <f t="shared" si="768"/>
        <v>1</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409</v>
      </c>
      <c r="P1662" s="175"/>
      <c r="Q1662" s="175"/>
      <c r="R1662" s="175"/>
      <c r="S1662" s="174">
        <f>M1657</f>
        <v>1</v>
      </c>
      <c r="T1662" s="172"/>
      <c r="U1662" s="175" t="s">
        <v>293</v>
      </c>
      <c r="V1662" s="174">
        <f t="shared" si="762"/>
        <v>1</v>
      </c>
      <c r="W1662" s="174">
        <f>VLOOKUP(U1662,Sheet1!$B$6:$C$45,2,FALSE)*V1662</f>
        <v>0</v>
      </c>
      <c r="X1662" s="174"/>
      <c r="Y1662" s="175" t="s">
        <v>293</v>
      </c>
      <c r="Z1662" s="168">
        <f>VLOOKUP(Takeoffs!Y1662,Sheet1!$B$6:$C$124,2,FALSE)</f>
        <v>0</v>
      </c>
      <c r="AA1662" s="168">
        <f t="shared" si="763"/>
        <v>0</v>
      </c>
      <c r="AB1662" s="176">
        <f t="shared" si="764"/>
        <v>1</v>
      </c>
      <c r="AC1662" s="174">
        <f t="shared" si="765"/>
        <v>1</v>
      </c>
      <c r="AD1662" s="174">
        <v>1</v>
      </c>
      <c r="AE1662" s="174"/>
      <c r="AF1662" s="175" t="s">
        <v>293</v>
      </c>
      <c r="AG1662" s="168">
        <f>VLOOKUP(Takeoffs!AF1662,Sheet1!$B$6:$C$124,2,FALSE)</f>
        <v>0</v>
      </c>
      <c r="AH1662" s="168">
        <f t="shared" si="766"/>
        <v>0</v>
      </c>
      <c r="AI1662" s="176">
        <f t="shared" si="767"/>
        <v>0</v>
      </c>
      <c r="AJ1662" s="174">
        <f t="shared" si="768"/>
        <v>1</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410</v>
      </c>
      <c r="P1663" s="175"/>
      <c r="Q1663" s="175"/>
      <c r="R1663" s="175"/>
      <c r="S1663" s="174">
        <f>M1657</f>
        <v>1</v>
      </c>
      <c r="T1663" s="172"/>
      <c r="U1663" s="175" t="s">
        <v>293</v>
      </c>
      <c r="V1663" s="174">
        <f t="shared" si="762"/>
        <v>1</v>
      </c>
      <c r="W1663" s="174">
        <f>VLOOKUP(U1663,Sheet1!$B$6:$C$45,2,FALSE)*V1663</f>
        <v>0</v>
      </c>
      <c r="X1663" s="174"/>
      <c r="Y1663" s="175" t="s">
        <v>293</v>
      </c>
      <c r="Z1663" s="168">
        <f>VLOOKUP(Takeoffs!Y1663,Sheet1!$B$6:$C$124,2,FALSE)</f>
        <v>0</v>
      </c>
      <c r="AA1663" s="168">
        <f t="shared" si="763"/>
        <v>0</v>
      </c>
      <c r="AB1663" s="176">
        <f t="shared" si="764"/>
        <v>1</v>
      </c>
      <c r="AC1663" s="174">
        <f t="shared" si="765"/>
        <v>1</v>
      </c>
      <c r="AD1663" s="174">
        <v>1</v>
      </c>
      <c r="AE1663" s="174"/>
      <c r="AF1663" s="175" t="s">
        <v>293</v>
      </c>
      <c r="AG1663" s="168">
        <f>VLOOKUP(Takeoffs!AF1663,Sheet1!$B$6:$C$124,2,FALSE)</f>
        <v>0</v>
      </c>
      <c r="AH1663" s="168">
        <f t="shared" si="766"/>
        <v>0</v>
      </c>
      <c r="AI1663" s="176">
        <f t="shared" si="767"/>
        <v>0</v>
      </c>
      <c r="AJ1663" s="174">
        <f t="shared" si="768"/>
        <v>1</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535</v>
      </c>
      <c r="P1664" s="175"/>
      <c r="Q1664" s="175"/>
      <c r="R1664" s="175"/>
      <c r="S1664" s="174">
        <f>M1657</f>
        <v>1</v>
      </c>
      <c r="T1664" s="172"/>
      <c r="U1664" s="175" t="s">
        <v>293</v>
      </c>
      <c r="V1664" s="174">
        <f t="shared" si="762"/>
        <v>1</v>
      </c>
      <c r="W1664" s="174">
        <f>VLOOKUP(U1664,Sheet1!$B$6:$C$45,2,FALSE)*V1664</f>
        <v>0</v>
      </c>
      <c r="X1664" s="174"/>
      <c r="Y1664" s="175" t="s">
        <v>293</v>
      </c>
      <c r="Z1664" s="168">
        <f>VLOOKUP(Takeoffs!Y1664,Sheet1!$B$6:$C$124,2,FALSE)</f>
        <v>0</v>
      </c>
      <c r="AA1664" s="168">
        <f t="shared" si="763"/>
        <v>0</v>
      </c>
      <c r="AB1664" s="176">
        <f t="shared" si="764"/>
        <v>1</v>
      </c>
      <c r="AC1664" s="174">
        <f t="shared" si="765"/>
        <v>1</v>
      </c>
      <c r="AD1664" s="174">
        <v>1</v>
      </c>
      <c r="AE1664" s="174"/>
      <c r="AF1664" s="175" t="s">
        <v>293</v>
      </c>
      <c r="AG1664" s="168">
        <f>VLOOKUP(Takeoffs!AF1664,Sheet1!$B$6:$C$124,2,FALSE)</f>
        <v>0</v>
      </c>
      <c r="AH1664" s="168">
        <f t="shared" si="766"/>
        <v>0</v>
      </c>
      <c r="AI1664" s="176">
        <f t="shared" si="767"/>
        <v>0</v>
      </c>
      <c r="AJ1664" s="174">
        <f t="shared" si="768"/>
        <v>1</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1</v>
      </c>
      <c r="T1665" s="172"/>
      <c r="U1665" s="175" t="s">
        <v>293</v>
      </c>
      <c r="V1665" s="174">
        <f t="shared" si="762"/>
        <v>1</v>
      </c>
      <c r="W1665" s="174">
        <f>VLOOKUP(U1665,Sheet1!$B$6:$C$45,2,FALSE)*V1665</f>
        <v>0</v>
      </c>
      <c r="X1665" s="174"/>
      <c r="Y1665" s="175" t="s">
        <v>293</v>
      </c>
      <c r="Z1665" s="168">
        <f>VLOOKUP(Takeoffs!Y1665,Sheet1!$B$6:$C$124,2,FALSE)</f>
        <v>0</v>
      </c>
      <c r="AA1665" s="168">
        <f t="shared" si="763"/>
        <v>0</v>
      </c>
      <c r="AB1665" s="176">
        <f t="shared" si="764"/>
        <v>1</v>
      </c>
      <c r="AC1665" s="174">
        <f t="shared" si="765"/>
        <v>1</v>
      </c>
      <c r="AD1665" s="174">
        <v>1</v>
      </c>
      <c r="AE1665" s="174"/>
      <c r="AF1665" s="175" t="s">
        <v>293</v>
      </c>
      <c r="AG1665" s="168">
        <f>VLOOKUP(Takeoffs!AF1665,Sheet1!$B$6:$C$124,2,FALSE)</f>
        <v>0</v>
      </c>
      <c r="AH1665" s="168">
        <f t="shared" si="766"/>
        <v>0</v>
      </c>
      <c r="AI1665" s="176">
        <f t="shared" si="767"/>
        <v>0</v>
      </c>
      <c r="AJ1665" s="174">
        <f t="shared" si="768"/>
        <v>1</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1</v>
      </c>
      <c r="T1666" s="172"/>
      <c r="U1666" s="175" t="s">
        <v>293</v>
      </c>
      <c r="V1666" s="174">
        <f t="shared" si="762"/>
        <v>1</v>
      </c>
      <c r="W1666" s="174">
        <f>VLOOKUP(U1666,Sheet1!$B$6:$C$45,2,FALSE)*V1666</f>
        <v>0</v>
      </c>
      <c r="X1666" s="174"/>
      <c r="Y1666" s="175" t="s">
        <v>293</v>
      </c>
      <c r="Z1666" s="168">
        <f>VLOOKUP(Takeoffs!Y1666,Sheet1!$B$6:$C$124,2,FALSE)</f>
        <v>0</v>
      </c>
      <c r="AA1666" s="168">
        <f t="shared" si="763"/>
        <v>0</v>
      </c>
      <c r="AB1666" s="176">
        <f t="shared" si="764"/>
        <v>1</v>
      </c>
      <c r="AC1666" s="174">
        <f t="shared" si="765"/>
        <v>1</v>
      </c>
      <c r="AD1666" s="174">
        <v>1</v>
      </c>
      <c r="AE1666" s="174"/>
      <c r="AF1666" s="175" t="s">
        <v>293</v>
      </c>
      <c r="AG1666" s="168">
        <f>VLOOKUP(Takeoffs!AF1666,Sheet1!$B$6:$C$124,2,FALSE)</f>
        <v>0</v>
      </c>
      <c r="AH1666" s="168">
        <f t="shared" si="766"/>
        <v>0</v>
      </c>
      <c r="AI1666" s="176">
        <f t="shared" si="767"/>
        <v>0</v>
      </c>
      <c r="AJ1666" s="174">
        <f t="shared" si="768"/>
        <v>1</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1</v>
      </c>
      <c r="T1667" s="172"/>
      <c r="U1667" s="175" t="s">
        <v>293</v>
      </c>
      <c r="V1667" s="174">
        <f t="shared" si="762"/>
        <v>1</v>
      </c>
      <c r="W1667" s="174">
        <f>VLOOKUP(U1667,Sheet1!$B$6:$C$45,2,FALSE)*V1667</f>
        <v>0</v>
      </c>
      <c r="X1667" s="174"/>
      <c r="Y1667" s="175" t="s">
        <v>293</v>
      </c>
      <c r="Z1667" s="168">
        <f>VLOOKUP(Takeoffs!Y1667,Sheet1!$B$6:$C$124,2,FALSE)</f>
        <v>0</v>
      </c>
      <c r="AA1667" s="168">
        <f t="shared" si="763"/>
        <v>0</v>
      </c>
      <c r="AB1667" s="176">
        <f t="shared" si="764"/>
        <v>1</v>
      </c>
      <c r="AC1667" s="174">
        <f t="shared" si="765"/>
        <v>1</v>
      </c>
      <c r="AD1667" s="174">
        <v>1</v>
      </c>
      <c r="AE1667" s="174"/>
      <c r="AF1667" s="175" t="s">
        <v>293</v>
      </c>
      <c r="AG1667" s="168">
        <f>VLOOKUP(Takeoffs!AF1667,Sheet1!$B$6:$C$124,2,FALSE)</f>
        <v>0</v>
      </c>
      <c r="AH1667" s="168">
        <f t="shared" si="766"/>
        <v>0</v>
      </c>
      <c r="AI1667" s="176">
        <f t="shared" si="767"/>
        <v>0</v>
      </c>
      <c r="AJ1667" s="174">
        <f t="shared" si="768"/>
        <v>1</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1</v>
      </c>
      <c r="T1668" s="172"/>
      <c r="U1668" s="175" t="s">
        <v>293</v>
      </c>
      <c r="V1668" s="174">
        <f t="shared" si="762"/>
        <v>1</v>
      </c>
      <c r="W1668" s="174">
        <f>VLOOKUP(U1668,Sheet1!$B$6:$C$45,2,FALSE)*V1668</f>
        <v>0</v>
      </c>
      <c r="X1668" s="174"/>
      <c r="Y1668" s="175" t="s">
        <v>293</v>
      </c>
      <c r="Z1668" s="168">
        <f>VLOOKUP(Takeoffs!Y1668,Sheet1!$B$6:$C$124,2,FALSE)</f>
        <v>0</v>
      </c>
      <c r="AA1668" s="168">
        <f t="shared" si="763"/>
        <v>0</v>
      </c>
      <c r="AB1668" s="176">
        <f t="shared" si="764"/>
        <v>1</v>
      </c>
      <c r="AC1668" s="174">
        <f t="shared" si="765"/>
        <v>1</v>
      </c>
      <c r="AD1668" s="174">
        <v>1</v>
      </c>
      <c r="AE1668" s="174"/>
      <c r="AF1668" s="175" t="s">
        <v>293</v>
      </c>
      <c r="AG1668" s="168">
        <f>VLOOKUP(Takeoffs!AF1668,Sheet1!$B$6:$C$124,2,FALSE)</f>
        <v>0</v>
      </c>
      <c r="AH1668" s="168">
        <f t="shared" si="766"/>
        <v>0</v>
      </c>
      <c r="AI1668" s="176">
        <f t="shared" si="767"/>
        <v>0</v>
      </c>
      <c r="AJ1668" s="174">
        <f t="shared" si="768"/>
        <v>1</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1</v>
      </c>
      <c r="T1669" s="172"/>
      <c r="U1669" s="175" t="s">
        <v>293</v>
      </c>
      <c r="V1669" s="174">
        <f t="shared" si="762"/>
        <v>1</v>
      </c>
      <c r="W1669" s="174">
        <f>VLOOKUP(U1669,Sheet1!$B$6:$C$45,2,FALSE)*V1669</f>
        <v>0</v>
      </c>
      <c r="X1669" s="174"/>
      <c r="Y1669" s="175" t="s">
        <v>293</v>
      </c>
      <c r="Z1669" s="168">
        <f>VLOOKUP(Takeoffs!Y1669,Sheet1!$B$6:$C$124,2,FALSE)</f>
        <v>0</v>
      </c>
      <c r="AA1669" s="168">
        <f t="shared" si="763"/>
        <v>0</v>
      </c>
      <c r="AB1669" s="176">
        <f t="shared" si="764"/>
        <v>1</v>
      </c>
      <c r="AC1669" s="174">
        <f t="shared" si="765"/>
        <v>1</v>
      </c>
      <c r="AD1669" s="174">
        <v>1</v>
      </c>
      <c r="AE1669" s="174"/>
      <c r="AF1669" s="175" t="s">
        <v>293</v>
      </c>
      <c r="AG1669" s="168">
        <f>VLOOKUP(Takeoffs!AF1669,Sheet1!$B$6:$C$124,2,FALSE)</f>
        <v>0</v>
      </c>
      <c r="AH1669" s="168">
        <f t="shared" si="766"/>
        <v>0</v>
      </c>
      <c r="AI1669" s="176">
        <f t="shared" si="767"/>
        <v>0</v>
      </c>
      <c r="AJ1669" s="174">
        <f t="shared" si="768"/>
        <v>1</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1</v>
      </c>
      <c r="T1670" s="172"/>
      <c r="U1670" s="175" t="s">
        <v>293</v>
      </c>
      <c r="V1670" s="174">
        <f t="shared" si="762"/>
        <v>1</v>
      </c>
      <c r="W1670" s="174">
        <f>VLOOKUP(U1670,Sheet1!$B$6:$C$45,2,FALSE)*V1670</f>
        <v>0</v>
      </c>
      <c r="X1670" s="174"/>
      <c r="Y1670" s="175" t="s">
        <v>293</v>
      </c>
      <c r="Z1670" s="168">
        <f>VLOOKUP(Takeoffs!Y1670,Sheet1!$B$6:$C$124,2,FALSE)</f>
        <v>0</v>
      </c>
      <c r="AA1670" s="168">
        <f t="shared" si="763"/>
        <v>0</v>
      </c>
      <c r="AB1670" s="176">
        <f t="shared" si="764"/>
        <v>1</v>
      </c>
      <c r="AC1670" s="174">
        <f t="shared" si="765"/>
        <v>1</v>
      </c>
      <c r="AD1670" s="174">
        <v>1</v>
      </c>
      <c r="AE1670" s="174"/>
      <c r="AF1670" s="175" t="s">
        <v>293</v>
      </c>
      <c r="AG1670" s="168">
        <f>VLOOKUP(Takeoffs!AF1670,Sheet1!$B$6:$C$124,2,FALSE)</f>
        <v>0</v>
      </c>
      <c r="AH1670" s="168">
        <f t="shared" si="766"/>
        <v>0</v>
      </c>
      <c r="AI1670" s="176">
        <f t="shared" si="767"/>
        <v>0</v>
      </c>
      <c r="AJ1670" s="174">
        <f t="shared" si="768"/>
        <v>1</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1</v>
      </c>
      <c r="T1671" s="172"/>
      <c r="U1671" s="175" t="s">
        <v>293</v>
      </c>
      <c r="V1671" s="174">
        <f t="shared" si="762"/>
        <v>1</v>
      </c>
      <c r="W1671" s="174">
        <f>VLOOKUP(U1671,Sheet1!$B$6:$C$45,2,FALSE)*V1671</f>
        <v>0</v>
      </c>
      <c r="X1671" s="174"/>
      <c r="Y1671" s="175" t="s">
        <v>293</v>
      </c>
      <c r="Z1671" s="168">
        <f>VLOOKUP(Takeoffs!Y1671,Sheet1!$B$6:$C$124,2,FALSE)</f>
        <v>0</v>
      </c>
      <c r="AA1671" s="168">
        <f t="shared" si="763"/>
        <v>0</v>
      </c>
      <c r="AB1671" s="176">
        <f t="shared" si="764"/>
        <v>1</v>
      </c>
      <c r="AC1671" s="174">
        <f t="shared" si="765"/>
        <v>1</v>
      </c>
      <c r="AD1671" s="174">
        <v>1</v>
      </c>
      <c r="AE1671" s="174"/>
      <c r="AF1671" s="175" t="s">
        <v>293</v>
      </c>
      <c r="AG1671" s="168">
        <f>VLOOKUP(Takeoffs!AF1671,Sheet1!$B$6:$C$124,2,FALSE)</f>
        <v>0</v>
      </c>
      <c r="AH1671" s="168">
        <f t="shared" si="766"/>
        <v>0</v>
      </c>
      <c r="AI1671" s="176">
        <f t="shared" si="767"/>
        <v>0</v>
      </c>
      <c r="AJ1671" s="174">
        <f t="shared" si="768"/>
        <v>1</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1</v>
      </c>
      <c r="T1672" s="172"/>
      <c r="U1672" s="175" t="s">
        <v>293</v>
      </c>
      <c r="V1672" s="174">
        <f t="shared" si="762"/>
        <v>1</v>
      </c>
      <c r="W1672" s="174">
        <f>VLOOKUP(U1672,Sheet1!$B$6:$C$45,2,FALSE)*V1672</f>
        <v>0</v>
      </c>
      <c r="X1672" s="174"/>
      <c r="Y1672" s="175" t="s">
        <v>293</v>
      </c>
      <c r="Z1672" s="168">
        <f>VLOOKUP(Takeoffs!Y1672,Sheet1!$B$6:$C$124,2,FALSE)</f>
        <v>0</v>
      </c>
      <c r="AA1672" s="168">
        <f t="shared" si="763"/>
        <v>0</v>
      </c>
      <c r="AB1672" s="176">
        <f t="shared" si="764"/>
        <v>2</v>
      </c>
      <c r="AC1672" s="174">
        <f t="shared" si="765"/>
        <v>1</v>
      </c>
      <c r="AD1672" s="174">
        <v>2</v>
      </c>
      <c r="AE1672" s="174"/>
      <c r="AF1672" s="175" t="s">
        <v>293</v>
      </c>
      <c r="AG1672" s="168">
        <f>VLOOKUP(Takeoffs!AF1672,Sheet1!$B$6:$C$124,2,FALSE)</f>
        <v>0</v>
      </c>
      <c r="AH1672" s="168">
        <f t="shared" si="766"/>
        <v>0</v>
      </c>
      <c r="AI1672" s="176">
        <f t="shared" si="767"/>
        <v>0</v>
      </c>
      <c r="AJ1672" s="174">
        <f t="shared" si="768"/>
        <v>1</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1</v>
      </c>
      <c r="T1673" s="172"/>
      <c r="U1673" s="175" t="s">
        <v>293</v>
      </c>
      <c r="V1673" s="174">
        <f t="shared" si="762"/>
        <v>1</v>
      </c>
      <c r="W1673" s="174">
        <f>VLOOKUP(U1673,Sheet1!$B$6:$C$45,2,FALSE)*V1673</f>
        <v>0</v>
      </c>
      <c r="X1673" s="174"/>
      <c r="Y1673" s="175" t="s">
        <v>293</v>
      </c>
      <c r="Z1673" s="168">
        <f>VLOOKUP(Takeoffs!Y1673,Sheet1!$B$6:$C$124,2,FALSE)</f>
        <v>0</v>
      </c>
      <c r="AA1673" s="168">
        <f t="shared" si="763"/>
        <v>0</v>
      </c>
      <c r="AB1673" s="176">
        <f t="shared" si="764"/>
        <v>1</v>
      </c>
      <c r="AC1673" s="174">
        <f t="shared" si="765"/>
        <v>1</v>
      </c>
      <c r="AD1673" s="174">
        <v>1</v>
      </c>
      <c r="AE1673" s="174"/>
      <c r="AF1673" s="175" t="s">
        <v>293</v>
      </c>
      <c r="AG1673" s="168">
        <f>VLOOKUP(Takeoffs!AF1673,Sheet1!$B$6:$C$124,2,FALSE)</f>
        <v>0</v>
      </c>
      <c r="AH1673" s="168">
        <f t="shared" si="766"/>
        <v>0</v>
      </c>
      <c r="AI1673" s="176">
        <f t="shared" si="767"/>
        <v>0</v>
      </c>
      <c r="AJ1673" s="174">
        <f t="shared" si="768"/>
        <v>1</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1</v>
      </c>
      <c r="T1674" s="172"/>
      <c r="U1674" s="175" t="s">
        <v>293</v>
      </c>
      <c r="V1674" s="174">
        <f t="shared" si="762"/>
        <v>1</v>
      </c>
      <c r="W1674" s="174">
        <f>VLOOKUP(U1674,Sheet1!$B$6:$C$45,2,FALSE)*V1674</f>
        <v>0</v>
      </c>
      <c r="X1674" s="174"/>
      <c r="Y1674" s="175" t="s">
        <v>293</v>
      </c>
      <c r="Z1674" s="168">
        <f>VLOOKUP(Takeoffs!Y1674,Sheet1!$B$6:$C$124,2,FALSE)</f>
        <v>0</v>
      </c>
      <c r="AA1674" s="168">
        <f t="shared" si="763"/>
        <v>0</v>
      </c>
      <c r="AB1674" s="176">
        <f t="shared" si="764"/>
        <v>1</v>
      </c>
      <c r="AC1674" s="174">
        <f t="shared" si="765"/>
        <v>1</v>
      </c>
      <c r="AD1674" s="174">
        <v>1</v>
      </c>
      <c r="AE1674" s="174"/>
      <c r="AF1674" s="175" t="s">
        <v>293</v>
      </c>
      <c r="AG1674" s="168">
        <f>VLOOKUP(Takeoffs!AF1674,Sheet1!$B$6:$C$124,2,FALSE)</f>
        <v>0</v>
      </c>
      <c r="AH1674" s="168">
        <f t="shared" si="766"/>
        <v>0</v>
      </c>
      <c r="AI1674" s="176">
        <f t="shared" si="767"/>
        <v>0</v>
      </c>
      <c r="AJ1674" s="174">
        <f t="shared" si="768"/>
        <v>1</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1</v>
      </c>
      <c r="T1675" s="172"/>
      <c r="U1675" s="175" t="s">
        <v>293</v>
      </c>
      <c r="V1675" s="174">
        <f t="shared" si="762"/>
        <v>1</v>
      </c>
      <c r="W1675" s="174">
        <f>VLOOKUP(U1675,Sheet1!$B$6:$C$45,2,FALSE)*V1675</f>
        <v>0</v>
      </c>
      <c r="X1675" s="174"/>
      <c r="Y1675" s="175" t="s">
        <v>293</v>
      </c>
      <c r="Z1675" s="168">
        <f>VLOOKUP(Takeoffs!Y1675,Sheet1!$B$6:$C$124,2,FALSE)</f>
        <v>0</v>
      </c>
      <c r="AA1675" s="168">
        <f t="shared" si="763"/>
        <v>0</v>
      </c>
      <c r="AB1675" s="176">
        <f t="shared" si="764"/>
        <v>1</v>
      </c>
      <c r="AC1675" s="174">
        <f t="shared" si="765"/>
        <v>1</v>
      </c>
      <c r="AD1675" s="174">
        <v>1</v>
      </c>
      <c r="AE1675" s="174"/>
      <c r="AF1675" s="175" t="s">
        <v>293</v>
      </c>
      <c r="AG1675" s="168">
        <f>VLOOKUP(Takeoffs!AF1675,Sheet1!$B$6:$C$124,2,FALSE)</f>
        <v>0</v>
      </c>
      <c r="AH1675" s="168">
        <f t="shared" si="766"/>
        <v>0</v>
      </c>
      <c r="AI1675" s="176">
        <f t="shared" si="767"/>
        <v>0</v>
      </c>
      <c r="AJ1675" s="174">
        <f t="shared" si="768"/>
        <v>1</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1</v>
      </c>
      <c r="T1676" s="172"/>
      <c r="U1676" s="175" t="s">
        <v>293</v>
      </c>
      <c r="V1676" s="174">
        <f t="shared" si="762"/>
        <v>1</v>
      </c>
      <c r="W1676" s="174">
        <f>VLOOKUP(U1676,Sheet1!$B$6:$C$45,2,FALSE)*V1676</f>
        <v>0</v>
      </c>
      <c r="X1676" s="174"/>
      <c r="Y1676" s="175" t="s">
        <v>293</v>
      </c>
      <c r="Z1676" s="168">
        <f>VLOOKUP(Takeoffs!Y1676,Sheet1!$B$6:$C$124,2,FALSE)</f>
        <v>0</v>
      </c>
      <c r="AA1676" s="168">
        <f t="shared" si="763"/>
        <v>0</v>
      </c>
      <c r="AB1676" s="176">
        <f t="shared" si="764"/>
        <v>1</v>
      </c>
      <c r="AC1676" s="174">
        <f t="shared" si="765"/>
        <v>1</v>
      </c>
      <c r="AD1676" s="174">
        <v>1</v>
      </c>
      <c r="AE1676" s="174"/>
      <c r="AF1676" s="175" t="s">
        <v>293</v>
      </c>
      <c r="AG1676" s="168">
        <f>VLOOKUP(Takeoffs!AF1676,Sheet1!$B$6:$C$124,2,FALSE)</f>
        <v>0</v>
      </c>
      <c r="AH1676" s="168">
        <f t="shared" si="766"/>
        <v>0</v>
      </c>
      <c r="AI1676" s="176">
        <f t="shared" si="767"/>
        <v>0</v>
      </c>
      <c r="AJ1676" s="174">
        <f t="shared" si="768"/>
        <v>1</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1</v>
      </c>
      <c r="T1677" s="172"/>
      <c r="U1677" s="175" t="s">
        <v>293</v>
      </c>
      <c r="V1677" s="174">
        <f t="shared" si="762"/>
        <v>1</v>
      </c>
      <c r="W1677" s="174">
        <f>VLOOKUP(U1677,Sheet1!$B$6:$C$45,2,FALSE)*V1677</f>
        <v>0</v>
      </c>
      <c r="X1677" s="174"/>
      <c r="Y1677" s="175" t="s">
        <v>293</v>
      </c>
      <c r="Z1677" s="168">
        <f>VLOOKUP(Takeoffs!Y1677,Sheet1!$B$6:$C$124,2,FALSE)</f>
        <v>0</v>
      </c>
      <c r="AA1677" s="168">
        <f t="shared" si="763"/>
        <v>0</v>
      </c>
      <c r="AB1677" s="176">
        <f t="shared" si="764"/>
        <v>1</v>
      </c>
      <c r="AC1677" s="174">
        <f t="shared" si="765"/>
        <v>1</v>
      </c>
      <c r="AD1677" s="174">
        <v>1</v>
      </c>
      <c r="AE1677" s="174"/>
      <c r="AF1677" s="175" t="s">
        <v>293</v>
      </c>
      <c r="AG1677" s="168">
        <f>VLOOKUP(Takeoffs!AF1677,Sheet1!$B$6:$C$124,2,FALSE)</f>
        <v>0</v>
      </c>
      <c r="AH1677" s="168">
        <f t="shared" si="766"/>
        <v>0</v>
      </c>
      <c r="AI1677" s="176">
        <f t="shared" si="767"/>
        <v>0</v>
      </c>
      <c r="AJ1677" s="174">
        <f t="shared" si="768"/>
        <v>1</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379</v>
      </c>
      <c r="L1678" s="128" t="s">
        <v>380</v>
      </c>
      <c r="N1678" s="129"/>
      <c r="O1678" s="175" t="s">
        <v>359</v>
      </c>
      <c r="P1678" s="172">
        <f>P1679*M1657</f>
        <v>2000</v>
      </c>
      <c r="Q1678" s="172"/>
      <c r="R1678" s="172"/>
      <c r="S1678" s="175"/>
      <c r="T1678" s="172"/>
      <c r="U1678" s="175" t="s">
        <v>353</v>
      </c>
      <c r="V1678" s="172">
        <f>W1678*80</f>
        <v>0</v>
      </c>
      <c r="W1678" s="177">
        <f>SUM(W1657:W1677)</f>
        <v>0</v>
      </c>
      <c r="X1678" s="178"/>
      <c r="Y1678" s="172" t="s">
        <v>354</v>
      </c>
      <c r="Z1678" s="168"/>
      <c r="AA1678" s="168">
        <f>SUM(AA1657:AA1677)</f>
        <v>0</v>
      </c>
      <c r="AB1678" s="179"/>
      <c r="AC1678" s="179"/>
      <c r="AD1678" s="179"/>
      <c r="AE1678" s="179"/>
      <c r="AF1678" s="172" t="s">
        <v>358</v>
      </c>
      <c r="AG1678" s="168"/>
      <c r="AH1678" s="168">
        <f>SUM(AH1657:AH1677)</f>
        <v>0</v>
      </c>
      <c r="AI1678" s="179"/>
      <c r="AJ1678" s="179"/>
      <c r="AK1678" s="179"/>
      <c r="AL1678" s="179"/>
      <c r="AM1678" s="150">
        <f>P1678</f>
        <v>2000</v>
      </c>
      <c r="AO1678" s="286"/>
      <c r="AP1678" s="284">
        <f t="shared" si="748"/>
        <v>0</v>
      </c>
      <c r="AQ1678" s="281">
        <f t="shared" si="749"/>
        <v>0</v>
      </c>
      <c r="AR1678" s="284">
        <f t="shared" si="750"/>
        <v>0</v>
      </c>
      <c r="AS1678" s="281">
        <f t="shared" si="751"/>
        <v>0</v>
      </c>
      <c r="AT1678" s="284">
        <f t="shared" si="752"/>
        <v>0</v>
      </c>
    </row>
    <row r="1679" spans="1:97" s="234" customFormat="1" ht="123.45" x14ac:dyDescent="0.8">
      <c r="A1679" s="262">
        <f>ROW()</f>
        <v>1679</v>
      </c>
      <c r="B1679" s="234" t="s">
        <v>494</v>
      </c>
      <c r="C1679" s="217" t="str">
        <f>N1657</f>
        <v>Small Aircooled Chillers - from Chiller MSSB</v>
      </c>
      <c r="D1679" s="260" t="str">
        <f>IF(B1679="Shopping List",IF(ISNUMBER(SEARCH("MSSB",C1679)),"MSSB",IF(ISNUMBER(SEARCH("local",C1679)),"LOCAL","")))</f>
        <v>MSSB</v>
      </c>
      <c r="E1679" s="238"/>
      <c r="F1679" s="217"/>
      <c r="G1679" s="217"/>
      <c r="H1679" s="245">
        <v>2</v>
      </c>
      <c r="I1679" s="270">
        <v>1</v>
      </c>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one (1)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2000</v>
      </c>
      <c r="L1679" s="234" t="str">
        <f>CONCATENATE(Q1658,Q1659,Q1660,Q1661,Q1662,Q1663,Q1664,Q1665,Q1666,Q1667,Q1668,Q1669,Q1670,Q1671,Q1672,Q1673,Q1674,Q1675,Q1676,Q1677,)</f>
        <v/>
      </c>
      <c r="M1679" s="166" t="s">
        <v>369</v>
      </c>
      <c r="N1679" s="160" t="str">
        <f>N1657</f>
        <v>Small Aircooled Chillers - from Chiller MSSB</v>
      </c>
      <c r="O1679" s="175" t="s">
        <v>367</v>
      </c>
      <c r="P1679" s="64">
        <v>2000</v>
      </c>
      <c r="Q1679" s="172"/>
      <c r="R1679" s="172"/>
      <c r="S1679" s="175"/>
      <c r="T1679" s="172"/>
      <c r="U1679" s="329" t="s">
        <v>368</v>
      </c>
      <c r="V1679" s="329"/>
      <c r="W1679" s="177">
        <f>W1678/M1657</f>
        <v>0</v>
      </c>
      <c r="X1679" s="178"/>
      <c r="Y1679" s="330" t="s">
        <v>367</v>
      </c>
      <c r="Z1679" s="330"/>
      <c r="AA1679" s="181">
        <f>AA1678/M1657</f>
        <v>0</v>
      </c>
      <c r="AB1679" s="172"/>
      <c r="AC1679" s="172"/>
      <c r="AD1679" s="172"/>
      <c r="AE1679" s="172"/>
      <c r="AF1679" s="330" t="s">
        <v>367</v>
      </c>
      <c r="AG1679" s="330"/>
      <c r="AH1679" s="181">
        <f>AH1678/M1657</f>
        <v>0</v>
      </c>
      <c r="AI1679" s="172"/>
      <c r="AJ1679" s="172"/>
      <c r="AK1679" s="172"/>
      <c r="AL1679" s="250"/>
      <c r="AM1679" s="257"/>
      <c r="AN1679" s="236">
        <f>K1679*1.25</f>
        <v>2500</v>
      </c>
      <c r="AO1679" s="286"/>
      <c r="AP1679" s="284">
        <f t="shared" si="748"/>
        <v>2000</v>
      </c>
      <c r="AQ1679" s="281">
        <f t="shared" si="749"/>
        <v>0</v>
      </c>
      <c r="AR1679" s="284">
        <f t="shared" si="750"/>
        <v>0</v>
      </c>
      <c r="AS1679" s="281">
        <f t="shared" si="751"/>
        <v>0</v>
      </c>
      <c r="AT1679" s="284">
        <f t="shared" si="752"/>
        <v>2000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454</v>
      </c>
      <c r="M1680" s="116" t="s">
        <v>107</v>
      </c>
      <c r="N1680" s="116" t="s">
        <v>108</v>
      </c>
      <c r="O1680" s="170" t="s">
        <v>388</v>
      </c>
      <c r="P1680" s="326" t="s">
        <v>377</v>
      </c>
      <c r="Q1680" s="326"/>
      <c r="R1680" s="101" t="s">
        <v>454</v>
      </c>
      <c r="S1680" s="116" t="s">
        <v>0</v>
      </c>
      <c r="T1680" s="118"/>
      <c r="U1680" s="116" t="s">
        <v>288</v>
      </c>
      <c r="V1680" s="116" t="s">
        <v>289</v>
      </c>
      <c r="W1680" s="116" t="s">
        <v>292</v>
      </c>
      <c r="X1680" s="140"/>
      <c r="Y1680" s="116" t="s">
        <v>290</v>
      </c>
      <c r="Z1680" s="116" t="s">
        <v>356</v>
      </c>
      <c r="AA1680" s="116" t="s">
        <v>357</v>
      </c>
      <c r="AB1680" s="116" t="s">
        <v>319</v>
      </c>
      <c r="AC1680" s="116" t="s">
        <v>320</v>
      </c>
      <c r="AD1680" s="116" t="s">
        <v>318</v>
      </c>
      <c r="AE1680" s="140"/>
      <c r="AF1680" s="116" t="s">
        <v>294</v>
      </c>
      <c r="AG1680" s="116" t="s">
        <v>356</v>
      </c>
      <c r="AH1680" s="116" t="s">
        <v>357</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one</v>
      </c>
      <c r="M1681" s="121">
        <f>I1703</f>
        <v>1</v>
      </c>
      <c r="N1681" s="132" t="s">
        <v>564</v>
      </c>
      <c r="O1681" s="175" t="s">
        <v>133</v>
      </c>
      <c r="P1681" s="173" t="s">
        <v>381</v>
      </c>
      <c r="Q1681" s="173" t="s">
        <v>377</v>
      </c>
      <c r="R1681" s="173"/>
      <c r="S1681" s="174">
        <f>M1681</f>
        <v>1</v>
      </c>
      <c r="T1681" s="175"/>
      <c r="U1681" s="175" t="s">
        <v>293</v>
      </c>
      <c r="V1681" s="174">
        <f>S1681</f>
        <v>1</v>
      </c>
      <c r="W1681" s="174">
        <f>VLOOKUP(U1681,Sheet1!$B$6:$C$45,2,FALSE)*V1681</f>
        <v>0</v>
      </c>
      <c r="X1681" s="174"/>
      <c r="Y1681" s="175" t="s">
        <v>293</v>
      </c>
      <c r="Z1681" s="168">
        <f>VLOOKUP(Takeoffs!Y1681,Sheet1!$B$6:$C$124,2,FALSE)</f>
        <v>0</v>
      </c>
      <c r="AA1681" s="168">
        <f>Z1681*AB1681</f>
        <v>0</v>
      </c>
      <c r="AB1681" s="176">
        <f>AD1681*AC1681</f>
        <v>1</v>
      </c>
      <c r="AC1681" s="174">
        <f>S1681</f>
        <v>1</v>
      </c>
      <c r="AD1681" s="174">
        <v>1</v>
      </c>
      <c r="AE1681" s="174"/>
      <c r="AF1681" s="175" t="s">
        <v>293</v>
      </c>
      <c r="AG1681" s="168">
        <f>VLOOKUP(Takeoffs!AF1681,Sheet1!$B$6:$C$124,2,FALSE)</f>
        <v>0</v>
      </c>
      <c r="AH1681" s="168">
        <f>AG1681*AI1681</f>
        <v>0</v>
      </c>
      <c r="AI1681" s="176">
        <f>AK1681*AJ1681</f>
        <v>0</v>
      </c>
      <c r="AJ1681" s="174">
        <f>S1681</f>
        <v>1</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1</v>
      </c>
      <c r="T1682" s="172"/>
      <c r="U1682" s="175" t="s">
        <v>293</v>
      </c>
      <c r="V1682" s="174">
        <f t="shared" ref="V1682:V1701" si="771">S1682</f>
        <v>1</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1</v>
      </c>
      <c r="AC1682" s="174">
        <f>S1682</f>
        <v>1</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1</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1</v>
      </c>
      <c r="T1683" s="172"/>
      <c r="U1683" s="175" t="s">
        <v>293</v>
      </c>
      <c r="V1683" s="174">
        <f t="shared" si="771"/>
        <v>1</v>
      </c>
      <c r="W1683" s="174">
        <f>VLOOKUP(U1683,Sheet1!$B$6:$C$45,2,FALSE)*V1683</f>
        <v>0</v>
      </c>
      <c r="X1683" s="174"/>
      <c r="Y1683" s="175" t="s">
        <v>293</v>
      </c>
      <c r="Z1683" s="168">
        <f>VLOOKUP(Takeoffs!Y1683,Sheet1!$B$6:$C$124,2,FALSE)</f>
        <v>0</v>
      </c>
      <c r="AA1683" s="168">
        <f t="shared" si="772"/>
        <v>0</v>
      </c>
      <c r="AB1683" s="176">
        <f t="shared" si="773"/>
        <v>1</v>
      </c>
      <c r="AC1683" s="174">
        <f>S1683</f>
        <v>1</v>
      </c>
      <c r="AD1683" s="174">
        <v>1</v>
      </c>
      <c r="AE1683" s="174"/>
      <c r="AF1683" s="175" t="s">
        <v>293</v>
      </c>
      <c r="AG1683" s="168">
        <f>VLOOKUP(Takeoffs!AF1683,Sheet1!$B$6:$C$124,2,FALSE)</f>
        <v>0</v>
      </c>
      <c r="AH1683" s="168">
        <f t="shared" si="774"/>
        <v>0</v>
      </c>
      <c r="AI1683" s="176">
        <f t="shared" si="775"/>
        <v>0</v>
      </c>
      <c r="AJ1683" s="174">
        <f t="shared" si="776"/>
        <v>1</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533</v>
      </c>
      <c r="P1684" s="175"/>
      <c r="Q1684" s="175"/>
      <c r="R1684" s="175"/>
      <c r="S1684" s="174">
        <f>M1681</f>
        <v>1</v>
      </c>
      <c r="T1684" s="172"/>
      <c r="U1684" s="175" t="s">
        <v>293</v>
      </c>
      <c r="V1684" s="174">
        <f t="shared" si="771"/>
        <v>1</v>
      </c>
      <c r="W1684" s="174">
        <f>VLOOKUP(U1684,Sheet1!$B$6:$C$45,2,FALSE)*V1684</f>
        <v>0</v>
      </c>
      <c r="X1684" s="174"/>
      <c r="Y1684" s="175" t="s">
        <v>293</v>
      </c>
      <c r="Z1684" s="168">
        <f>VLOOKUP(Takeoffs!Y1684,Sheet1!$B$6:$C$124,2,FALSE)</f>
        <v>0</v>
      </c>
      <c r="AA1684" s="168">
        <f t="shared" si="772"/>
        <v>0</v>
      </c>
      <c r="AB1684" s="176">
        <f t="shared" si="773"/>
        <v>1</v>
      </c>
      <c r="AC1684" s="174">
        <f t="shared" ref="AC1684:AC1701" si="779">S1684</f>
        <v>1</v>
      </c>
      <c r="AD1684" s="174">
        <v>1</v>
      </c>
      <c r="AE1684" s="174"/>
      <c r="AF1684" s="175" t="s">
        <v>293</v>
      </c>
      <c r="AG1684" s="168">
        <f>VLOOKUP(Takeoffs!AF1684,Sheet1!$B$6:$C$124,2,FALSE)</f>
        <v>0</v>
      </c>
      <c r="AH1684" s="168">
        <f t="shared" si="774"/>
        <v>0</v>
      </c>
      <c r="AI1684" s="176">
        <f t="shared" si="775"/>
        <v>0</v>
      </c>
      <c r="AJ1684" s="174">
        <f t="shared" si="776"/>
        <v>1</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534</v>
      </c>
      <c r="P1685" s="175"/>
      <c r="Q1685" s="175"/>
      <c r="R1685" s="175"/>
      <c r="S1685" s="174">
        <f>M1681</f>
        <v>1</v>
      </c>
      <c r="T1685" s="172"/>
      <c r="U1685" s="175" t="s">
        <v>293</v>
      </c>
      <c r="V1685" s="174">
        <f t="shared" si="771"/>
        <v>1</v>
      </c>
      <c r="W1685" s="174">
        <f>VLOOKUP(U1685,Sheet1!$B$6:$C$45,2,FALSE)*V1685</f>
        <v>0</v>
      </c>
      <c r="X1685" s="174"/>
      <c r="Y1685" s="175" t="s">
        <v>293</v>
      </c>
      <c r="Z1685" s="168">
        <f>VLOOKUP(Takeoffs!Y1685,Sheet1!$B$6:$C$124,2,FALSE)</f>
        <v>0</v>
      </c>
      <c r="AA1685" s="168">
        <f t="shared" si="772"/>
        <v>0</v>
      </c>
      <c r="AB1685" s="176">
        <f t="shared" si="773"/>
        <v>1</v>
      </c>
      <c r="AC1685" s="174">
        <f t="shared" si="779"/>
        <v>1</v>
      </c>
      <c r="AD1685" s="174">
        <v>1</v>
      </c>
      <c r="AE1685" s="174"/>
      <c r="AF1685" s="175" t="s">
        <v>293</v>
      </c>
      <c r="AG1685" s="168">
        <f>VLOOKUP(Takeoffs!AF1685,Sheet1!$B$6:$C$124,2,FALSE)</f>
        <v>0</v>
      </c>
      <c r="AH1685" s="168">
        <f t="shared" si="774"/>
        <v>0</v>
      </c>
      <c r="AI1685" s="176">
        <f t="shared" si="775"/>
        <v>0</v>
      </c>
      <c r="AJ1685" s="174">
        <f t="shared" si="776"/>
        <v>1</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409</v>
      </c>
      <c r="P1686" s="175"/>
      <c r="Q1686" s="175"/>
      <c r="R1686" s="175"/>
      <c r="S1686" s="174">
        <f>M1681</f>
        <v>1</v>
      </c>
      <c r="T1686" s="172"/>
      <c r="U1686" s="175" t="s">
        <v>293</v>
      </c>
      <c r="V1686" s="174">
        <f t="shared" si="771"/>
        <v>1</v>
      </c>
      <c r="W1686" s="174">
        <f>VLOOKUP(U1686,Sheet1!$B$6:$C$45,2,FALSE)*V1686</f>
        <v>0</v>
      </c>
      <c r="X1686" s="174"/>
      <c r="Y1686" s="175" t="s">
        <v>293</v>
      </c>
      <c r="Z1686" s="168">
        <f>VLOOKUP(Takeoffs!Y1686,Sheet1!$B$6:$C$124,2,FALSE)</f>
        <v>0</v>
      </c>
      <c r="AA1686" s="168">
        <f t="shared" si="772"/>
        <v>0</v>
      </c>
      <c r="AB1686" s="176">
        <f t="shared" si="773"/>
        <v>1</v>
      </c>
      <c r="AC1686" s="174">
        <f t="shared" si="779"/>
        <v>1</v>
      </c>
      <c r="AD1686" s="174">
        <v>1</v>
      </c>
      <c r="AE1686" s="174"/>
      <c r="AF1686" s="175" t="s">
        <v>293</v>
      </c>
      <c r="AG1686" s="168">
        <f>VLOOKUP(Takeoffs!AF1686,Sheet1!$B$6:$C$124,2,FALSE)</f>
        <v>0</v>
      </c>
      <c r="AH1686" s="168">
        <f t="shared" si="774"/>
        <v>0</v>
      </c>
      <c r="AI1686" s="176">
        <f t="shared" si="775"/>
        <v>0</v>
      </c>
      <c r="AJ1686" s="174">
        <f t="shared" si="776"/>
        <v>1</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410</v>
      </c>
      <c r="P1687" s="175"/>
      <c r="Q1687" s="175"/>
      <c r="R1687" s="175"/>
      <c r="S1687" s="174">
        <f>M1681</f>
        <v>1</v>
      </c>
      <c r="T1687" s="172"/>
      <c r="U1687" s="175" t="s">
        <v>293</v>
      </c>
      <c r="V1687" s="174">
        <f t="shared" si="771"/>
        <v>1</v>
      </c>
      <c r="W1687" s="174">
        <f>VLOOKUP(U1687,Sheet1!$B$6:$C$45,2,FALSE)*V1687</f>
        <v>0</v>
      </c>
      <c r="X1687" s="174"/>
      <c r="Y1687" s="175" t="s">
        <v>293</v>
      </c>
      <c r="Z1687" s="168">
        <f>VLOOKUP(Takeoffs!Y1687,Sheet1!$B$6:$C$124,2,FALSE)</f>
        <v>0</v>
      </c>
      <c r="AA1687" s="168">
        <f t="shared" si="772"/>
        <v>0</v>
      </c>
      <c r="AB1687" s="176">
        <f t="shared" si="773"/>
        <v>1</v>
      </c>
      <c r="AC1687" s="174">
        <f t="shared" si="779"/>
        <v>1</v>
      </c>
      <c r="AD1687" s="174">
        <v>1</v>
      </c>
      <c r="AE1687" s="174"/>
      <c r="AF1687" s="175" t="s">
        <v>293</v>
      </c>
      <c r="AG1687" s="168">
        <f>VLOOKUP(Takeoffs!AF1687,Sheet1!$B$6:$C$124,2,FALSE)</f>
        <v>0</v>
      </c>
      <c r="AH1687" s="168">
        <f t="shared" si="774"/>
        <v>0</v>
      </c>
      <c r="AI1687" s="176">
        <f t="shared" si="775"/>
        <v>0</v>
      </c>
      <c r="AJ1687" s="174">
        <f t="shared" si="776"/>
        <v>1</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535</v>
      </c>
      <c r="P1688" s="175"/>
      <c r="Q1688" s="175"/>
      <c r="R1688" s="175"/>
      <c r="S1688" s="174">
        <f>M1681</f>
        <v>1</v>
      </c>
      <c r="T1688" s="172"/>
      <c r="U1688" s="175" t="s">
        <v>293</v>
      </c>
      <c r="V1688" s="174">
        <f t="shared" si="771"/>
        <v>1</v>
      </c>
      <c r="W1688" s="174">
        <f>VLOOKUP(U1688,Sheet1!$B$6:$C$45,2,FALSE)*V1688</f>
        <v>0</v>
      </c>
      <c r="X1688" s="174"/>
      <c r="Y1688" s="175" t="s">
        <v>293</v>
      </c>
      <c r="Z1688" s="168">
        <f>VLOOKUP(Takeoffs!Y1688,Sheet1!$B$6:$C$124,2,FALSE)</f>
        <v>0</v>
      </c>
      <c r="AA1688" s="168">
        <f t="shared" si="772"/>
        <v>0</v>
      </c>
      <c r="AB1688" s="176">
        <f t="shared" si="773"/>
        <v>1</v>
      </c>
      <c r="AC1688" s="174">
        <f t="shared" si="779"/>
        <v>1</v>
      </c>
      <c r="AD1688" s="174">
        <v>1</v>
      </c>
      <c r="AE1688" s="174"/>
      <c r="AF1688" s="175" t="s">
        <v>293</v>
      </c>
      <c r="AG1688" s="168">
        <f>VLOOKUP(Takeoffs!AF1688,Sheet1!$B$6:$C$124,2,FALSE)</f>
        <v>0</v>
      </c>
      <c r="AH1688" s="168">
        <f t="shared" si="774"/>
        <v>0</v>
      </c>
      <c r="AI1688" s="176">
        <f t="shared" si="775"/>
        <v>0</v>
      </c>
      <c r="AJ1688" s="174">
        <f t="shared" si="776"/>
        <v>1</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1</v>
      </c>
      <c r="T1689" s="172"/>
      <c r="U1689" s="175" t="s">
        <v>293</v>
      </c>
      <c r="V1689" s="174">
        <f t="shared" si="771"/>
        <v>1</v>
      </c>
      <c r="W1689" s="174">
        <f>VLOOKUP(U1689,Sheet1!$B$6:$C$45,2,FALSE)*V1689</f>
        <v>0</v>
      </c>
      <c r="X1689" s="174"/>
      <c r="Y1689" s="175" t="s">
        <v>293</v>
      </c>
      <c r="Z1689" s="168">
        <f>VLOOKUP(Takeoffs!Y1689,Sheet1!$B$6:$C$124,2,FALSE)</f>
        <v>0</v>
      </c>
      <c r="AA1689" s="168">
        <f t="shared" si="772"/>
        <v>0</v>
      </c>
      <c r="AB1689" s="176">
        <f t="shared" si="773"/>
        <v>1</v>
      </c>
      <c r="AC1689" s="174">
        <f t="shared" si="779"/>
        <v>1</v>
      </c>
      <c r="AD1689" s="174">
        <v>1</v>
      </c>
      <c r="AE1689" s="174"/>
      <c r="AF1689" s="175" t="s">
        <v>293</v>
      </c>
      <c r="AG1689" s="168">
        <f>VLOOKUP(Takeoffs!AF1689,Sheet1!$B$6:$C$124,2,FALSE)</f>
        <v>0</v>
      </c>
      <c r="AH1689" s="168">
        <f t="shared" si="774"/>
        <v>0</v>
      </c>
      <c r="AI1689" s="176">
        <f t="shared" si="775"/>
        <v>0</v>
      </c>
      <c r="AJ1689" s="174">
        <f t="shared" si="776"/>
        <v>1</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1</v>
      </c>
      <c r="T1690" s="172"/>
      <c r="U1690" s="175" t="s">
        <v>293</v>
      </c>
      <c r="V1690" s="174">
        <f t="shared" si="771"/>
        <v>1</v>
      </c>
      <c r="W1690" s="174">
        <f>VLOOKUP(U1690,Sheet1!$B$6:$C$45,2,FALSE)*V1690</f>
        <v>0</v>
      </c>
      <c r="X1690" s="174"/>
      <c r="Y1690" s="175" t="s">
        <v>293</v>
      </c>
      <c r="Z1690" s="168">
        <f>VLOOKUP(Takeoffs!Y1690,Sheet1!$B$6:$C$124,2,FALSE)</f>
        <v>0</v>
      </c>
      <c r="AA1690" s="168">
        <f t="shared" si="772"/>
        <v>0</v>
      </c>
      <c r="AB1690" s="176">
        <f t="shared" si="773"/>
        <v>1</v>
      </c>
      <c r="AC1690" s="174">
        <f t="shared" si="779"/>
        <v>1</v>
      </c>
      <c r="AD1690" s="174">
        <v>1</v>
      </c>
      <c r="AE1690" s="174"/>
      <c r="AF1690" s="175" t="s">
        <v>293</v>
      </c>
      <c r="AG1690" s="168">
        <f>VLOOKUP(Takeoffs!AF1690,Sheet1!$B$6:$C$124,2,FALSE)</f>
        <v>0</v>
      </c>
      <c r="AH1690" s="168">
        <f t="shared" si="774"/>
        <v>0</v>
      </c>
      <c r="AI1690" s="176">
        <f t="shared" si="775"/>
        <v>0</v>
      </c>
      <c r="AJ1690" s="174">
        <f t="shared" si="776"/>
        <v>1</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1</v>
      </c>
      <c r="T1691" s="172"/>
      <c r="U1691" s="175" t="s">
        <v>293</v>
      </c>
      <c r="V1691" s="174">
        <f t="shared" si="771"/>
        <v>1</v>
      </c>
      <c r="W1691" s="174">
        <f>VLOOKUP(U1691,Sheet1!$B$6:$C$45,2,FALSE)*V1691</f>
        <v>0</v>
      </c>
      <c r="X1691" s="174"/>
      <c r="Y1691" s="175" t="s">
        <v>293</v>
      </c>
      <c r="Z1691" s="168">
        <f>VLOOKUP(Takeoffs!Y1691,Sheet1!$B$6:$C$124,2,FALSE)</f>
        <v>0</v>
      </c>
      <c r="AA1691" s="168">
        <f t="shared" si="772"/>
        <v>0</v>
      </c>
      <c r="AB1691" s="176">
        <f t="shared" si="773"/>
        <v>1</v>
      </c>
      <c r="AC1691" s="174">
        <f t="shared" si="779"/>
        <v>1</v>
      </c>
      <c r="AD1691" s="174">
        <v>1</v>
      </c>
      <c r="AE1691" s="174"/>
      <c r="AF1691" s="175" t="s">
        <v>293</v>
      </c>
      <c r="AG1691" s="168">
        <f>VLOOKUP(Takeoffs!AF1691,Sheet1!$B$6:$C$124,2,FALSE)</f>
        <v>0</v>
      </c>
      <c r="AH1691" s="168">
        <f t="shared" si="774"/>
        <v>0</v>
      </c>
      <c r="AI1691" s="176">
        <f t="shared" si="775"/>
        <v>0</v>
      </c>
      <c r="AJ1691" s="174">
        <f t="shared" si="776"/>
        <v>1</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1</v>
      </c>
      <c r="T1692" s="172"/>
      <c r="U1692" s="175" t="s">
        <v>293</v>
      </c>
      <c r="V1692" s="174">
        <f t="shared" si="771"/>
        <v>1</v>
      </c>
      <c r="W1692" s="174">
        <f>VLOOKUP(U1692,Sheet1!$B$6:$C$45,2,FALSE)*V1692</f>
        <v>0</v>
      </c>
      <c r="X1692" s="174"/>
      <c r="Y1692" s="175" t="s">
        <v>293</v>
      </c>
      <c r="Z1692" s="168">
        <f>VLOOKUP(Takeoffs!Y1692,Sheet1!$B$6:$C$124,2,FALSE)</f>
        <v>0</v>
      </c>
      <c r="AA1692" s="168">
        <f t="shared" si="772"/>
        <v>0</v>
      </c>
      <c r="AB1692" s="176">
        <f t="shared" si="773"/>
        <v>1</v>
      </c>
      <c r="AC1692" s="174">
        <f t="shared" si="779"/>
        <v>1</v>
      </c>
      <c r="AD1692" s="174">
        <v>1</v>
      </c>
      <c r="AE1692" s="174"/>
      <c r="AF1692" s="175" t="s">
        <v>293</v>
      </c>
      <c r="AG1692" s="168">
        <f>VLOOKUP(Takeoffs!AF1692,Sheet1!$B$6:$C$124,2,FALSE)</f>
        <v>0</v>
      </c>
      <c r="AH1692" s="168">
        <f t="shared" si="774"/>
        <v>0</v>
      </c>
      <c r="AI1692" s="176">
        <f t="shared" si="775"/>
        <v>0</v>
      </c>
      <c r="AJ1692" s="174">
        <f t="shared" si="776"/>
        <v>1</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1</v>
      </c>
      <c r="T1693" s="172"/>
      <c r="U1693" s="175" t="s">
        <v>293</v>
      </c>
      <c r="V1693" s="174">
        <f t="shared" si="771"/>
        <v>1</v>
      </c>
      <c r="W1693" s="174">
        <f>VLOOKUP(U1693,Sheet1!$B$6:$C$45,2,FALSE)*V1693</f>
        <v>0</v>
      </c>
      <c r="X1693" s="174"/>
      <c r="Y1693" s="175" t="s">
        <v>293</v>
      </c>
      <c r="Z1693" s="168">
        <f>VLOOKUP(Takeoffs!Y1693,Sheet1!$B$6:$C$124,2,FALSE)</f>
        <v>0</v>
      </c>
      <c r="AA1693" s="168">
        <f t="shared" si="772"/>
        <v>0</v>
      </c>
      <c r="AB1693" s="176">
        <f t="shared" si="773"/>
        <v>1</v>
      </c>
      <c r="AC1693" s="174">
        <f t="shared" si="779"/>
        <v>1</v>
      </c>
      <c r="AD1693" s="174">
        <v>1</v>
      </c>
      <c r="AE1693" s="174"/>
      <c r="AF1693" s="175" t="s">
        <v>293</v>
      </c>
      <c r="AG1693" s="168">
        <f>VLOOKUP(Takeoffs!AF1693,Sheet1!$B$6:$C$124,2,FALSE)</f>
        <v>0</v>
      </c>
      <c r="AH1693" s="168">
        <f t="shared" si="774"/>
        <v>0</v>
      </c>
      <c r="AI1693" s="176">
        <f t="shared" si="775"/>
        <v>0</v>
      </c>
      <c r="AJ1693" s="174">
        <f t="shared" si="776"/>
        <v>1</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1</v>
      </c>
      <c r="T1694" s="172"/>
      <c r="U1694" s="175" t="s">
        <v>293</v>
      </c>
      <c r="V1694" s="174">
        <f t="shared" si="771"/>
        <v>1</v>
      </c>
      <c r="W1694" s="174">
        <f>VLOOKUP(U1694,Sheet1!$B$6:$C$45,2,FALSE)*V1694</f>
        <v>0</v>
      </c>
      <c r="X1694" s="174"/>
      <c r="Y1694" s="175" t="s">
        <v>293</v>
      </c>
      <c r="Z1694" s="168">
        <f>VLOOKUP(Takeoffs!Y1694,Sheet1!$B$6:$C$124,2,FALSE)</f>
        <v>0</v>
      </c>
      <c r="AA1694" s="168">
        <f t="shared" si="772"/>
        <v>0</v>
      </c>
      <c r="AB1694" s="176">
        <f t="shared" si="773"/>
        <v>1</v>
      </c>
      <c r="AC1694" s="174">
        <f t="shared" si="779"/>
        <v>1</v>
      </c>
      <c r="AD1694" s="174">
        <v>1</v>
      </c>
      <c r="AE1694" s="174"/>
      <c r="AF1694" s="175" t="s">
        <v>293</v>
      </c>
      <c r="AG1694" s="168">
        <f>VLOOKUP(Takeoffs!AF1694,Sheet1!$B$6:$C$124,2,FALSE)</f>
        <v>0</v>
      </c>
      <c r="AH1694" s="168">
        <f t="shared" si="774"/>
        <v>0</v>
      </c>
      <c r="AI1694" s="176">
        <f t="shared" si="775"/>
        <v>0</v>
      </c>
      <c r="AJ1694" s="174">
        <f t="shared" si="776"/>
        <v>1</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1</v>
      </c>
      <c r="T1695" s="172"/>
      <c r="U1695" s="175" t="s">
        <v>293</v>
      </c>
      <c r="V1695" s="174">
        <f t="shared" si="771"/>
        <v>1</v>
      </c>
      <c r="W1695" s="174">
        <f>VLOOKUP(U1695,Sheet1!$B$6:$C$45,2,FALSE)*V1695</f>
        <v>0</v>
      </c>
      <c r="X1695" s="174"/>
      <c r="Y1695" s="175" t="s">
        <v>293</v>
      </c>
      <c r="Z1695" s="168">
        <f>VLOOKUP(Takeoffs!Y1695,Sheet1!$B$6:$C$124,2,FALSE)</f>
        <v>0</v>
      </c>
      <c r="AA1695" s="168">
        <f t="shared" si="772"/>
        <v>0</v>
      </c>
      <c r="AB1695" s="176">
        <f t="shared" si="773"/>
        <v>1</v>
      </c>
      <c r="AC1695" s="174">
        <f t="shared" si="779"/>
        <v>1</v>
      </c>
      <c r="AD1695" s="174">
        <v>1</v>
      </c>
      <c r="AE1695" s="174"/>
      <c r="AF1695" s="175" t="s">
        <v>293</v>
      </c>
      <c r="AG1695" s="168">
        <f>VLOOKUP(Takeoffs!AF1695,Sheet1!$B$6:$C$124,2,FALSE)</f>
        <v>0</v>
      </c>
      <c r="AH1695" s="168">
        <f t="shared" si="774"/>
        <v>0</v>
      </c>
      <c r="AI1695" s="176">
        <f t="shared" si="775"/>
        <v>0</v>
      </c>
      <c r="AJ1695" s="174">
        <f t="shared" si="776"/>
        <v>1</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1</v>
      </c>
      <c r="T1696" s="172"/>
      <c r="U1696" s="175" t="s">
        <v>293</v>
      </c>
      <c r="V1696" s="174">
        <f t="shared" si="771"/>
        <v>1</v>
      </c>
      <c r="W1696" s="174">
        <f>VLOOKUP(U1696,Sheet1!$B$6:$C$45,2,FALSE)*V1696</f>
        <v>0</v>
      </c>
      <c r="X1696" s="174"/>
      <c r="Y1696" s="175" t="s">
        <v>293</v>
      </c>
      <c r="Z1696" s="168">
        <f>VLOOKUP(Takeoffs!Y1696,Sheet1!$B$6:$C$124,2,FALSE)</f>
        <v>0</v>
      </c>
      <c r="AA1696" s="168">
        <f t="shared" si="772"/>
        <v>0</v>
      </c>
      <c r="AB1696" s="176">
        <f t="shared" si="773"/>
        <v>2</v>
      </c>
      <c r="AC1696" s="174">
        <f t="shared" si="779"/>
        <v>1</v>
      </c>
      <c r="AD1696" s="174">
        <v>2</v>
      </c>
      <c r="AE1696" s="174"/>
      <c r="AF1696" s="175" t="s">
        <v>293</v>
      </c>
      <c r="AG1696" s="168">
        <f>VLOOKUP(Takeoffs!AF1696,Sheet1!$B$6:$C$124,2,FALSE)</f>
        <v>0</v>
      </c>
      <c r="AH1696" s="168">
        <f t="shared" si="774"/>
        <v>0</v>
      </c>
      <c r="AI1696" s="176">
        <f t="shared" si="775"/>
        <v>0</v>
      </c>
      <c r="AJ1696" s="174">
        <f t="shared" si="776"/>
        <v>1</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1</v>
      </c>
      <c r="T1697" s="172"/>
      <c r="U1697" s="175" t="s">
        <v>293</v>
      </c>
      <c r="V1697" s="174">
        <f t="shared" si="771"/>
        <v>1</v>
      </c>
      <c r="W1697" s="174">
        <f>VLOOKUP(U1697,Sheet1!$B$6:$C$45,2,FALSE)*V1697</f>
        <v>0</v>
      </c>
      <c r="X1697" s="174"/>
      <c r="Y1697" s="175" t="s">
        <v>293</v>
      </c>
      <c r="Z1697" s="168">
        <f>VLOOKUP(Takeoffs!Y1697,Sheet1!$B$6:$C$124,2,FALSE)</f>
        <v>0</v>
      </c>
      <c r="AA1697" s="168">
        <f t="shared" si="772"/>
        <v>0</v>
      </c>
      <c r="AB1697" s="176">
        <f t="shared" si="773"/>
        <v>1</v>
      </c>
      <c r="AC1697" s="174">
        <f t="shared" si="779"/>
        <v>1</v>
      </c>
      <c r="AD1697" s="174">
        <v>1</v>
      </c>
      <c r="AE1697" s="174"/>
      <c r="AF1697" s="175" t="s">
        <v>293</v>
      </c>
      <c r="AG1697" s="168">
        <f>VLOOKUP(Takeoffs!AF1697,Sheet1!$B$6:$C$124,2,FALSE)</f>
        <v>0</v>
      </c>
      <c r="AH1697" s="168">
        <f t="shared" si="774"/>
        <v>0</v>
      </c>
      <c r="AI1697" s="176">
        <f t="shared" si="775"/>
        <v>0</v>
      </c>
      <c r="AJ1697" s="174">
        <f t="shared" si="776"/>
        <v>1</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1</v>
      </c>
      <c r="T1698" s="172"/>
      <c r="U1698" s="175" t="s">
        <v>293</v>
      </c>
      <c r="V1698" s="174">
        <f t="shared" si="771"/>
        <v>1</v>
      </c>
      <c r="W1698" s="174">
        <f>VLOOKUP(U1698,Sheet1!$B$6:$C$45,2,FALSE)*V1698</f>
        <v>0</v>
      </c>
      <c r="X1698" s="174"/>
      <c r="Y1698" s="175" t="s">
        <v>293</v>
      </c>
      <c r="Z1698" s="168">
        <f>VLOOKUP(Takeoffs!Y1698,Sheet1!$B$6:$C$124,2,FALSE)</f>
        <v>0</v>
      </c>
      <c r="AA1698" s="168">
        <f t="shared" si="772"/>
        <v>0</v>
      </c>
      <c r="AB1698" s="176">
        <f t="shared" si="773"/>
        <v>1</v>
      </c>
      <c r="AC1698" s="174">
        <f t="shared" si="779"/>
        <v>1</v>
      </c>
      <c r="AD1698" s="174">
        <v>1</v>
      </c>
      <c r="AE1698" s="174"/>
      <c r="AF1698" s="175" t="s">
        <v>293</v>
      </c>
      <c r="AG1698" s="168">
        <f>VLOOKUP(Takeoffs!AF1698,Sheet1!$B$6:$C$124,2,FALSE)</f>
        <v>0</v>
      </c>
      <c r="AH1698" s="168">
        <f t="shared" si="774"/>
        <v>0</v>
      </c>
      <c r="AI1698" s="176">
        <f t="shared" si="775"/>
        <v>0</v>
      </c>
      <c r="AJ1698" s="174">
        <f t="shared" si="776"/>
        <v>1</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1</v>
      </c>
      <c r="T1699" s="172"/>
      <c r="U1699" s="175" t="s">
        <v>293</v>
      </c>
      <c r="V1699" s="174">
        <f t="shared" si="771"/>
        <v>1</v>
      </c>
      <c r="W1699" s="174">
        <f>VLOOKUP(U1699,Sheet1!$B$6:$C$45,2,FALSE)*V1699</f>
        <v>0</v>
      </c>
      <c r="X1699" s="174"/>
      <c r="Y1699" s="175" t="s">
        <v>293</v>
      </c>
      <c r="Z1699" s="168">
        <f>VLOOKUP(Takeoffs!Y1699,Sheet1!$B$6:$C$124,2,FALSE)</f>
        <v>0</v>
      </c>
      <c r="AA1699" s="168">
        <f t="shared" si="772"/>
        <v>0</v>
      </c>
      <c r="AB1699" s="176">
        <f t="shared" si="773"/>
        <v>1</v>
      </c>
      <c r="AC1699" s="174">
        <f t="shared" si="779"/>
        <v>1</v>
      </c>
      <c r="AD1699" s="174">
        <v>1</v>
      </c>
      <c r="AE1699" s="174"/>
      <c r="AF1699" s="175" t="s">
        <v>293</v>
      </c>
      <c r="AG1699" s="168">
        <f>VLOOKUP(Takeoffs!AF1699,Sheet1!$B$6:$C$124,2,FALSE)</f>
        <v>0</v>
      </c>
      <c r="AH1699" s="168">
        <f t="shared" si="774"/>
        <v>0</v>
      </c>
      <c r="AI1699" s="176">
        <f t="shared" si="775"/>
        <v>0</v>
      </c>
      <c r="AJ1699" s="174">
        <f t="shared" si="776"/>
        <v>1</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1</v>
      </c>
      <c r="T1700" s="172"/>
      <c r="U1700" s="175" t="s">
        <v>293</v>
      </c>
      <c r="V1700" s="174">
        <f t="shared" si="771"/>
        <v>1</v>
      </c>
      <c r="W1700" s="174">
        <f>VLOOKUP(U1700,Sheet1!$B$6:$C$45,2,FALSE)*V1700</f>
        <v>0</v>
      </c>
      <c r="X1700" s="174"/>
      <c r="Y1700" s="175" t="s">
        <v>293</v>
      </c>
      <c r="Z1700" s="168">
        <f>VLOOKUP(Takeoffs!Y1700,Sheet1!$B$6:$C$124,2,FALSE)</f>
        <v>0</v>
      </c>
      <c r="AA1700" s="168">
        <f t="shared" si="772"/>
        <v>0</v>
      </c>
      <c r="AB1700" s="176">
        <f t="shared" si="773"/>
        <v>1</v>
      </c>
      <c r="AC1700" s="174">
        <f t="shared" si="779"/>
        <v>1</v>
      </c>
      <c r="AD1700" s="174">
        <v>1</v>
      </c>
      <c r="AE1700" s="174"/>
      <c r="AF1700" s="175" t="s">
        <v>293</v>
      </c>
      <c r="AG1700" s="168">
        <f>VLOOKUP(Takeoffs!AF1700,Sheet1!$B$6:$C$124,2,FALSE)</f>
        <v>0</v>
      </c>
      <c r="AH1700" s="168">
        <f t="shared" si="774"/>
        <v>0</v>
      </c>
      <c r="AI1700" s="176">
        <f t="shared" si="775"/>
        <v>0</v>
      </c>
      <c r="AJ1700" s="174">
        <f t="shared" si="776"/>
        <v>1</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1</v>
      </c>
      <c r="T1701" s="172"/>
      <c r="U1701" s="175" t="s">
        <v>293</v>
      </c>
      <c r="V1701" s="174">
        <f t="shared" si="771"/>
        <v>1</v>
      </c>
      <c r="W1701" s="174">
        <f>VLOOKUP(U1701,Sheet1!$B$6:$C$45,2,FALSE)*V1701</f>
        <v>0</v>
      </c>
      <c r="X1701" s="174"/>
      <c r="Y1701" s="175" t="s">
        <v>293</v>
      </c>
      <c r="Z1701" s="168">
        <f>VLOOKUP(Takeoffs!Y1701,Sheet1!$B$6:$C$124,2,FALSE)</f>
        <v>0</v>
      </c>
      <c r="AA1701" s="168">
        <f t="shared" si="772"/>
        <v>0</v>
      </c>
      <c r="AB1701" s="176">
        <f t="shared" si="773"/>
        <v>1</v>
      </c>
      <c r="AC1701" s="174">
        <f t="shared" si="779"/>
        <v>1</v>
      </c>
      <c r="AD1701" s="174">
        <v>1</v>
      </c>
      <c r="AE1701" s="174"/>
      <c r="AF1701" s="175" t="s">
        <v>293</v>
      </c>
      <c r="AG1701" s="168">
        <f>VLOOKUP(Takeoffs!AF1701,Sheet1!$B$6:$C$124,2,FALSE)</f>
        <v>0</v>
      </c>
      <c r="AH1701" s="168">
        <f t="shared" si="774"/>
        <v>0</v>
      </c>
      <c r="AI1701" s="176">
        <f t="shared" si="775"/>
        <v>0</v>
      </c>
      <c r="AJ1701" s="174">
        <f t="shared" si="776"/>
        <v>1</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379</v>
      </c>
      <c r="L1702" s="128" t="s">
        <v>380</v>
      </c>
      <c r="N1702" s="129"/>
      <c r="O1702" s="175" t="s">
        <v>359</v>
      </c>
      <c r="P1702" s="172">
        <f>P1703*M1681</f>
        <v>2500</v>
      </c>
      <c r="Q1702" s="172"/>
      <c r="R1702" s="172"/>
      <c r="S1702" s="175"/>
      <c r="T1702" s="172"/>
      <c r="U1702" s="175" t="s">
        <v>353</v>
      </c>
      <c r="V1702" s="172">
        <f>W1702*80</f>
        <v>0</v>
      </c>
      <c r="W1702" s="177">
        <f>SUM(W1681:W1701)</f>
        <v>0</v>
      </c>
      <c r="X1702" s="178"/>
      <c r="Y1702" s="172" t="s">
        <v>354</v>
      </c>
      <c r="Z1702" s="168"/>
      <c r="AA1702" s="168">
        <f>SUM(AA1681:AA1701)</f>
        <v>0</v>
      </c>
      <c r="AB1702" s="179"/>
      <c r="AC1702" s="179"/>
      <c r="AD1702" s="179"/>
      <c r="AE1702" s="179"/>
      <c r="AF1702" s="172" t="s">
        <v>358</v>
      </c>
      <c r="AG1702" s="168"/>
      <c r="AH1702" s="168">
        <f>SUM(AH1681:AH1701)</f>
        <v>0</v>
      </c>
      <c r="AI1702" s="179"/>
      <c r="AJ1702" s="179"/>
      <c r="AK1702" s="179"/>
      <c r="AL1702" s="179"/>
      <c r="AM1702" s="150">
        <f>P1702</f>
        <v>2500</v>
      </c>
      <c r="AO1702" s="286"/>
      <c r="AP1702" s="284">
        <f t="shared" si="780"/>
        <v>0</v>
      </c>
      <c r="AQ1702" s="281">
        <f t="shared" si="781"/>
        <v>0</v>
      </c>
      <c r="AR1702" s="284">
        <f t="shared" si="782"/>
        <v>0</v>
      </c>
      <c r="AS1702" s="281">
        <f t="shared" si="783"/>
        <v>0</v>
      </c>
      <c r="AT1702" s="284">
        <f t="shared" si="784"/>
        <v>0</v>
      </c>
    </row>
    <row r="1703" spans="1:97" s="234" customFormat="1" ht="123.45" x14ac:dyDescent="0.8">
      <c r="A1703" s="262">
        <f>ROW()</f>
        <v>1703</v>
      </c>
      <c r="B1703" s="234" t="s">
        <v>494</v>
      </c>
      <c r="C1703" s="217" t="str">
        <f>N1681</f>
        <v>Medium Aircooled Chillers - from Chiller MSSB</v>
      </c>
      <c r="D1703" s="260" t="str">
        <f>IF(B1703="Shopping List",IF(ISNUMBER(SEARCH("MSSB",C1703)),"MSSB",IF(ISNUMBER(SEARCH("local",C1703)),"LOCAL","")))</f>
        <v>MSSB</v>
      </c>
      <c r="E1703" s="238"/>
      <c r="F1703" s="217"/>
      <c r="G1703" s="217"/>
      <c r="H1703" s="245"/>
      <c r="I1703" s="270">
        <v>1</v>
      </c>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one (1)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2500</v>
      </c>
      <c r="L1703" s="234" t="str">
        <f>CONCATENATE(Q1682,Q1683,Q1684,Q1685,Q1686,Q1687,Q1688,Q1689,Q1690,Q1691,Q1692,Q1693,Q1694,Q1695,Q1696,Q1697,Q1698,Q1699,Q1700,Q1701,)</f>
        <v/>
      </c>
      <c r="M1703" s="166" t="s">
        <v>369</v>
      </c>
      <c r="N1703" s="160" t="str">
        <f>N1681</f>
        <v>Medium Aircooled Chillers - from Chiller MSSB</v>
      </c>
      <c r="O1703" s="175" t="s">
        <v>367</v>
      </c>
      <c r="P1703" s="64">
        <v>2500</v>
      </c>
      <c r="Q1703" s="172"/>
      <c r="R1703" s="172"/>
      <c r="S1703" s="175"/>
      <c r="T1703" s="172"/>
      <c r="U1703" s="329" t="s">
        <v>368</v>
      </c>
      <c r="V1703" s="329"/>
      <c r="W1703" s="177">
        <f>W1702/M1681</f>
        <v>0</v>
      </c>
      <c r="X1703" s="178"/>
      <c r="Y1703" s="330" t="s">
        <v>367</v>
      </c>
      <c r="Z1703" s="330"/>
      <c r="AA1703" s="181">
        <f>AA1702/M1681</f>
        <v>0</v>
      </c>
      <c r="AB1703" s="172"/>
      <c r="AC1703" s="172"/>
      <c r="AD1703" s="172"/>
      <c r="AE1703" s="172"/>
      <c r="AF1703" s="330" t="s">
        <v>367</v>
      </c>
      <c r="AG1703" s="330"/>
      <c r="AH1703" s="181">
        <f>AH1702/M1681</f>
        <v>0</v>
      </c>
      <c r="AI1703" s="172"/>
      <c r="AJ1703" s="172"/>
      <c r="AK1703" s="172"/>
      <c r="AL1703" s="250"/>
      <c r="AM1703" s="257"/>
      <c r="AN1703" s="236">
        <f>K1703*1.25</f>
        <v>3125</v>
      </c>
      <c r="AO1703" s="286"/>
      <c r="AP1703" s="284">
        <f t="shared" si="780"/>
        <v>2500</v>
      </c>
      <c r="AQ1703" s="281">
        <f t="shared" si="781"/>
        <v>0</v>
      </c>
      <c r="AR1703" s="284">
        <f t="shared" si="782"/>
        <v>0</v>
      </c>
      <c r="AS1703" s="281">
        <f t="shared" si="783"/>
        <v>0</v>
      </c>
      <c r="AT1703" s="284">
        <f t="shared" si="784"/>
        <v>2500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454</v>
      </c>
      <c r="M1704" s="116" t="s">
        <v>107</v>
      </c>
      <c r="N1704" s="116" t="s">
        <v>108</v>
      </c>
      <c r="O1704" s="170" t="s">
        <v>388</v>
      </c>
      <c r="P1704" s="326" t="s">
        <v>377</v>
      </c>
      <c r="Q1704" s="326"/>
      <c r="R1704" s="101" t="s">
        <v>454</v>
      </c>
      <c r="S1704" s="116" t="s">
        <v>0</v>
      </c>
      <c r="T1704" s="118"/>
      <c r="U1704" s="116" t="s">
        <v>288</v>
      </c>
      <c r="V1704" s="116" t="s">
        <v>289</v>
      </c>
      <c r="W1704" s="116" t="s">
        <v>292</v>
      </c>
      <c r="X1704" s="140"/>
      <c r="Y1704" s="116" t="s">
        <v>290</v>
      </c>
      <c r="Z1704" s="116" t="s">
        <v>356</v>
      </c>
      <c r="AA1704" s="116" t="s">
        <v>357</v>
      </c>
      <c r="AB1704" s="116" t="s">
        <v>319</v>
      </c>
      <c r="AC1704" s="116" t="s">
        <v>320</v>
      </c>
      <c r="AD1704" s="116" t="s">
        <v>318</v>
      </c>
      <c r="AE1704" s="140"/>
      <c r="AF1704" s="116" t="s">
        <v>294</v>
      </c>
      <c r="AG1704" s="116" t="s">
        <v>356</v>
      </c>
      <c r="AH1704" s="116" t="s">
        <v>357</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one</v>
      </c>
      <c r="M1705" s="121">
        <f>I1727</f>
        <v>1</v>
      </c>
      <c r="N1705" s="132" t="s">
        <v>561</v>
      </c>
      <c r="O1705" s="121" t="s">
        <v>491</v>
      </c>
      <c r="P1705" s="169" t="s">
        <v>381</v>
      </c>
      <c r="Q1705" s="169" t="s">
        <v>377</v>
      </c>
      <c r="R1705" s="169"/>
      <c r="S1705" s="133">
        <f>M1705</f>
        <v>1</v>
      </c>
      <c r="T1705" s="119"/>
      <c r="U1705" s="121" t="s">
        <v>293</v>
      </c>
      <c r="V1705" s="133">
        <f>S1705</f>
        <v>1</v>
      </c>
      <c r="W1705" s="133">
        <f>VLOOKUP(U1705,Sheet1!$B$6:$C$45,2,FALSE)*V1705</f>
        <v>0</v>
      </c>
      <c r="X1705" s="141"/>
      <c r="Y1705" s="121" t="s">
        <v>293</v>
      </c>
      <c r="Z1705" s="146">
        <f>VLOOKUP(Takeoffs!Y1705,Sheet1!$B$6:$C$124,2,FALSE)</f>
        <v>0</v>
      </c>
      <c r="AA1705" s="146">
        <f>Z1705*AB1705</f>
        <v>0</v>
      </c>
      <c r="AB1705" s="143">
        <f>AD1705*AC1705</f>
        <v>1</v>
      </c>
      <c r="AC1705" s="133">
        <f>S1705</f>
        <v>1</v>
      </c>
      <c r="AD1705" s="142">
        <v>1</v>
      </c>
      <c r="AE1705" s="141"/>
      <c r="AF1705" s="121" t="s">
        <v>293</v>
      </c>
      <c r="AG1705" s="146">
        <f>VLOOKUP(Takeoffs!AF1705,Sheet1!$B$6:$C$124,2,FALSE)</f>
        <v>0</v>
      </c>
      <c r="AH1705" s="146">
        <f>AG1705*AI1705</f>
        <v>0</v>
      </c>
      <c r="AI1705" s="143">
        <f>AK1705*AJ1705</f>
        <v>0</v>
      </c>
      <c r="AJ1705" s="133">
        <f>S1705</f>
        <v>1</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342</v>
      </c>
      <c r="P1706" s="121"/>
      <c r="Q1706" s="121"/>
      <c r="R1706" s="121"/>
      <c r="S1706" s="133">
        <f>M1705</f>
        <v>1</v>
      </c>
      <c r="T1706" s="120"/>
      <c r="U1706" s="121" t="s">
        <v>293</v>
      </c>
      <c r="V1706" s="133">
        <f t="shared" ref="V1706:V1725" si="785">S1706</f>
        <v>1</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1</v>
      </c>
      <c r="AC1706" s="133">
        <f t="shared" ref="AC1706:AC1725" si="788">S1706</f>
        <v>1</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1</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1</v>
      </c>
      <c r="T1707" s="120"/>
      <c r="U1707" s="121" t="s">
        <v>293</v>
      </c>
      <c r="V1707" s="133">
        <f t="shared" si="785"/>
        <v>1</v>
      </c>
      <c r="W1707" s="133">
        <f>VLOOKUP(U1707,Sheet1!$B$6:$C$45,2,FALSE)*V1707</f>
        <v>0</v>
      </c>
      <c r="X1707" s="141"/>
      <c r="Y1707" s="122" t="s">
        <v>252</v>
      </c>
      <c r="Z1707" s="146">
        <f>VLOOKUP(Takeoffs!Y1707,Sheet1!$B$6:$C$124,2,FALSE)</f>
        <v>43.440000000000005</v>
      </c>
      <c r="AA1707" s="146">
        <f t="shared" si="786"/>
        <v>43.440000000000005</v>
      </c>
      <c r="AB1707" s="143">
        <f t="shared" si="787"/>
        <v>1</v>
      </c>
      <c r="AC1707" s="133">
        <f t="shared" si="788"/>
        <v>1</v>
      </c>
      <c r="AD1707" s="142">
        <v>1</v>
      </c>
      <c r="AE1707" s="141"/>
      <c r="AF1707" s="122" t="s">
        <v>268</v>
      </c>
      <c r="AG1707" s="146">
        <f>VLOOKUP(Takeoffs!AF1707,Sheet1!$B$6:$C$124,2,FALSE)</f>
        <v>1.02</v>
      </c>
      <c r="AH1707" s="146">
        <f t="shared" si="789"/>
        <v>20.399999999999999</v>
      </c>
      <c r="AI1707" s="143">
        <f t="shared" si="790"/>
        <v>20</v>
      </c>
      <c r="AJ1707" s="133">
        <f t="shared" si="791"/>
        <v>1</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1</v>
      </c>
      <c r="T1708" s="120"/>
      <c r="U1708" s="117" t="s">
        <v>481</v>
      </c>
      <c r="V1708" s="133">
        <f t="shared" si="785"/>
        <v>1</v>
      </c>
      <c r="W1708" s="133">
        <f>VLOOKUP(U1708,Sheet1!$B$6:$C$45,2,FALSE)*V1708</f>
        <v>2</v>
      </c>
      <c r="X1708" s="141"/>
      <c r="Y1708" s="121" t="s">
        <v>293</v>
      </c>
      <c r="Z1708" s="146">
        <f>VLOOKUP(Takeoffs!Y1708,Sheet1!$B$6:$C$124,2,FALSE)</f>
        <v>0</v>
      </c>
      <c r="AA1708" s="146">
        <f t="shared" si="786"/>
        <v>0</v>
      </c>
      <c r="AB1708" s="143">
        <f t="shared" si="787"/>
        <v>1</v>
      </c>
      <c r="AC1708" s="133">
        <f t="shared" si="788"/>
        <v>1</v>
      </c>
      <c r="AD1708" s="142">
        <v>1</v>
      </c>
      <c r="AE1708" s="141"/>
      <c r="AF1708" s="121" t="s">
        <v>293</v>
      </c>
      <c r="AG1708" s="146">
        <f>VLOOKUP(Takeoffs!AF1708,Sheet1!$B$6:$C$124,2,FALSE)</f>
        <v>0</v>
      </c>
      <c r="AH1708" s="146">
        <f t="shared" si="789"/>
        <v>0</v>
      </c>
      <c r="AI1708" s="143">
        <f t="shared" si="790"/>
        <v>0</v>
      </c>
      <c r="AJ1708" s="133">
        <f t="shared" si="791"/>
        <v>1</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325</v>
      </c>
      <c r="P1709" s="121"/>
      <c r="Q1709" s="121"/>
      <c r="R1709" s="121"/>
      <c r="S1709" s="133">
        <f>M1705</f>
        <v>1</v>
      </c>
      <c r="T1709" s="120"/>
      <c r="U1709" s="121" t="s">
        <v>235</v>
      </c>
      <c r="V1709" s="133">
        <f t="shared" si="785"/>
        <v>1</v>
      </c>
      <c r="W1709" s="133">
        <f>VLOOKUP(U1709,Sheet1!$B$6:$C$45,2,FALSE)*V1709</f>
        <v>1.5</v>
      </c>
      <c r="X1709" s="141"/>
      <c r="Y1709" s="135" t="s">
        <v>549</v>
      </c>
      <c r="Z1709" s="146">
        <f>VLOOKUP(Takeoffs!Y1709,Sheet1!$B$6:$C$124,2,FALSE)</f>
        <v>865.92</v>
      </c>
      <c r="AA1709" s="146">
        <f t="shared" si="786"/>
        <v>865.92</v>
      </c>
      <c r="AB1709" s="143">
        <f t="shared" si="787"/>
        <v>1</v>
      </c>
      <c r="AC1709" s="133">
        <f t="shared" si="788"/>
        <v>1</v>
      </c>
      <c r="AD1709" s="142">
        <v>1</v>
      </c>
      <c r="AE1709" s="141"/>
      <c r="AF1709" s="121" t="s">
        <v>293</v>
      </c>
      <c r="AG1709" s="146">
        <f>VLOOKUP(Takeoffs!AF1709,Sheet1!$B$6:$C$124,2,FALSE)</f>
        <v>0</v>
      </c>
      <c r="AH1709" s="146">
        <f t="shared" si="789"/>
        <v>0</v>
      </c>
      <c r="AI1709" s="143">
        <f t="shared" si="790"/>
        <v>0</v>
      </c>
      <c r="AJ1709" s="133">
        <f t="shared" si="791"/>
        <v>1</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392</v>
      </c>
      <c r="P1710" s="121"/>
      <c r="Q1710" s="121"/>
      <c r="R1710" s="121"/>
      <c r="S1710" s="133">
        <f>M1705</f>
        <v>1</v>
      </c>
      <c r="T1710" s="120"/>
      <c r="U1710" s="121" t="s">
        <v>293</v>
      </c>
      <c r="V1710" s="133">
        <f t="shared" si="785"/>
        <v>1</v>
      </c>
      <c r="W1710" s="133">
        <f>VLOOKUP(U1710,Sheet1!$B$6:$C$45,2,FALSE)*V1710</f>
        <v>0</v>
      </c>
      <c r="X1710" s="141"/>
      <c r="Y1710" s="121" t="s">
        <v>293</v>
      </c>
      <c r="Z1710" s="146">
        <f>VLOOKUP(Takeoffs!Y1710,Sheet1!$B$6:$C$124,2,FALSE)</f>
        <v>0</v>
      </c>
      <c r="AA1710" s="146">
        <f t="shared" si="786"/>
        <v>0</v>
      </c>
      <c r="AB1710" s="143">
        <f t="shared" si="787"/>
        <v>1</v>
      </c>
      <c r="AC1710" s="133">
        <f t="shared" si="788"/>
        <v>1</v>
      </c>
      <c r="AD1710" s="142">
        <v>1</v>
      </c>
      <c r="AE1710" s="141"/>
      <c r="AF1710" s="122" t="s">
        <v>268</v>
      </c>
      <c r="AG1710" s="146">
        <f>VLOOKUP(Takeoffs!AF1710,Sheet1!$B$6:$C$124,2,FALSE)</f>
        <v>1.02</v>
      </c>
      <c r="AH1710" s="146">
        <f t="shared" si="789"/>
        <v>3.06</v>
      </c>
      <c r="AI1710" s="143">
        <f t="shared" si="790"/>
        <v>3</v>
      </c>
      <c r="AJ1710" s="133">
        <f t="shared" si="791"/>
        <v>1</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1</v>
      </c>
      <c r="T1711" s="120"/>
      <c r="U1711" s="121" t="s">
        <v>293</v>
      </c>
      <c r="V1711" s="133">
        <f t="shared" si="785"/>
        <v>1</v>
      </c>
      <c r="W1711" s="133">
        <f>VLOOKUP(U1711,Sheet1!$B$6:$C$45,2,FALSE)*V1711</f>
        <v>0</v>
      </c>
      <c r="X1711" s="141"/>
      <c r="Y1711" s="121" t="s">
        <v>293</v>
      </c>
      <c r="Z1711" s="146">
        <f>VLOOKUP(Takeoffs!Y1711,Sheet1!$B$6:$C$124,2,FALSE)</f>
        <v>0</v>
      </c>
      <c r="AA1711" s="146">
        <f t="shared" si="786"/>
        <v>0</v>
      </c>
      <c r="AB1711" s="143">
        <f t="shared" si="787"/>
        <v>1</v>
      </c>
      <c r="AC1711" s="133">
        <f t="shared" si="788"/>
        <v>1</v>
      </c>
      <c r="AD1711" s="142">
        <v>1</v>
      </c>
      <c r="AE1711" s="141"/>
      <c r="AF1711" s="121" t="s">
        <v>293</v>
      </c>
      <c r="AG1711" s="146">
        <f>VLOOKUP(Takeoffs!AF1711,Sheet1!$B$6:$C$124,2,FALSE)</f>
        <v>0</v>
      </c>
      <c r="AH1711" s="146">
        <f t="shared" si="789"/>
        <v>0</v>
      </c>
      <c r="AI1711" s="143">
        <f t="shared" si="790"/>
        <v>0</v>
      </c>
      <c r="AJ1711" s="133">
        <f t="shared" si="791"/>
        <v>1</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1</v>
      </c>
      <c r="T1712" s="120"/>
      <c r="U1712" s="121" t="s">
        <v>293</v>
      </c>
      <c r="V1712" s="133">
        <f t="shared" si="785"/>
        <v>1</v>
      </c>
      <c r="W1712" s="133">
        <f>VLOOKUP(U1712,Sheet1!$B$6:$C$45,2,FALSE)*V1712</f>
        <v>0</v>
      </c>
      <c r="X1712" s="141"/>
      <c r="Y1712" s="121" t="s">
        <v>293</v>
      </c>
      <c r="Z1712" s="146">
        <f>VLOOKUP(Takeoffs!Y1712,Sheet1!$B$6:$C$124,2,FALSE)</f>
        <v>0</v>
      </c>
      <c r="AA1712" s="146">
        <f t="shared" si="786"/>
        <v>0</v>
      </c>
      <c r="AB1712" s="143">
        <f t="shared" si="787"/>
        <v>1</v>
      </c>
      <c r="AC1712" s="133">
        <f t="shared" si="788"/>
        <v>1</v>
      </c>
      <c r="AD1712" s="142">
        <v>1</v>
      </c>
      <c r="AE1712" s="141"/>
      <c r="AF1712" s="121" t="s">
        <v>293</v>
      </c>
      <c r="AG1712" s="146">
        <f>VLOOKUP(Takeoffs!AF1712,Sheet1!$B$6:$C$124,2,FALSE)</f>
        <v>0</v>
      </c>
      <c r="AH1712" s="146">
        <f t="shared" si="789"/>
        <v>0</v>
      </c>
      <c r="AI1712" s="143">
        <f t="shared" si="790"/>
        <v>0</v>
      </c>
      <c r="AJ1712" s="133">
        <f t="shared" si="791"/>
        <v>1</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330</v>
      </c>
      <c r="P1713" s="121"/>
      <c r="Q1713" s="121"/>
      <c r="R1713" s="121"/>
      <c r="S1713" s="133">
        <f>M1705</f>
        <v>1</v>
      </c>
      <c r="T1713" s="120"/>
      <c r="U1713" s="121" t="s">
        <v>366</v>
      </c>
      <c r="V1713" s="133">
        <f t="shared" si="785"/>
        <v>1</v>
      </c>
      <c r="W1713" s="133">
        <f>VLOOKUP(U1713,Sheet1!$B$6:$C$45,2,FALSE)*V1713</f>
        <v>2</v>
      </c>
      <c r="X1713" s="141"/>
      <c r="Y1713" s="121" t="s">
        <v>293</v>
      </c>
      <c r="Z1713" s="146">
        <f>VLOOKUP(Takeoffs!Y1713,Sheet1!$B$6:$C$124,2,FALSE)</f>
        <v>0</v>
      </c>
      <c r="AA1713" s="146">
        <f t="shared" si="786"/>
        <v>0</v>
      </c>
      <c r="AB1713" s="143">
        <f t="shared" si="787"/>
        <v>1</v>
      </c>
      <c r="AC1713" s="133">
        <f t="shared" si="788"/>
        <v>1</v>
      </c>
      <c r="AD1713" s="142">
        <v>1</v>
      </c>
      <c r="AE1713" s="141"/>
      <c r="AF1713" s="121" t="s">
        <v>293</v>
      </c>
      <c r="AG1713" s="146">
        <f>VLOOKUP(Takeoffs!AF1713,Sheet1!$B$6:$C$124,2,FALSE)</f>
        <v>0</v>
      </c>
      <c r="AH1713" s="146">
        <f t="shared" si="789"/>
        <v>0</v>
      </c>
      <c r="AI1713" s="143">
        <f t="shared" si="790"/>
        <v>0</v>
      </c>
      <c r="AJ1713" s="133">
        <f t="shared" si="791"/>
        <v>1</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1</v>
      </c>
      <c r="T1714" s="120"/>
      <c r="U1714" s="121" t="s">
        <v>293</v>
      </c>
      <c r="V1714" s="133">
        <f t="shared" si="785"/>
        <v>1</v>
      </c>
      <c r="W1714" s="133">
        <f>VLOOKUP(U1714,Sheet1!$B$6:$C$45,2,FALSE)*V1714</f>
        <v>0</v>
      </c>
      <c r="X1714" s="141"/>
      <c r="Y1714" s="121" t="s">
        <v>293</v>
      </c>
      <c r="Z1714" s="146">
        <f>VLOOKUP(Takeoffs!Y1714,Sheet1!$B$6:$C$124,2,FALSE)</f>
        <v>0</v>
      </c>
      <c r="AA1714" s="146">
        <f t="shared" si="786"/>
        <v>0</v>
      </c>
      <c r="AB1714" s="143">
        <f t="shared" si="787"/>
        <v>1</v>
      </c>
      <c r="AC1714" s="133">
        <f t="shared" si="788"/>
        <v>1</v>
      </c>
      <c r="AD1714" s="142">
        <v>1</v>
      </c>
      <c r="AE1714" s="141"/>
      <c r="AF1714" s="121" t="s">
        <v>293</v>
      </c>
      <c r="AG1714" s="146">
        <f>VLOOKUP(Takeoffs!AF1714,Sheet1!$B$6:$C$124,2,FALSE)</f>
        <v>0</v>
      </c>
      <c r="AH1714" s="146">
        <f t="shared" si="789"/>
        <v>0</v>
      </c>
      <c r="AI1714" s="143">
        <f t="shared" si="790"/>
        <v>0</v>
      </c>
      <c r="AJ1714" s="133">
        <f t="shared" si="791"/>
        <v>1</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1</v>
      </c>
      <c r="T1715" s="120"/>
      <c r="U1715" s="121" t="s">
        <v>293</v>
      </c>
      <c r="V1715" s="133">
        <f t="shared" si="785"/>
        <v>1</v>
      </c>
      <c r="W1715" s="133">
        <f>VLOOKUP(U1715,Sheet1!$B$6:$C$45,2,FALSE)*V1715</f>
        <v>0</v>
      </c>
      <c r="X1715" s="141"/>
      <c r="Y1715" s="121" t="s">
        <v>293</v>
      </c>
      <c r="Z1715" s="146">
        <f>VLOOKUP(Takeoffs!Y1715,Sheet1!$B$6:$C$124,2,FALSE)</f>
        <v>0</v>
      </c>
      <c r="AA1715" s="146">
        <f t="shared" si="786"/>
        <v>0</v>
      </c>
      <c r="AB1715" s="143">
        <f t="shared" si="787"/>
        <v>1</v>
      </c>
      <c r="AC1715" s="133">
        <f t="shared" si="788"/>
        <v>1</v>
      </c>
      <c r="AD1715" s="142">
        <v>1</v>
      </c>
      <c r="AE1715" s="141"/>
      <c r="AF1715" s="121" t="s">
        <v>293</v>
      </c>
      <c r="AG1715" s="146">
        <f>VLOOKUP(Takeoffs!AF1715,Sheet1!$B$6:$C$124,2,FALSE)</f>
        <v>0</v>
      </c>
      <c r="AH1715" s="146">
        <f t="shared" si="789"/>
        <v>0</v>
      </c>
      <c r="AI1715" s="143">
        <f t="shared" si="790"/>
        <v>0</v>
      </c>
      <c r="AJ1715" s="133">
        <f t="shared" si="791"/>
        <v>1</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1</v>
      </c>
      <c r="T1716" s="120"/>
      <c r="U1716" s="121" t="s">
        <v>293</v>
      </c>
      <c r="V1716" s="133">
        <f t="shared" si="785"/>
        <v>1</v>
      </c>
      <c r="W1716" s="133">
        <f>VLOOKUP(U1716,Sheet1!$B$6:$C$45,2,FALSE)*V1716</f>
        <v>0</v>
      </c>
      <c r="X1716" s="141"/>
      <c r="Y1716" s="121" t="s">
        <v>293</v>
      </c>
      <c r="Z1716" s="146">
        <f>VLOOKUP(Takeoffs!Y1716,Sheet1!$B$6:$C$124,2,FALSE)</f>
        <v>0</v>
      </c>
      <c r="AA1716" s="146">
        <f t="shared" si="786"/>
        <v>0</v>
      </c>
      <c r="AB1716" s="143">
        <f t="shared" si="787"/>
        <v>1</v>
      </c>
      <c r="AC1716" s="133">
        <f t="shared" si="788"/>
        <v>1</v>
      </c>
      <c r="AD1716" s="142">
        <v>1</v>
      </c>
      <c r="AE1716" s="141"/>
      <c r="AF1716" s="121" t="s">
        <v>293</v>
      </c>
      <c r="AG1716" s="146">
        <f>VLOOKUP(Takeoffs!AF1716,Sheet1!$B$6:$C$124,2,FALSE)</f>
        <v>0</v>
      </c>
      <c r="AH1716" s="146">
        <f t="shared" si="789"/>
        <v>0</v>
      </c>
      <c r="AI1716" s="143">
        <f t="shared" si="790"/>
        <v>0</v>
      </c>
      <c r="AJ1716" s="133">
        <f t="shared" si="791"/>
        <v>1</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1</v>
      </c>
      <c r="T1717" s="120"/>
      <c r="U1717" s="121" t="s">
        <v>293</v>
      </c>
      <c r="V1717" s="133">
        <f t="shared" si="785"/>
        <v>1</v>
      </c>
      <c r="W1717" s="133">
        <f>VLOOKUP(U1717,Sheet1!$B$6:$C$45,2,FALSE)*V1717</f>
        <v>0</v>
      </c>
      <c r="X1717" s="141"/>
      <c r="Y1717" s="121" t="s">
        <v>293</v>
      </c>
      <c r="Z1717" s="146">
        <f>VLOOKUP(Takeoffs!Y1717,Sheet1!$B$6:$C$124,2,FALSE)</f>
        <v>0</v>
      </c>
      <c r="AA1717" s="146">
        <f t="shared" si="786"/>
        <v>0</v>
      </c>
      <c r="AB1717" s="143">
        <f t="shared" si="787"/>
        <v>1</v>
      </c>
      <c r="AC1717" s="133">
        <f t="shared" si="788"/>
        <v>1</v>
      </c>
      <c r="AD1717" s="142">
        <v>1</v>
      </c>
      <c r="AE1717" s="141"/>
      <c r="AF1717" s="152" t="s">
        <v>420</v>
      </c>
      <c r="AG1717" s="146">
        <f>VLOOKUP(Takeoffs!AF1717,Sheet1!$B$6:$C$124,2,FALSE)</f>
        <v>0.33600000000000002</v>
      </c>
      <c r="AH1717" s="146">
        <f t="shared" si="789"/>
        <v>0.33600000000000002</v>
      </c>
      <c r="AI1717" s="143">
        <f t="shared" si="790"/>
        <v>1</v>
      </c>
      <c r="AJ1717" s="133">
        <f t="shared" si="791"/>
        <v>1</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1</v>
      </c>
      <c r="T1718" s="120"/>
      <c r="U1718" s="121" t="s">
        <v>232</v>
      </c>
      <c r="V1718" s="133">
        <f t="shared" si="785"/>
        <v>1</v>
      </c>
      <c r="W1718" s="133">
        <f>VLOOKUP(U1718,Sheet1!$B$6:$C$45,2,FALSE)*V1718</f>
        <v>1</v>
      </c>
      <c r="X1718" s="141"/>
      <c r="Y1718" s="122" t="s">
        <v>281</v>
      </c>
      <c r="Z1718" s="146">
        <f>VLOOKUP(Takeoffs!Y1718,Sheet1!$B$6:$C$124,2,FALSE)</f>
        <v>109.25999999999999</v>
      </c>
      <c r="AA1718" s="146">
        <f t="shared" si="786"/>
        <v>109.25999999999999</v>
      </c>
      <c r="AB1718" s="143">
        <f t="shared" si="787"/>
        <v>1</v>
      </c>
      <c r="AC1718" s="133">
        <f t="shared" si="788"/>
        <v>1</v>
      </c>
      <c r="AD1718" s="142">
        <v>1</v>
      </c>
      <c r="AE1718" s="141"/>
      <c r="AF1718" s="121" t="s">
        <v>293</v>
      </c>
      <c r="AG1718" s="146">
        <f>VLOOKUP(Takeoffs!AF1718,Sheet1!$B$6:$C$124,2,FALSE)</f>
        <v>0</v>
      </c>
      <c r="AH1718" s="146">
        <f t="shared" si="789"/>
        <v>0</v>
      </c>
      <c r="AI1718" s="143">
        <f t="shared" si="790"/>
        <v>0</v>
      </c>
      <c r="AJ1718" s="133">
        <f t="shared" si="791"/>
        <v>1</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1</v>
      </c>
      <c r="T1719" s="120"/>
      <c r="U1719" s="121" t="s">
        <v>293</v>
      </c>
      <c r="V1719" s="133">
        <f t="shared" si="785"/>
        <v>1</v>
      </c>
      <c r="W1719" s="133">
        <f>VLOOKUP(U1719,Sheet1!$B$6:$C$45,2,FALSE)*V1719</f>
        <v>0</v>
      </c>
      <c r="X1719" s="141"/>
      <c r="Y1719" s="121" t="s">
        <v>293</v>
      </c>
      <c r="Z1719" s="146">
        <f>VLOOKUP(Takeoffs!Y1719,Sheet1!$B$6:$C$124,2,FALSE)</f>
        <v>0</v>
      </c>
      <c r="AA1719" s="146">
        <f t="shared" si="786"/>
        <v>0</v>
      </c>
      <c r="AB1719" s="143">
        <f t="shared" si="787"/>
        <v>1</v>
      </c>
      <c r="AC1719" s="133">
        <f t="shared" si="788"/>
        <v>1</v>
      </c>
      <c r="AD1719" s="142">
        <v>1</v>
      </c>
      <c r="AE1719" s="141"/>
      <c r="AF1719" s="121" t="s">
        <v>293</v>
      </c>
      <c r="AG1719" s="146">
        <f>VLOOKUP(Takeoffs!AF1719,Sheet1!$B$6:$C$124,2,FALSE)</f>
        <v>0</v>
      </c>
      <c r="AH1719" s="146">
        <f t="shared" si="789"/>
        <v>0</v>
      </c>
      <c r="AI1719" s="143">
        <f t="shared" si="790"/>
        <v>0</v>
      </c>
      <c r="AJ1719" s="133">
        <f t="shared" si="791"/>
        <v>1</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339</v>
      </c>
      <c r="P1720" s="121"/>
      <c r="Q1720" s="121"/>
      <c r="R1720" s="121" t="s">
        <v>333</v>
      </c>
      <c r="S1720" s="133">
        <f>M1705</f>
        <v>1</v>
      </c>
      <c r="T1720" s="120"/>
      <c r="U1720" s="121" t="s">
        <v>293</v>
      </c>
      <c r="V1720" s="133">
        <f t="shared" si="785"/>
        <v>1</v>
      </c>
      <c r="W1720" s="133">
        <f>VLOOKUP(U1720,Sheet1!$B$6:$C$45,2,FALSE)*V1720</f>
        <v>0</v>
      </c>
      <c r="X1720" s="141"/>
      <c r="Y1720" s="122" t="s">
        <v>280</v>
      </c>
      <c r="Z1720" s="146">
        <f>VLOOKUP(Takeoffs!Y1720,Sheet1!$B$6:$C$124,2,FALSE)</f>
        <v>19.2</v>
      </c>
      <c r="AA1720" s="146">
        <f t="shared" si="786"/>
        <v>38.4</v>
      </c>
      <c r="AB1720" s="143">
        <f t="shared" si="787"/>
        <v>2</v>
      </c>
      <c r="AC1720" s="133">
        <f t="shared" si="788"/>
        <v>1</v>
      </c>
      <c r="AD1720" s="142">
        <v>2</v>
      </c>
      <c r="AE1720" s="141"/>
      <c r="AF1720" s="121" t="s">
        <v>293</v>
      </c>
      <c r="AG1720" s="146">
        <f>VLOOKUP(Takeoffs!AF1720,Sheet1!$B$6:$C$124,2,FALSE)</f>
        <v>0</v>
      </c>
      <c r="AH1720" s="146">
        <f t="shared" si="789"/>
        <v>0</v>
      </c>
      <c r="AI1720" s="143">
        <f t="shared" si="790"/>
        <v>0</v>
      </c>
      <c r="AJ1720" s="133">
        <f t="shared" si="791"/>
        <v>1</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511</v>
      </c>
      <c r="P1721" s="121"/>
      <c r="Q1721" s="121"/>
      <c r="R1721" s="121"/>
      <c r="S1721" s="133">
        <f>M1705</f>
        <v>1</v>
      </c>
      <c r="T1721" s="120"/>
      <c r="U1721" s="121" t="s">
        <v>293</v>
      </c>
      <c r="V1721" s="133">
        <f t="shared" si="785"/>
        <v>1</v>
      </c>
      <c r="W1721" s="133">
        <f>VLOOKUP(U1721,Sheet1!$B$6:$C$45,2,FALSE)*V1721</f>
        <v>0</v>
      </c>
      <c r="X1721" s="141"/>
      <c r="Y1721" s="135" t="s">
        <v>424</v>
      </c>
      <c r="Z1721" s="146">
        <f>VLOOKUP(Takeoffs!Y1721,Sheet1!$B$6:$C$124,2,FALSE)</f>
        <v>23.4</v>
      </c>
      <c r="AA1721" s="146">
        <f t="shared" si="786"/>
        <v>23.4</v>
      </c>
      <c r="AB1721" s="143">
        <f t="shared" si="787"/>
        <v>1</v>
      </c>
      <c r="AC1721" s="133">
        <f t="shared" si="788"/>
        <v>1</v>
      </c>
      <c r="AD1721" s="142">
        <v>1</v>
      </c>
      <c r="AE1721" s="141"/>
      <c r="AF1721" s="121" t="s">
        <v>293</v>
      </c>
      <c r="AG1721" s="146">
        <f>VLOOKUP(Takeoffs!AF1721,Sheet1!$B$6:$C$124,2,FALSE)</f>
        <v>0</v>
      </c>
      <c r="AH1721" s="146">
        <f t="shared" si="789"/>
        <v>0</v>
      </c>
      <c r="AI1721" s="143">
        <f t="shared" si="790"/>
        <v>0</v>
      </c>
      <c r="AJ1721" s="133">
        <f t="shared" si="791"/>
        <v>1</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331</v>
      </c>
      <c r="P1722" s="121"/>
      <c r="Q1722" s="121"/>
      <c r="R1722" s="121" t="s">
        <v>305</v>
      </c>
      <c r="S1722" s="133">
        <f>M1705</f>
        <v>1</v>
      </c>
      <c r="T1722" s="120"/>
      <c r="U1722" s="121" t="s">
        <v>293</v>
      </c>
      <c r="V1722" s="133">
        <f t="shared" si="785"/>
        <v>1</v>
      </c>
      <c r="W1722" s="133">
        <f>VLOOKUP(U1722,Sheet1!$B$6:$C$45,2,FALSE)*V1722</f>
        <v>0</v>
      </c>
      <c r="X1722" s="141"/>
      <c r="Y1722" s="122" t="s">
        <v>277</v>
      </c>
      <c r="Z1722" s="146">
        <f>VLOOKUP(Takeoffs!Y1722,Sheet1!$B$6:$C$124,2,FALSE)</f>
        <v>69.540000000000006</v>
      </c>
      <c r="AA1722" s="146">
        <f t="shared" si="786"/>
        <v>69.540000000000006</v>
      </c>
      <c r="AB1722" s="143">
        <f t="shared" si="787"/>
        <v>1</v>
      </c>
      <c r="AC1722" s="133">
        <f t="shared" si="788"/>
        <v>1</v>
      </c>
      <c r="AD1722" s="142">
        <v>1</v>
      </c>
      <c r="AE1722" s="141"/>
      <c r="AF1722" s="121" t="s">
        <v>293</v>
      </c>
      <c r="AG1722" s="146">
        <f>VLOOKUP(Takeoffs!AF1722,Sheet1!$B$6:$C$124,2,FALSE)</f>
        <v>0</v>
      </c>
      <c r="AH1722" s="146">
        <f t="shared" si="789"/>
        <v>0</v>
      </c>
      <c r="AI1722" s="143">
        <f t="shared" si="790"/>
        <v>0</v>
      </c>
      <c r="AJ1722" s="133">
        <f t="shared" si="791"/>
        <v>1</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503</v>
      </c>
      <c r="P1723" s="121"/>
      <c r="Q1723" s="121"/>
      <c r="R1723" s="121"/>
      <c r="S1723" s="133">
        <f>M1705</f>
        <v>1</v>
      </c>
      <c r="T1723" s="120"/>
      <c r="U1723" s="121" t="s">
        <v>293</v>
      </c>
      <c r="V1723" s="133">
        <f t="shared" si="785"/>
        <v>1</v>
      </c>
      <c r="W1723" s="133">
        <f>VLOOKUP(U1723,Sheet1!$B$6:$C$45,2,FALSE)*V1723</f>
        <v>0</v>
      </c>
      <c r="X1723" s="141"/>
      <c r="Y1723" s="121" t="s">
        <v>293</v>
      </c>
      <c r="Z1723" s="146">
        <f>VLOOKUP(Takeoffs!Y1723,Sheet1!$B$6:$C$124,2,FALSE)</f>
        <v>0</v>
      </c>
      <c r="AA1723" s="146">
        <f t="shared" si="786"/>
        <v>0</v>
      </c>
      <c r="AB1723" s="143">
        <f t="shared" si="787"/>
        <v>1</v>
      </c>
      <c r="AC1723" s="133">
        <f t="shared" si="788"/>
        <v>1</v>
      </c>
      <c r="AD1723" s="142">
        <v>1</v>
      </c>
      <c r="AE1723" s="141"/>
      <c r="AF1723" s="121" t="s">
        <v>293</v>
      </c>
      <c r="AG1723" s="146">
        <f>VLOOKUP(Takeoffs!AF1723,Sheet1!$B$6:$C$124,2,FALSE)</f>
        <v>0</v>
      </c>
      <c r="AH1723" s="146">
        <f t="shared" si="789"/>
        <v>0</v>
      </c>
      <c r="AI1723" s="143">
        <f t="shared" si="790"/>
        <v>0</v>
      </c>
      <c r="AJ1723" s="133">
        <f t="shared" si="791"/>
        <v>1</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409</v>
      </c>
      <c r="P1724" s="121"/>
      <c r="Q1724" s="121"/>
      <c r="R1724" s="121"/>
      <c r="S1724" s="133">
        <f>M1705</f>
        <v>1</v>
      </c>
      <c r="T1724" s="120"/>
      <c r="U1724" s="121" t="s">
        <v>293</v>
      </c>
      <c r="V1724" s="133">
        <f t="shared" si="785"/>
        <v>1</v>
      </c>
      <c r="W1724" s="133">
        <f>VLOOKUP(U1724,Sheet1!$B$6:$C$45,2,FALSE)*V1724</f>
        <v>0</v>
      </c>
      <c r="X1724" s="141"/>
      <c r="Y1724" s="121" t="s">
        <v>274</v>
      </c>
      <c r="Z1724" s="146">
        <f>VLOOKUP(Takeoffs!Y1724,Sheet1!$B$6:$C$124,2,FALSE)</f>
        <v>360</v>
      </c>
      <c r="AA1724" s="146">
        <f t="shared" si="786"/>
        <v>360</v>
      </c>
      <c r="AB1724" s="143">
        <f t="shared" si="787"/>
        <v>1</v>
      </c>
      <c r="AC1724" s="133">
        <f t="shared" si="788"/>
        <v>1</v>
      </c>
      <c r="AD1724" s="142">
        <v>1</v>
      </c>
      <c r="AE1724" s="141"/>
      <c r="AF1724" s="121" t="s">
        <v>293</v>
      </c>
      <c r="AG1724" s="146">
        <f>VLOOKUP(Takeoffs!AF1724,Sheet1!$B$6:$C$124,2,FALSE)</f>
        <v>0</v>
      </c>
      <c r="AH1724" s="146">
        <f t="shared" si="789"/>
        <v>0</v>
      </c>
      <c r="AI1724" s="143">
        <f t="shared" si="790"/>
        <v>0</v>
      </c>
      <c r="AJ1724" s="133">
        <f t="shared" si="791"/>
        <v>1</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410</v>
      </c>
      <c r="P1725" s="121"/>
      <c r="Q1725" s="121"/>
      <c r="R1725" s="121"/>
      <c r="S1725" s="133">
        <f>M1705</f>
        <v>1</v>
      </c>
      <c r="T1725" s="120"/>
      <c r="U1725" s="121" t="s">
        <v>364</v>
      </c>
      <c r="V1725" s="133">
        <f t="shared" si="785"/>
        <v>1</v>
      </c>
      <c r="W1725" s="133">
        <f>VLOOKUP(U1725,Sheet1!$B$6:$C$45,2,FALSE)*V1725</f>
        <v>1</v>
      </c>
      <c r="X1725" s="141"/>
      <c r="Y1725" s="121" t="s">
        <v>293</v>
      </c>
      <c r="Z1725" s="146">
        <f>VLOOKUP(Takeoffs!Y1725,Sheet1!$B$6:$C$124,2,FALSE)</f>
        <v>0</v>
      </c>
      <c r="AA1725" s="146">
        <f t="shared" si="786"/>
        <v>0</v>
      </c>
      <c r="AB1725" s="143">
        <f t="shared" si="787"/>
        <v>1</v>
      </c>
      <c r="AC1725" s="133">
        <f t="shared" si="788"/>
        <v>1</v>
      </c>
      <c r="AD1725" s="142">
        <v>1</v>
      </c>
      <c r="AE1725" s="141"/>
      <c r="AF1725" s="121" t="s">
        <v>293</v>
      </c>
      <c r="AG1725" s="146">
        <f>VLOOKUP(Takeoffs!AF1725,Sheet1!$B$6:$C$124,2,FALSE)</f>
        <v>0</v>
      </c>
      <c r="AH1725" s="146">
        <f t="shared" si="789"/>
        <v>0</v>
      </c>
      <c r="AI1725" s="143">
        <f t="shared" si="790"/>
        <v>0</v>
      </c>
      <c r="AJ1725" s="133">
        <f t="shared" si="791"/>
        <v>1</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379</v>
      </c>
      <c r="L1726" s="128" t="s">
        <v>380</v>
      </c>
      <c r="N1726" s="129"/>
      <c r="O1726" s="130" t="s">
        <v>359</v>
      </c>
      <c r="P1726" s="131">
        <f>V1726+AA1726+AH1726</f>
        <v>2133.7559999999999</v>
      </c>
      <c r="Q1726" s="131"/>
      <c r="R1726" s="131"/>
      <c r="S1726" s="130"/>
      <c r="T1726" s="127"/>
      <c r="U1726" s="126" t="s">
        <v>353</v>
      </c>
      <c r="V1726" s="127">
        <f>W1726*80</f>
        <v>600</v>
      </c>
      <c r="W1726" s="147">
        <f>SUM(W1705:W1725)</f>
        <v>7.5</v>
      </c>
      <c r="X1726" s="148"/>
      <c r="Y1726" s="127" t="s">
        <v>354</v>
      </c>
      <c r="Z1726" s="116"/>
      <c r="AA1726" s="116">
        <f>SUM(AA1705:AA1725)</f>
        <v>1509.96</v>
      </c>
      <c r="AB1726" s="149"/>
      <c r="AC1726" s="149"/>
      <c r="AD1726" s="149"/>
      <c r="AE1726" s="149"/>
      <c r="AF1726" s="127" t="s">
        <v>358</v>
      </c>
      <c r="AG1726" s="116"/>
      <c r="AH1726" s="116">
        <f>SUM(AH1705:AH1725)</f>
        <v>23.795999999999996</v>
      </c>
      <c r="AI1726" s="149"/>
      <c r="AJ1726" s="149"/>
      <c r="AK1726" s="149"/>
      <c r="AL1726" s="149"/>
      <c r="AM1726" s="150">
        <f>P1726</f>
        <v>2133.7559999999999</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494</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v>1</v>
      </c>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one (1)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2133.7559999999999</v>
      </c>
      <c r="L1727" s="234" t="str">
        <f>CONCATENATE(Q1706,Q1707,Q1708,Q1709,Q1710,Q1711,Q1712,Q1713,Q1714,Q1715,Q1716,Q1717,Q1718,Q1719,Q1720,Q1721,Q1722,Q1723,Q1724,Q1725,)</f>
        <v/>
      </c>
      <c r="M1727" s="166" t="s">
        <v>369</v>
      </c>
      <c r="N1727" s="160" t="str">
        <f>N1705</f>
        <v>Small VSD pump - from MSSB power supply and BMS interface provisions</v>
      </c>
      <c r="O1727" s="160" t="s">
        <v>367</v>
      </c>
      <c r="P1727" s="64">
        <f>P1726/M1705</f>
        <v>2133.7559999999999</v>
      </c>
      <c r="Q1727" s="161"/>
      <c r="R1727" s="161"/>
      <c r="S1727" s="160"/>
      <c r="T1727" s="161"/>
      <c r="U1727" s="327" t="s">
        <v>368</v>
      </c>
      <c r="V1727" s="327"/>
      <c r="W1727" s="162">
        <f>W1726/M1705</f>
        <v>7.5</v>
      </c>
      <c r="X1727" s="163"/>
      <c r="Y1727" s="325" t="s">
        <v>367</v>
      </c>
      <c r="Z1727" s="325"/>
      <c r="AA1727" s="164">
        <f>AA1726/M1705</f>
        <v>1509.96</v>
      </c>
      <c r="AB1727" s="161"/>
      <c r="AC1727" s="161"/>
      <c r="AD1727" s="161"/>
      <c r="AE1727" s="161"/>
      <c r="AF1727" s="325" t="s">
        <v>367</v>
      </c>
      <c r="AG1727" s="325"/>
      <c r="AH1727" s="164">
        <f>AH1726/M1705</f>
        <v>23.795999999999996</v>
      </c>
      <c r="AI1727" s="161"/>
      <c r="AJ1727" s="161"/>
      <c r="AK1727" s="161"/>
      <c r="AL1727" s="247"/>
      <c r="AM1727" s="257"/>
      <c r="AN1727" s="236">
        <f>K1727*1.25</f>
        <v>2667.1949999999997</v>
      </c>
      <c r="AO1727" s="286"/>
      <c r="AP1727" s="284">
        <f t="shared" si="780"/>
        <v>2133.7559999999999</v>
      </c>
      <c r="AQ1727" s="281">
        <f t="shared" si="781"/>
        <v>600</v>
      </c>
      <c r="AR1727" s="284">
        <f t="shared" si="782"/>
        <v>1509.96</v>
      </c>
      <c r="AS1727" s="281">
        <f t="shared" si="783"/>
        <v>23.795999999999996</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454</v>
      </c>
      <c r="M1728" s="116" t="s">
        <v>107</v>
      </c>
      <c r="N1728" s="116" t="s">
        <v>108</v>
      </c>
      <c r="O1728" s="170" t="s">
        <v>388</v>
      </c>
      <c r="P1728" s="326" t="s">
        <v>377</v>
      </c>
      <c r="Q1728" s="326"/>
      <c r="R1728" s="101" t="s">
        <v>454</v>
      </c>
      <c r="S1728" s="116" t="s">
        <v>0</v>
      </c>
      <c r="T1728" s="118"/>
      <c r="U1728" s="116" t="s">
        <v>288</v>
      </c>
      <c r="V1728" s="116" t="s">
        <v>289</v>
      </c>
      <c r="W1728" s="116" t="s">
        <v>292</v>
      </c>
      <c r="X1728" s="140"/>
      <c r="Y1728" s="116" t="s">
        <v>290</v>
      </c>
      <c r="Z1728" s="116" t="s">
        <v>356</v>
      </c>
      <c r="AA1728" s="116" t="s">
        <v>357</v>
      </c>
      <c r="AB1728" s="116" t="s">
        <v>319</v>
      </c>
      <c r="AC1728" s="116" t="s">
        <v>320</v>
      </c>
      <c r="AD1728" s="116" t="s">
        <v>318</v>
      </c>
      <c r="AE1728" s="140"/>
      <c r="AF1728" s="116" t="s">
        <v>294</v>
      </c>
      <c r="AG1728" s="116" t="s">
        <v>356</v>
      </c>
      <c r="AH1728" s="116" t="s">
        <v>357</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one</v>
      </c>
      <c r="M1729" s="121">
        <f>I1751</f>
        <v>1</v>
      </c>
      <c r="N1729" s="132" t="s">
        <v>563</v>
      </c>
      <c r="O1729" s="121" t="s">
        <v>491</v>
      </c>
      <c r="P1729" s="169" t="s">
        <v>381</v>
      </c>
      <c r="Q1729" s="169" t="s">
        <v>377</v>
      </c>
      <c r="R1729" s="169"/>
      <c r="S1729" s="133">
        <f>M1729</f>
        <v>1</v>
      </c>
      <c r="T1729" s="119"/>
      <c r="U1729" s="121" t="s">
        <v>293</v>
      </c>
      <c r="V1729" s="133">
        <f>S1729</f>
        <v>1</v>
      </c>
      <c r="W1729" s="133">
        <f>VLOOKUP(U1729,Sheet1!$B$6:$C$45,2,FALSE)*V1729</f>
        <v>0</v>
      </c>
      <c r="X1729" s="141"/>
      <c r="Y1729" s="121" t="s">
        <v>293</v>
      </c>
      <c r="Z1729" s="146">
        <f>VLOOKUP(Takeoffs!Y1729,Sheet1!$B$6:$C$124,2,FALSE)</f>
        <v>0</v>
      </c>
      <c r="AA1729" s="146">
        <f>Z1729*AB1729</f>
        <v>0</v>
      </c>
      <c r="AB1729" s="143">
        <f>AD1729*AC1729</f>
        <v>1</v>
      </c>
      <c r="AC1729" s="133">
        <f>S1729</f>
        <v>1</v>
      </c>
      <c r="AD1729" s="142">
        <v>1</v>
      </c>
      <c r="AE1729" s="141"/>
      <c r="AF1729" s="121" t="s">
        <v>293</v>
      </c>
      <c r="AG1729" s="146">
        <f>VLOOKUP(Takeoffs!AF1729,Sheet1!$B$6:$C$124,2,FALSE)</f>
        <v>0</v>
      </c>
      <c r="AH1729" s="146">
        <f>AG1729*AI1729</f>
        <v>0</v>
      </c>
      <c r="AI1729" s="143">
        <f>AK1729*AJ1729</f>
        <v>0</v>
      </c>
      <c r="AJ1729" s="133">
        <f>S1729</f>
        <v>1</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342</v>
      </c>
      <c r="P1730" s="121"/>
      <c r="Q1730" s="121"/>
      <c r="R1730" s="121"/>
      <c r="S1730" s="133">
        <f>M1729</f>
        <v>1</v>
      </c>
      <c r="T1730" s="120"/>
      <c r="U1730" s="121" t="s">
        <v>293</v>
      </c>
      <c r="V1730" s="133">
        <f t="shared" ref="V1730:V1749" si="794">S1730</f>
        <v>1</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1</v>
      </c>
      <c r="AC1730" s="133">
        <f t="shared" ref="AC1730:AC1749" si="797">S1730</f>
        <v>1</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1</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1</v>
      </c>
      <c r="T1731" s="120"/>
      <c r="U1731" s="121" t="s">
        <v>293</v>
      </c>
      <c r="V1731" s="133">
        <f t="shared" si="794"/>
        <v>1</v>
      </c>
      <c r="W1731" s="133">
        <f>VLOOKUP(U1731,Sheet1!$B$6:$C$45,2,FALSE)*V1731</f>
        <v>0</v>
      </c>
      <c r="X1731" s="141"/>
      <c r="Y1731" s="122" t="s">
        <v>252</v>
      </c>
      <c r="Z1731" s="146">
        <f>VLOOKUP(Takeoffs!Y1731,Sheet1!$B$6:$C$124,2,FALSE)</f>
        <v>43.440000000000005</v>
      </c>
      <c r="AA1731" s="146">
        <f t="shared" si="795"/>
        <v>43.440000000000005</v>
      </c>
      <c r="AB1731" s="143">
        <f t="shared" si="796"/>
        <v>1</v>
      </c>
      <c r="AC1731" s="133">
        <f t="shared" si="797"/>
        <v>1</v>
      </c>
      <c r="AD1731" s="142">
        <v>1</v>
      </c>
      <c r="AE1731" s="141"/>
      <c r="AF1731" s="122" t="s">
        <v>268</v>
      </c>
      <c r="AG1731" s="146">
        <f>VLOOKUP(Takeoffs!AF1731,Sheet1!$B$6:$C$124,2,FALSE)</f>
        <v>1.02</v>
      </c>
      <c r="AH1731" s="146">
        <f t="shared" si="798"/>
        <v>20.399999999999999</v>
      </c>
      <c r="AI1731" s="143">
        <f t="shared" si="799"/>
        <v>20</v>
      </c>
      <c r="AJ1731" s="133">
        <f t="shared" si="800"/>
        <v>1</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1</v>
      </c>
      <c r="T1732" s="120"/>
      <c r="U1732" s="117" t="s">
        <v>481</v>
      </c>
      <c r="V1732" s="133">
        <f t="shared" si="794"/>
        <v>1</v>
      </c>
      <c r="W1732" s="133">
        <f>VLOOKUP(U1732,Sheet1!$B$6:$C$45,2,FALSE)*V1732</f>
        <v>2</v>
      </c>
      <c r="X1732" s="141"/>
      <c r="Y1732" s="121" t="s">
        <v>293</v>
      </c>
      <c r="Z1732" s="146">
        <f>VLOOKUP(Takeoffs!Y1732,Sheet1!$B$6:$C$124,2,FALSE)</f>
        <v>0</v>
      </c>
      <c r="AA1732" s="146">
        <f t="shared" si="795"/>
        <v>0</v>
      </c>
      <c r="AB1732" s="143">
        <f t="shared" si="796"/>
        <v>1</v>
      </c>
      <c r="AC1732" s="133">
        <f t="shared" si="797"/>
        <v>1</v>
      </c>
      <c r="AD1732" s="142">
        <v>1</v>
      </c>
      <c r="AE1732" s="141"/>
      <c r="AF1732" s="121" t="s">
        <v>293</v>
      </c>
      <c r="AG1732" s="146">
        <f>VLOOKUP(Takeoffs!AF1732,Sheet1!$B$6:$C$124,2,FALSE)</f>
        <v>0</v>
      </c>
      <c r="AH1732" s="146">
        <f t="shared" si="798"/>
        <v>0</v>
      </c>
      <c r="AI1732" s="143">
        <f t="shared" si="799"/>
        <v>0</v>
      </c>
      <c r="AJ1732" s="133">
        <f t="shared" si="800"/>
        <v>1</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325</v>
      </c>
      <c r="P1733" s="121"/>
      <c r="Q1733" s="121"/>
      <c r="R1733" s="121"/>
      <c r="S1733" s="133">
        <f>M1729</f>
        <v>1</v>
      </c>
      <c r="T1733" s="120"/>
      <c r="U1733" s="135" t="s">
        <v>233</v>
      </c>
      <c r="V1733" s="133">
        <f t="shared" si="794"/>
        <v>1</v>
      </c>
      <c r="W1733" s="133">
        <f>VLOOKUP(U1733,Sheet1!$B$6:$C$45,2,FALSE)*V1733</f>
        <v>1</v>
      </c>
      <c r="X1733" s="141"/>
      <c r="Y1733" s="121" t="s">
        <v>293</v>
      </c>
      <c r="Z1733" s="146">
        <f>VLOOKUP(Takeoffs!Y1733,Sheet1!$B$6:$C$124,2,FALSE)</f>
        <v>0</v>
      </c>
      <c r="AA1733" s="146">
        <f t="shared" si="795"/>
        <v>0</v>
      </c>
      <c r="AB1733" s="143">
        <f t="shared" si="796"/>
        <v>1</v>
      </c>
      <c r="AC1733" s="133">
        <f t="shared" si="797"/>
        <v>1</v>
      </c>
      <c r="AD1733" s="142">
        <v>1</v>
      </c>
      <c r="AE1733" s="141"/>
      <c r="AF1733" s="121" t="s">
        <v>293</v>
      </c>
      <c r="AG1733" s="146">
        <f>VLOOKUP(Takeoffs!AF1733,Sheet1!$B$6:$C$124,2,FALSE)</f>
        <v>0</v>
      </c>
      <c r="AH1733" s="146">
        <f t="shared" si="798"/>
        <v>0</v>
      </c>
      <c r="AI1733" s="143">
        <f t="shared" si="799"/>
        <v>0</v>
      </c>
      <c r="AJ1733" s="133">
        <f t="shared" si="800"/>
        <v>1</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392</v>
      </c>
      <c r="P1734" s="121"/>
      <c r="Q1734" s="121"/>
      <c r="R1734" s="121"/>
      <c r="S1734" s="133">
        <f>M1729</f>
        <v>1</v>
      </c>
      <c r="T1734" s="120"/>
      <c r="U1734" s="121" t="s">
        <v>293</v>
      </c>
      <c r="V1734" s="133">
        <f t="shared" si="794"/>
        <v>1</v>
      </c>
      <c r="W1734" s="133">
        <f>VLOOKUP(U1734,Sheet1!$B$6:$C$45,2,FALSE)*V1734</f>
        <v>0</v>
      </c>
      <c r="X1734" s="141"/>
      <c r="Y1734" s="121" t="s">
        <v>293</v>
      </c>
      <c r="Z1734" s="146">
        <f>VLOOKUP(Takeoffs!Y1734,Sheet1!$B$6:$C$124,2,FALSE)</f>
        <v>0</v>
      </c>
      <c r="AA1734" s="146">
        <f t="shared" si="795"/>
        <v>0</v>
      </c>
      <c r="AB1734" s="143">
        <f t="shared" si="796"/>
        <v>1</v>
      </c>
      <c r="AC1734" s="133">
        <f t="shared" si="797"/>
        <v>1</v>
      </c>
      <c r="AD1734" s="142">
        <v>1</v>
      </c>
      <c r="AE1734" s="141"/>
      <c r="AF1734" s="122" t="s">
        <v>268</v>
      </c>
      <c r="AG1734" s="146">
        <f>VLOOKUP(Takeoffs!AF1734,Sheet1!$B$6:$C$124,2,FALSE)</f>
        <v>1.02</v>
      </c>
      <c r="AH1734" s="146">
        <f t="shared" si="798"/>
        <v>3.06</v>
      </c>
      <c r="AI1734" s="143">
        <f t="shared" si="799"/>
        <v>3</v>
      </c>
      <c r="AJ1734" s="133">
        <f t="shared" si="800"/>
        <v>1</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1</v>
      </c>
      <c r="T1735" s="120"/>
      <c r="U1735" s="121" t="s">
        <v>293</v>
      </c>
      <c r="V1735" s="133">
        <f t="shared" si="794"/>
        <v>1</v>
      </c>
      <c r="W1735" s="133">
        <f>VLOOKUP(U1735,Sheet1!$B$6:$C$45,2,FALSE)*V1735</f>
        <v>0</v>
      </c>
      <c r="X1735" s="141"/>
      <c r="Y1735" s="121" t="s">
        <v>293</v>
      </c>
      <c r="Z1735" s="146">
        <f>VLOOKUP(Takeoffs!Y1735,Sheet1!$B$6:$C$124,2,FALSE)</f>
        <v>0</v>
      </c>
      <c r="AA1735" s="146">
        <f t="shared" si="795"/>
        <v>0</v>
      </c>
      <c r="AB1735" s="143">
        <f t="shared" si="796"/>
        <v>1</v>
      </c>
      <c r="AC1735" s="133">
        <f t="shared" si="797"/>
        <v>1</v>
      </c>
      <c r="AD1735" s="142">
        <v>1</v>
      </c>
      <c r="AE1735" s="141"/>
      <c r="AF1735" s="121" t="s">
        <v>293</v>
      </c>
      <c r="AG1735" s="146">
        <f>VLOOKUP(Takeoffs!AF1735,Sheet1!$B$6:$C$124,2,FALSE)</f>
        <v>0</v>
      </c>
      <c r="AH1735" s="146">
        <f t="shared" si="798"/>
        <v>0</v>
      </c>
      <c r="AI1735" s="143">
        <f t="shared" si="799"/>
        <v>0</v>
      </c>
      <c r="AJ1735" s="133">
        <f t="shared" si="800"/>
        <v>1</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1</v>
      </c>
      <c r="T1736" s="120"/>
      <c r="U1736" s="121" t="s">
        <v>293</v>
      </c>
      <c r="V1736" s="133">
        <f t="shared" si="794"/>
        <v>1</v>
      </c>
      <c r="W1736" s="133">
        <f>VLOOKUP(U1736,Sheet1!$B$6:$C$45,2,FALSE)*V1736</f>
        <v>0</v>
      </c>
      <c r="X1736" s="141"/>
      <c r="Y1736" s="121" t="s">
        <v>293</v>
      </c>
      <c r="Z1736" s="146">
        <f>VLOOKUP(Takeoffs!Y1736,Sheet1!$B$6:$C$124,2,FALSE)</f>
        <v>0</v>
      </c>
      <c r="AA1736" s="146">
        <f t="shared" si="795"/>
        <v>0</v>
      </c>
      <c r="AB1736" s="143">
        <f t="shared" si="796"/>
        <v>1</v>
      </c>
      <c r="AC1736" s="133">
        <f t="shared" si="797"/>
        <v>1</v>
      </c>
      <c r="AD1736" s="142">
        <v>1</v>
      </c>
      <c r="AE1736" s="141"/>
      <c r="AF1736" s="121" t="s">
        <v>293</v>
      </c>
      <c r="AG1736" s="146">
        <f>VLOOKUP(Takeoffs!AF1736,Sheet1!$B$6:$C$124,2,FALSE)</f>
        <v>0</v>
      </c>
      <c r="AH1736" s="146">
        <f t="shared" si="798"/>
        <v>0</v>
      </c>
      <c r="AI1736" s="143">
        <f t="shared" si="799"/>
        <v>0</v>
      </c>
      <c r="AJ1736" s="133">
        <f t="shared" si="800"/>
        <v>1</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330</v>
      </c>
      <c r="P1737" s="121"/>
      <c r="Q1737" s="121"/>
      <c r="R1737" s="121"/>
      <c r="S1737" s="133">
        <f>M1729</f>
        <v>1</v>
      </c>
      <c r="T1737" s="120"/>
      <c r="U1737" s="121" t="s">
        <v>366</v>
      </c>
      <c r="V1737" s="133">
        <f t="shared" si="794"/>
        <v>1</v>
      </c>
      <c r="W1737" s="133">
        <f>VLOOKUP(U1737,Sheet1!$B$6:$C$45,2,FALSE)*V1737</f>
        <v>2</v>
      </c>
      <c r="X1737" s="141"/>
      <c r="Y1737" s="121" t="s">
        <v>293</v>
      </c>
      <c r="Z1737" s="146">
        <f>VLOOKUP(Takeoffs!Y1737,Sheet1!$B$6:$C$124,2,FALSE)</f>
        <v>0</v>
      </c>
      <c r="AA1737" s="146">
        <f t="shared" si="795"/>
        <v>0</v>
      </c>
      <c r="AB1737" s="143">
        <f t="shared" si="796"/>
        <v>1</v>
      </c>
      <c r="AC1737" s="133">
        <f t="shared" si="797"/>
        <v>1</v>
      </c>
      <c r="AD1737" s="142">
        <v>1</v>
      </c>
      <c r="AE1737" s="141"/>
      <c r="AF1737" s="121" t="s">
        <v>293</v>
      </c>
      <c r="AG1737" s="146">
        <f>VLOOKUP(Takeoffs!AF1737,Sheet1!$B$6:$C$124,2,FALSE)</f>
        <v>0</v>
      </c>
      <c r="AH1737" s="146">
        <f t="shared" si="798"/>
        <v>0</v>
      </c>
      <c r="AI1737" s="143">
        <f t="shared" si="799"/>
        <v>0</v>
      </c>
      <c r="AJ1737" s="133">
        <f t="shared" si="800"/>
        <v>1</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1</v>
      </c>
      <c r="T1738" s="120"/>
      <c r="U1738" s="121" t="s">
        <v>293</v>
      </c>
      <c r="V1738" s="133">
        <f t="shared" si="794"/>
        <v>1</v>
      </c>
      <c r="W1738" s="133">
        <f>VLOOKUP(U1738,Sheet1!$B$6:$C$45,2,FALSE)*V1738</f>
        <v>0</v>
      </c>
      <c r="X1738" s="141"/>
      <c r="Y1738" s="121" t="s">
        <v>293</v>
      </c>
      <c r="Z1738" s="146">
        <f>VLOOKUP(Takeoffs!Y1738,Sheet1!$B$6:$C$124,2,FALSE)</f>
        <v>0</v>
      </c>
      <c r="AA1738" s="146">
        <f t="shared" si="795"/>
        <v>0</v>
      </c>
      <c r="AB1738" s="143">
        <f t="shared" si="796"/>
        <v>1</v>
      </c>
      <c r="AC1738" s="133">
        <f t="shared" si="797"/>
        <v>1</v>
      </c>
      <c r="AD1738" s="142">
        <v>1</v>
      </c>
      <c r="AE1738" s="141"/>
      <c r="AF1738" s="121" t="s">
        <v>293</v>
      </c>
      <c r="AG1738" s="146">
        <f>VLOOKUP(Takeoffs!AF1738,Sheet1!$B$6:$C$124,2,FALSE)</f>
        <v>0</v>
      </c>
      <c r="AH1738" s="146">
        <f t="shared" si="798"/>
        <v>0</v>
      </c>
      <c r="AI1738" s="143">
        <f t="shared" si="799"/>
        <v>0</v>
      </c>
      <c r="AJ1738" s="133">
        <f t="shared" si="800"/>
        <v>1</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1</v>
      </c>
      <c r="T1739" s="120"/>
      <c r="U1739" s="121" t="s">
        <v>293</v>
      </c>
      <c r="V1739" s="133">
        <f t="shared" si="794"/>
        <v>1</v>
      </c>
      <c r="W1739" s="133">
        <f>VLOOKUP(U1739,Sheet1!$B$6:$C$45,2,FALSE)*V1739</f>
        <v>0</v>
      </c>
      <c r="X1739" s="141"/>
      <c r="Y1739" s="121" t="s">
        <v>293</v>
      </c>
      <c r="Z1739" s="146">
        <f>VLOOKUP(Takeoffs!Y1739,Sheet1!$B$6:$C$124,2,FALSE)</f>
        <v>0</v>
      </c>
      <c r="AA1739" s="146">
        <f t="shared" si="795"/>
        <v>0</v>
      </c>
      <c r="AB1739" s="143">
        <f t="shared" si="796"/>
        <v>1</v>
      </c>
      <c r="AC1739" s="133">
        <f t="shared" si="797"/>
        <v>1</v>
      </c>
      <c r="AD1739" s="142">
        <v>1</v>
      </c>
      <c r="AE1739" s="141"/>
      <c r="AF1739" s="121" t="s">
        <v>293</v>
      </c>
      <c r="AG1739" s="146">
        <f>VLOOKUP(Takeoffs!AF1739,Sheet1!$B$6:$C$124,2,FALSE)</f>
        <v>0</v>
      </c>
      <c r="AH1739" s="146">
        <f t="shared" si="798"/>
        <v>0</v>
      </c>
      <c r="AI1739" s="143">
        <f t="shared" si="799"/>
        <v>0</v>
      </c>
      <c r="AJ1739" s="133">
        <f t="shared" si="800"/>
        <v>1</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1</v>
      </c>
      <c r="T1740" s="120"/>
      <c r="U1740" s="121" t="s">
        <v>293</v>
      </c>
      <c r="V1740" s="133">
        <f t="shared" si="794"/>
        <v>1</v>
      </c>
      <c r="W1740" s="133">
        <f>VLOOKUP(U1740,Sheet1!$B$6:$C$45,2,FALSE)*V1740</f>
        <v>0</v>
      </c>
      <c r="X1740" s="141"/>
      <c r="Y1740" s="121" t="s">
        <v>293</v>
      </c>
      <c r="Z1740" s="146">
        <f>VLOOKUP(Takeoffs!Y1740,Sheet1!$B$6:$C$124,2,FALSE)</f>
        <v>0</v>
      </c>
      <c r="AA1740" s="146">
        <f t="shared" si="795"/>
        <v>0</v>
      </c>
      <c r="AB1740" s="143">
        <f t="shared" si="796"/>
        <v>1</v>
      </c>
      <c r="AC1740" s="133">
        <f t="shared" si="797"/>
        <v>1</v>
      </c>
      <c r="AD1740" s="142">
        <v>1</v>
      </c>
      <c r="AE1740" s="141"/>
      <c r="AF1740" s="121" t="s">
        <v>293</v>
      </c>
      <c r="AG1740" s="146">
        <f>VLOOKUP(Takeoffs!AF1740,Sheet1!$B$6:$C$124,2,FALSE)</f>
        <v>0</v>
      </c>
      <c r="AH1740" s="146">
        <f t="shared" si="798"/>
        <v>0</v>
      </c>
      <c r="AI1740" s="143">
        <f t="shared" si="799"/>
        <v>0</v>
      </c>
      <c r="AJ1740" s="133">
        <f t="shared" si="800"/>
        <v>1</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1</v>
      </c>
      <c r="T1741" s="120"/>
      <c r="U1741" s="121" t="s">
        <v>293</v>
      </c>
      <c r="V1741" s="133">
        <f t="shared" si="794"/>
        <v>1</v>
      </c>
      <c r="W1741" s="133">
        <f>VLOOKUP(U1741,Sheet1!$B$6:$C$45,2,FALSE)*V1741</f>
        <v>0</v>
      </c>
      <c r="X1741" s="141"/>
      <c r="Y1741" s="121" t="s">
        <v>293</v>
      </c>
      <c r="Z1741" s="146">
        <f>VLOOKUP(Takeoffs!Y1741,Sheet1!$B$6:$C$124,2,FALSE)</f>
        <v>0</v>
      </c>
      <c r="AA1741" s="146">
        <f t="shared" si="795"/>
        <v>0</v>
      </c>
      <c r="AB1741" s="143">
        <f t="shared" si="796"/>
        <v>1</v>
      </c>
      <c r="AC1741" s="133">
        <f t="shared" si="797"/>
        <v>1</v>
      </c>
      <c r="AD1741" s="142">
        <v>1</v>
      </c>
      <c r="AE1741" s="141"/>
      <c r="AF1741" s="152" t="s">
        <v>420</v>
      </c>
      <c r="AG1741" s="146">
        <f>VLOOKUP(Takeoffs!AF1741,Sheet1!$B$6:$C$124,2,FALSE)</f>
        <v>0.33600000000000002</v>
      </c>
      <c r="AH1741" s="146">
        <f t="shared" si="798"/>
        <v>0.33600000000000002</v>
      </c>
      <c r="AI1741" s="143">
        <f t="shared" si="799"/>
        <v>1</v>
      </c>
      <c r="AJ1741" s="133">
        <f t="shared" si="800"/>
        <v>1</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1</v>
      </c>
      <c r="T1742" s="120"/>
      <c r="U1742" s="121" t="s">
        <v>232</v>
      </c>
      <c r="V1742" s="133">
        <f t="shared" si="794"/>
        <v>1</v>
      </c>
      <c r="W1742" s="133">
        <f>VLOOKUP(U1742,Sheet1!$B$6:$C$45,2,FALSE)*V1742</f>
        <v>1</v>
      </c>
      <c r="X1742" s="141"/>
      <c r="Y1742" s="122" t="s">
        <v>281</v>
      </c>
      <c r="Z1742" s="146">
        <f>VLOOKUP(Takeoffs!Y1742,Sheet1!$B$6:$C$124,2,FALSE)</f>
        <v>109.25999999999999</v>
      </c>
      <c r="AA1742" s="146">
        <f t="shared" si="795"/>
        <v>109.25999999999999</v>
      </c>
      <c r="AB1742" s="143">
        <f t="shared" si="796"/>
        <v>1</v>
      </c>
      <c r="AC1742" s="133">
        <f t="shared" si="797"/>
        <v>1</v>
      </c>
      <c r="AD1742" s="142">
        <v>1</v>
      </c>
      <c r="AE1742" s="141"/>
      <c r="AF1742" s="121" t="s">
        <v>293</v>
      </c>
      <c r="AG1742" s="146">
        <f>VLOOKUP(Takeoffs!AF1742,Sheet1!$B$6:$C$124,2,FALSE)</f>
        <v>0</v>
      </c>
      <c r="AH1742" s="146">
        <f t="shared" si="798"/>
        <v>0</v>
      </c>
      <c r="AI1742" s="143">
        <f t="shared" si="799"/>
        <v>0</v>
      </c>
      <c r="AJ1742" s="133">
        <f t="shared" si="800"/>
        <v>1</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1</v>
      </c>
      <c r="T1743" s="120"/>
      <c r="U1743" s="121" t="s">
        <v>293</v>
      </c>
      <c r="V1743" s="133">
        <f t="shared" si="794"/>
        <v>1</v>
      </c>
      <c r="W1743" s="133">
        <f>VLOOKUP(U1743,Sheet1!$B$6:$C$45,2,FALSE)*V1743</f>
        <v>0</v>
      </c>
      <c r="X1743" s="141"/>
      <c r="Y1743" s="121" t="s">
        <v>293</v>
      </c>
      <c r="Z1743" s="146">
        <f>VLOOKUP(Takeoffs!Y1743,Sheet1!$B$6:$C$124,2,FALSE)</f>
        <v>0</v>
      </c>
      <c r="AA1743" s="146">
        <f t="shared" si="795"/>
        <v>0</v>
      </c>
      <c r="AB1743" s="143">
        <f t="shared" si="796"/>
        <v>1</v>
      </c>
      <c r="AC1743" s="133">
        <f t="shared" si="797"/>
        <v>1</v>
      </c>
      <c r="AD1743" s="142">
        <v>1</v>
      </c>
      <c r="AE1743" s="141"/>
      <c r="AF1743" s="121" t="s">
        <v>293</v>
      </c>
      <c r="AG1743" s="146">
        <f>VLOOKUP(Takeoffs!AF1743,Sheet1!$B$6:$C$124,2,FALSE)</f>
        <v>0</v>
      </c>
      <c r="AH1743" s="146">
        <f t="shared" si="798"/>
        <v>0</v>
      </c>
      <c r="AI1743" s="143">
        <f t="shared" si="799"/>
        <v>0</v>
      </c>
      <c r="AJ1743" s="133">
        <f t="shared" si="800"/>
        <v>1</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339</v>
      </c>
      <c r="P1744" s="121"/>
      <c r="Q1744" s="121"/>
      <c r="R1744" s="121" t="s">
        <v>333</v>
      </c>
      <c r="S1744" s="133">
        <f>M1729</f>
        <v>1</v>
      </c>
      <c r="T1744" s="120"/>
      <c r="U1744" s="121" t="s">
        <v>293</v>
      </c>
      <c r="V1744" s="133">
        <f t="shared" si="794"/>
        <v>1</v>
      </c>
      <c r="W1744" s="133">
        <f>VLOOKUP(U1744,Sheet1!$B$6:$C$45,2,FALSE)*V1744</f>
        <v>0</v>
      </c>
      <c r="X1744" s="141"/>
      <c r="Y1744" s="122" t="s">
        <v>280</v>
      </c>
      <c r="Z1744" s="146">
        <f>VLOOKUP(Takeoffs!Y1744,Sheet1!$B$6:$C$124,2,FALSE)</f>
        <v>19.2</v>
      </c>
      <c r="AA1744" s="146">
        <f t="shared" si="795"/>
        <v>38.4</v>
      </c>
      <c r="AB1744" s="143">
        <f t="shared" si="796"/>
        <v>2</v>
      </c>
      <c r="AC1744" s="133">
        <f t="shared" si="797"/>
        <v>1</v>
      </c>
      <c r="AD1744" s="142">
        <v>2</v>
      </c>
      <c r="AE1744" s="141"/>
      <c r="AF1744" s="121" t="s">
        <v>293</v>
      </c>
      <c r="AG1744" s="146">
        <f>VLOOKUP(Takeoffs!AF1744,Sheet1!$B$6:$C$124,2,FALSE)</f>
        <v>0</v>
      </c>
      <c r="AH1744" s="146">
        <f t="shared" si="798"/>
        <v>0</v>
      </c>
      <c r="AI1744" s="143">
        <f t="shared" si="799"/>
        <v>0</v>
      </c>
      <c r="AJ1744" s="133">
        <f t="shared" si="800"/>
        <v>1</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511</v>
      </c>
      <c r="P1745" s="121"/>
      <c r="Q1745" s="121"/>
      <c r="R1745" s="121"/>
      <c r="S1745" s="133">
        <f>M1729</f>
        <v>1</v>
      </c>
      <c r="T1745" s="120"/>
      <c r="U1745" s="121" t="s">
        <v>293</v>
      </c>
      <c r="V1745" s="133">
        <f t="shared" si="794"/>
        <v>1</v>
      </c>
      <c r="W1745" s="133">
        <f>VLOOKUP(U1745,Sheet1!$B$6:$C$45,2,FALSE)*V1745</f>
        <v>0</v>
      </c>
      <c r="X1745" s="141"/>
      <c r="Y1745" s="135" t="s">
        <v>424</v>
      </c>
      <c r="Z1745" s="146">
        <f>VLOOKUP(Takeoffs!Y1745,Sheet1!$B$6:$C$124,2,FALSE)</f>
        <v>23.4</v>
      </c>
      <c r="AA1745" s="146">
        <f t="shared" si="795"/>
        <v>23.4</v>
      </c>
      <c r="AB1745" s="143">
        <f t="shared" si="796"/>
        <v>1</v>
      </c>
      <c r="AC1745" s="133">
        <f t="shared" si="797"/>
        <v>1</v>
      </c>
      <c r="AD1745" s="142">
        <v>1</v>
      </c>
      <c r="AE1745" s="141"/>
      <c r="AF1745" s="121" t="s">
        <v>293</v>
      </c>
      <c r="AG1745" s="146">
        <f>VLOOKUP(Takeoffs!AF1745,Sheet1!$B$6:$C$124,2,FALSE)</f>
        <v>0</v>
      </c>
      <c r="AH1745" s="146">
        <f t="shared" si="798"/>
        <v>0</v>
      </c>
      <c r="AI1745" s="143">
        <f t="shared" si="799"/>
        <v>0</v>
      </c>
      <c r="AJ1745" s="133">
        <f t="shared" si="800"/>
        <v>1</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331</v>
      </c>
      <c r="P1746" s="121"/>
      <c r="Q1746" s="121"/>
      <c r="R1746" s="121" t="s">
        <v>305</v>
      </c>
      <c r="S1746" s="133">
        <f>M1729</f>
        <v>1</v>
      </c>
      <c r="T1746" s="120"/>
      <c r="U1746" s="121" t="s">
        <v>293</v>
      </c>
      <c r="V1746" s="133">
        <f t="shared" si="794"/>
        <v>1</v>
      </c>
      <c r="W1746" s="133">
        <f>VLOOKUP(U1746,Sheet1!$B$6:$C$45,2,FALSE)*V1746</f>
        <v>0</v>
      </c>
      <c r="X1746" s="141"/>
      <c r="Y1746" s="122" t="s">
        <v>277</v>
      </c>
      <c r="Z1746" s="146">
        <f>VLOOKUP(Takeoffs!Y1746,Sheet1!$B$6:$C$124,2,FALSE)</f>
        <v>69.540000000000006</v>
      </c>
      <c r="AA1746" s="146">
        <f t="shared" si="795"/>
        <v>69.540000000000006</v>
      </c>
      <c r="AB1746" s="143">
        <f t="shared" si="796"/>
        <v>1</v>
      </c>
      <c r="AC1746" s="133">
        <f t="shared" si="797"/>
        <v>1</v>
      </c>
      <c r="AD1746" s="142">
        <v>1</v>
      </c>
      <c r="AE1746" s="141"/>
      <c r="AF1746" s="121" t="s">
        <v>293</v>
      </c>
      <c r="AG1746" s="146">
        <f>VLOOKUP(Takeoffs!AF1746,Sheet1!$B$6:$C$124,2,FALSE)</f>
        <v>0</v>
      </c>
      <c r="AH1746" s="146">
        <f t="shared" si="798"/>
        <v>0</v>
      </c>
      <c r="AI1746" s="143">
        <f t="shared" si="799"/>
        <v>0</v>
      </c>
      <c r="AJ1746" s="133">
        <f t="shared" si="800"/>
        <v>1</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503</v>
      </c>
      <c r="P1747" s="121"/>
      <c r="Q1747" s="121"/>
      <c r="R1747" s="121"/>
      <c r="S1747" s="133">
        <f>M1729</f>
        <v>1</v>
      </c>
      <c r="T1747" s="120"/>
      <c r="U1747" s="121" t="s">
        <v>293</v>
      </c>
      <c r="V1747" s="133">
        <f t="shared" si="794"/>
        <v>1</v>
      </c>
      <c r="W1747" s="133">
        <f>VLOOKUP(U1747,Sheet1!$B$6:$C$45,2,FALSE)*V1747</f>
        <v>0</v>
      </c>
      <c r="X1747" s="141"/>
      <c r="Y1747" s="121" t="s">
        <v>293</v>
      </c>
      <c r="Z1747" s="146">
        <f>VLOOKUP(Takeoffs!Y1747,Sheet1!$B$6:$C$124,2,FALSE)</f>
        <v>0</v>
      </c>
      <c r="AA1747" s="146">
        <f t="shared" si="795"/>
        <v>0</v>
      </c>
      <c r="AB1747" s="143">
        <f t="shared" si="796"/>
        <v>1</v>
      </c>
      <c r="AC1747" s="133">
        <f t="shared" si="797"/>
        <v>1</v>
      </c>
      <c r="AD1747" s="142">
        <v>1</v>
      </c>
      <c r="AE1747" s="141"/>
      <c r="AF1747" s="121" t="s">
        <v>293</v>
      </c>
      <c r="AG1747" s="146">
        <f>VLOOKUP(Takeoffs!AF1747,Sheet1!$B$6:$C$124,2,FALSE)</f>
        <v>0</v>
      </c>
      <c r="AH1747" s="146">
        <f t="shared" si="798"/>
        <v>0</v>
      </c>
      <c r="AI1747" s="143">
        <f t="shared" si="799"/>
        <v>0</v>
      </c>
      <c r="AJ1747" s="133">
        <f t="shared" si="800"/>
        <v>1</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409</v>
      </c>
      <c r="P1748" s="121"/>
      <c r="Q1748" s="121"/>
      <c r="R1748" s="121"/>
      <c r="S1748" s="133">
        <f>M1729</f>
        <v>1</v>
      </c>
      <c r="T1748" s="120"/>
      <c r="U1748" s="121" t="s">
        <v>293</v>
      </c>
      <c r="V1748" s="133">
        <f t="shared" si="794"/>
        <v>1</v>
      </c>
      <c r="W1748" s="133">
        <f>VLOOKUP(U1748,Sheet1!$B$6:$C$45,2,FALSE)*V1748</f>
        <v>0</v>
      </c>
      <c r="X1748" s="141"/>
      <c r="Y1748" s="121" t="s">
        <v>274</v>
      </c>
      <c r="Z1748" s="146">
        <f>VLOOKUP(Takeoffs!Y1748,Sheet1!$B$6:$C$124,2,FALSE)</f>
        <v>360</v>
      </c>
      <c r="AA1748" s="146">
        <f t="shared" si="795"/>
        <v>360</v>
      </c>
      <c r="AB1748" s="143">
        <f t="shared" si="796"/>
        <v>1</v>
      </c>
      <c r="AC1748" s="133">
        <f t="shared" si="797"/>
        <v>1</v>
      </c>
      <c r="AD1748" s="142">
        <v>1</v>
      </c>
      <c r="AE1748" s="141"/>
      <c r="AF1748" s="121" t="s">
        <v>293</v>
      </c>
      <c r="AG1748" s="146">
        <f>VLOOKUP(Takeoffs!AF1748,Sheet1!$B$6:$C$124,2,FALSE)</f>
        <v>0</v>
      </c>
      <c r="AH1748" s="146">
        <f t="shared" si="798"/>
        <v>0</v>
      </c>
      <c r="AI1748" s="143">
        <f t="shared" si="799"/>
        <v>0</v>
      </c>
      <c r="AJ1748" s="133">
        <f t="shared" si="800"/>
        <v>1</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410</v>
      </c>
      <c r="P1749" s="121"/>
      <c r="Q1749" s="121"/>
      <c r="R1749" s="121"/>
      <c r="S1749" s="133">
        <f>M1729</f>
        <v>1</v>
      </c>
      <c r="T1749" s="120"/>
      <c r="U1749" s="121" t="s">
        <v>364</v>
      </c>
      <c r="V1749" s="133">
        <f t="shared" si="794"/>
        <v>1</v>
      </c>
      <c r="W1749" s="133">
        <f>VLOOKUP(U1749,Sheet1!$B$6:$C$45,2,FALSE)*V1749</f>
        <v>1</v>
      </c>
      <c r="X1749" s="141"/>
      <c r="Y1749" s="121" t="s">
        <v>293</v>
      </c>
      <c r="Z1749" s="146">
        <f>VLOOKUP(Takeoffs!Y1749,Sheet1!$B$6:$C$124,2,FALSE)</f>
        <v>0</v>
      </c>
      <c r="AA1749" s="146">
        <f t="shared" si="795"/>
        <v>0</v>
      </c>
      <c r="AB1749" s="143">
        <f t="shared" si="796"/>
        <v>1</v>
      </c>
      <c r="AC1749" s="133">
        <f t="shared" si="797"/>
        <v>1</v>
      </c>
      <c r="AD1749" s="142">
        <v>1</v>
      </c>
      <c r="AE1749" s="141"/>
      <c r="AF1749" s="121" t="s">
        <v>293</v>
      </c>
      <c r="AG1749" s="146">
        <f>VLOOKUP(Takeoffs!AF1749,Sheet1!$B$6:$C$124,2,FALSE)</f>
        <v>0</v>
      </c>
      <c r="AH1749" s="146">
        <f t="shared" si="798"/>
        <v>0</v>
      </c>
      <c r="AI1749" s="143">
        <f t="shared" si="799"/>
        <v>0</v>
      </c>
      <c r="AJ1749" s="133">
        <f t="shared" si="800"/>
        <v>1</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379</v>
      </c>
      <c r="L1750" s="128" t="s">
        <v>380</v>
      </c>
      <c r="N1750" s="129"/>
      <c r="O1750" s="130" t="s">
        <v>359</v>
      </c>
      <c r="P1750" s="131">
        <f>V1750+AA1750+AH1750</f>
        <v>1227.836</v>
      </c>
      <c r="Q1750" s="131"/>
      <c r="R1750" s="131"/>
      <c r="S1750" s="130"/>
      <c r="T1750" s="127"/>
      <c r="U1750" s="126" t="s">
        <v>353</v>
      </c>
      <c r="V1750" s="127">
        <f>W1750*80</f>
        <v>560</v>
      </c>
      <c r="W1750" s="147">
        <f>SUM(W1729:W1749)</f>
        <v>7</v>
      </c>
      <c r="X1750" s="148"/>
      <c r="Y1750" s="127" t="s">
        <v>354</v>
      </c>
      <c r="Z1750" s="116"/>
      <c r="AA1750" s="116">
        <f>SUM(AA1729:AA1749)</f>
        <v>644.04</v>
      </c>
      <c r="AB1750" s="149"/>
      <c r="AC1750" s="149"/>
      <c r="AD1750" s="149"/>
      <c r="AE1750" s="149"/>
      <c r="AF1750" s="127" t="s">
        <v>358</v>
      </c>
      <c r="AG1750" s="116"/>
      <c r="AH1750" s="116">
        <f>SUM(AH1729:AH1749)</f>
        <v>23.795999999999996</v>
      </c>
      <c r="AI1750" s="149"/>
      <c r="AJ1750" s="149"/>
      <c r="AK1750" s="149"/>
      <c r="AL1750" s="149"/>
      <c r="AM1750" s="150">
        <f>P1750</f>
        <v>1227.836</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494</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v>1</v>
      </c>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one (1)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1227.836</v>
      </c>
      <c r="L1751" s="234" t="str">
        <f>CONCATENATE(Q1730,Q1731,Q1732,Q1733,Q1734,Q1735,Q1736,Q1737,Q1738,Q1739,Q1740,Q1741,Q1742,Q1743,Q1744,Q1745,Q1746,Q1747,Q1748,Q1749,)</f>
        <v/>
      </c>
      <c r="M1751" s="166" t="s">
        <v>369</v>
      </c>
      <c r="N1751" s="160" t="str">
        <f>N1729</f>
        <v>Small DOL pump - from MSSB power supply and BMS interface provisions</v>
      </c>
      <c r="O1751" s="160" t="s">
        <v>367</v>
      </c>
      <c r="P1751" s="64">
        <f>P1750/M1729</f>
        <v>1227.836</v>
      </c>
      <c r="Q1751" s="161"/>
      <c r="R1751" s="161"/>
      <c r="S1751" s="160"/>
      <c r="T1751" s="161"/>
      <c r="U1751" s="327" t="s">
        <v>368</v>
      </c>
      <c r="V1751" s="327"/>
      <c r="W1751" s="162">
        <f>W1750/M1729</f>
        <v>7</v>
      </c>
      <c r="X1751" s="163"/>
      <c r="Y1751" s="325" t="s">
        <v>367</v>
      </c>
      <c r="Z1751" s="325"/>
      <c r="AA1751" s="164">
        <f>AA1750/M1729</f>
        <v>644.04</v>
      </c>
      <c r="AB1751" s="161"/>
      <c r="AC1751" s="161"/>
      <c r="AD1751" s="161"/>
      <c r="AE1751" s="161"/>
      <c r="AF1751" s="325" t="s">
        <v>367</v>
      </c>
      <c r="AG1751" s="325"/>
      <c r="AH1751" s="164">
        <f>AH1750/M1729</f>
        <v>23.795999999999996</v>
      </c>
      <c r="AI1751" s="161"/>
      <c r="AJ1751" s="161"/>
      <c r="AK1751" s="161"/>
      <c r="AL1751" s="247"/>
      <c r="AM1751" s="257"/>
      <c r="AN1751" s="236">
        <f>K1751*1.25</f>
        <v>1534.7950000000001</v>
      </c>
      <c r="AO1751" s="286"/>
      <c r="AP1751" s="284">
        <f t="shared" si="803"/>
        <v>1227.836</v>
      </c>
      <c r="AQ1751" s="281">
        <f t="shared" si="804"/>
        <v>560</v>
      </c>
      <c r="AR1751" s="284">
        <f t="shared" si="805"/>
        <v>644.04</v>
      </c>
      <c r="AS1751" s="281">
        <f t="shared" si="806"/>
        <v>23.795999999999996</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454</v>
      </c>
      <c r="M1752" s="116" t="s">
        <v>107</v>
      </c>
      <c r="N1752" s="116" t="s">
        <v>108</v>
      </c>
      <c r="O1752" s="170" t="s">
        <v>388</v>
      </c>
      <c r="P1752" s="326" t="s">
        <v>377</v>
      </c>
      <c r="Q1752" s="326"/>
      <c r="R1752" s="101" t="s">
        <v>454</v>
      </c>
      <c r="S1752" s="116" t="s">
        <v>0</v>
      </c>
      <c r="T1752" s="118"/>
      <c r="U1752" s="116" t="s">
        <v>288</v>
      </c>
      <c r="V1752" s="116" t="s">
        <v>289</v>
      </c>
      <c r="W1752" s="116" t="s">
        <v>292</v>
      </c>
      <c r="X1752" s="140"/>
      <c r="Y1752" s="116" t="s">
        <v>290</v>
      </c>
      <c r="Z1752" s="116" t="s">
        <v>356</v>
      </c>
      <c r="AA1752" s="116" t="s">
        <v>357</v>
      </c>
      <c r="AB1752" s="116" t="s">
        <v>319</v>
      </c>
      <c r="AC1752" s="116" t="s">
        <v>320</v>
      </c>
      <c r="AD1752" s="116" t="s">
        <v>318</v>
      </c>
      <c r="AE1752" s="140"/>
      <c r="AF1752" s="116" t="s">
        <v>294</v>
      </c>
      <c r="AG1752" s="116" t="s">
        <v>356</v>
      </c>
      <c r="AH1752" s="116" t="s">
        <v>357</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one</v>
      </c>
      <c r="M1753" s="121">
        <f>I1775</f>
        <v>1</v>
      </c>
      <c r="N1753" s="132" t="s">
        <v>562</v>
      </c>
      <c r="O1753" s="121" t="s">
        <v>491</v>
      </c>
      <c r="P1753" s="169" t="s">
        <v>381</v>
      </c>
      <c r="Q1753" s="169" t="s">
        <v>377</v>
      </c>
      <c r="R1753" s="169"/>
      <c r="S1753" s="133">
        <f>M1753</f>
        <v>1</v>
      </c>
      <c r="T1753" s="119"/>
      <c r="U1753" s="121" t="s">
        <v>293</v>
      </c>
      <c r="V1753" s="133">
        <f>S1753</f>
        <v>1</v>
      </c>
      <c r="W1753" s="133">
        <f>VLOOKUP(U1753,Sheet1!$B$6:$C$45,2,FALSE)*V1753</f>
        <v>0</v>
      </c>
      <c r="X1753" s="141"/>
      <c r="Y1753" s="121" t="s">
        <v>293</v>
      </c>
      <c r="Z1753" s="146">
        <f>VLOOKUP(Takeoffs!Y1753,Sheet1!$B$6:$C$124,2,FALSE)</f>
        <v>0</v>
      </c>
      <c r="AA1753" s="146">
        <f>Z1753*AB1753</f>
        <v>0</v>
      </c>
      <c r="AB1753" s="143">
        <f>AD1753*AC1753</f>
        <v>1</v>
      </c>
      <c r="AC1753" s="133">
        <f>S1753</f>
        <v>1</v>
      </c>
      <c r="AD1753" s="142">
        <v>1</v>
      </c>
      <c r="AE1753" s="141"/>
      <c r="AF1753" s="121" t="s">
        <v>293</v>
      </c>
      <c r="AG1753" s="146">
        <f>VLOOKUP(Takeoffs!AF1753,Sheet1!$B$6:$C$124,2,FALSE)</f>
        <v>0</v>
      </c>
      <c r="AH1753" s="146">
        <f>AG1753*AI1753</f>
        <v>0</v>
      </c>
      <c r="AI1753" s="143">
        <f>AK1753*AJ1753</f>
        <v>0</v>
      </c>
      <c r="AJ1753" s="133">
        <f>S1753</f>
        <v>1</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342</v>
      </c>
      <c r="P1754" s="121"/>
      <c r="Q1754" s="121"/>
      <c r="R1754" s="121"/>
      <c r="S1754" s="133">
        <f>M1753</f>
        <v>1</v>
      </c>
      <c r="T1754" s="120"/>
      <c r="U1754" s="121" t="s">
        <v>293</v>
      </c>
      <c r="V1754" s="133">
        <f t="shared" ref="V1754:V1773" si="808">S1754</f>
        <v>1</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1</v>
      </c>
      <c r="AC1754" s="133">
        <f>S1754</f>
        <v>1</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1</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1</v>
      </c>
      <c r="T1755" s="120"/>
      <c r="U1755" s="121" t="s">
        <v>293</v>
      </c>
      <c r="V1755" s="133">
        <f t="shared" si="808"/>
        <v>1</v>
      </c>
      <c r="W1755" s="133">
        <f>VLOOKUP(U1755,Sheet1!$B$6:$C$45,2,FALSE)*V1755</f>
        <v>0</v>
      </c>
      <c r="X1755" s="141"/>
      <c r="Y1755" s="122" t="s">
        <v>252</v>
      </c>
      <c r="Z1755" s="146">
        <f>VLOOKUP(Takeoffs!Y1755,Sheet1!$B$6:$C$124,2,FALSE)</f>
        <v>43.440000000000005</v>
      </c>
      <c r="AA1755" s="146">
        <f t="shared" si="809"/>
        <v>43.440000000000005</v>
      </c>
      <c r="AB1755" s="143">
        <f t="shared" si="810"/>
        <v>1</v>
      </c>
      <c r="AC1755" s="133">
        <f>S1755</f>
        <v>1</v>
      </c>
      <c r="AD1755" s="142">
        <v>1</v>
      </c>
      <c r="AE1755" s="141"/>
      <c r="AF1755" s="52" t="s">
        <v>267</v>
      </c>
      <c r="AG1755" s="146">
        <f>VLOOKUP(Takeoffs!AF1755,Sheet1!$B$6:$C$124,2,FALSE)</f>
        <v>3.48</v>
      </c>
      <c r="AH1755" s="146">
        <f t="shared" si="811"/>
        <v>69.599999999999994</v>
      </c>
      <c r="AI1755" s="143">
        <f t="shared" si="812"/>
        <v>20</v>
      </c>
      <c r="AJ1755" s="133">
        <f t="shared" si="813"/>
        <v>1</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1</v>
      </c>
      <c r="T1756" s="120"/>
      <c r="U1756" s="117" t="s">
        <v>481</v>
      </c>
      <c r="V1756" s="133">
        <f t="shared" si="808"/>
        <v>1</v>
      </c>
      <c r="W1756" s="133">
        <f>VLOOKUP(U1756,Sheet1!$B$6:$C$45,2,FALSE)*V1756</f>
        <v>2</v>
      </c>
      <c r="X1756" s="141"/>
      <c r="Y1756" s="121" t="s">
        <v>293</v>
      </c>
      <c r="Z1756" s="146">
        <f>VLOOKUP(Takeoffs!Y1756,Sheet1!$B$6:$C$124,2,FALSE)</f>
        <v>0</v>
      </c>
      <c r="AA1756" s="146">
        <f t="shared" si="809"/>
        <v>0</v>
      </c>
      <c r="AB1756" s="143">
        <f t="shared" si="810"/>
        <v>1</v>
      </c>
      <c r="AC1756" s="133">
        <f t="shared" ref="AC1756:AC1773" si="815">S1756</f>
        <v>1</v>
      </c>
      <c r="AD1756" s="142">
        <v>1</v>
      </c>
      <c r="AE1756" s="141"/>
      <c r="AF1756" s="121" t="s">
        <v>293</v>
      </c>
      <c r="AG1756" s="146">
        <f>VLOOKUP(Takeoffs!AF1756,Sheet1!$B$6:$C$124,2,FALSE)</f>
        <v>0</v>
      </c>
      <c r="AH1756" s="146">
        <f t="shared" si="811"/>
        <v>0</v>
      </c>
      <c r="AI1756" s="143">
        <f t="shared" si="812"/>
        <v>0</v>
      </c>
      <c r="AJ1756" s="133">
        <f t="shared" si="813"/>
        <v>1</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325</v>
      </c>
      <c r="P1757" s="121"/>
      <c r="Q1757" s="121"/>
      <c r="R1757" s="121"/>
      <c r="S1757" s="133">
        <f>M1753</f>
        <v>1</v>
      </c>
      <c r="T1757" s="120"/>
      <c r="U1757" s="121" t="s">
        <v>235</v>
      </c>
      <c r="V1757" s="133">
        <f t="shared" si="808"/>
        <v>1</v>
      </c>
      <c r="W1757" s="133">
        <f>VLOOKUP(U1757,Sheet1!$B$6:$C$45,2,FALSE)*V1757</f>
        <v>1.5</v>
      </c>
      <c r="X1757" s="141"/>
      <c r="Y1757" s="135" t="s">
        <v>493</v>
      </c>
      <c r="Z1757" s="146">
        <f>VLOOKUP(Takeoffs!Y1757,Sheet1!$B$6:$C$124,2,FALSE)</f>
        <v>1226.28</v>
      </c>
      <c r="AA1757" s="146">
        <f t="shared" si="809"/>
        <v>1226.28</v>
      </c>
      <c r="AB1757" s="143">
        <f t="shared" si="810"/>
        <v>1</v>
      </c>
      <c r="AC1757" s="133">
        <f t="shared" si="815"/>
        <v>1</v>
      </c>
      <c r="AD1757" s="142">
        <v>1</v>
      </c>
      <c r="AE1757" s="141"/>
      <c r="AF1757" s="121" t="s">
        <v>293</v>
      </c>
      <c r="AG1757" s="146">
        <f>VLOOKUP(Takeoffs!AF1757,Sheet1!$B$6:$C$124,2,FALSE)</f>
        <v>0</v>
      </c>
      <c r="AH1757" s="146">
        <f t="shared" si="811"/>
        <v>0</v>
      </c>
      <c r="AI1757" s="143">
        <f t="shared" si="812"/>
        <v>0</v>
      </c>
      <c r="AJ1757" s="133">
        <f t="shared" si="813"/>
        <v>1</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392</v>
      </c>
      <c r="P1758" s="121"/>
      <c r="Q1758" s="121"/>
      <c r="R1758" s="121"/>
      <c r="S1758" s="133">
        <f>M1753</f>
        <v>1</v>
      </c>
      <c r="T1758" s="120"/>
      <c r="U1758" s="121" t="s">
        <v>293</v>
      </c>
      <c r="V1758" s="133">
        <f t="shared" si="808"/>
        <v>1</v>
      </c>
      <c r="W1758" s="133">
        <f>VLOOKUP(U1758,Sheet1!$B$6:$C$45,2,FALSE)*V1758</f>
        <v>0</v>
      </c>
      <c r="X1758" s="141"/>
      <c r="Y1758" s="121" t="s">
        <v>293</v>
      </c>
      <c r="Z1758" s="146">
        <f>VLOOKUP(Takeoffs!Y1758,Sheet1!$B$6:$C$124,2,FALSE)</f>
        <v>0</v>
      </c>
      <c r="AA1758" s="146">
        <f t="shared" si="809"/>
        <v>0</v>
      </c>
      <c r="AB1758" s="143">
        <f t="shared" si="810"/>
        <v>1</v>
      </c>
      <c r="AC1758" s="133">
        <f t="shared" si="815"/>
        <v>1</v>
      </c>
      <c r="AD1758" s="142">
        <v>1</v>
      </c>
      <c r="AE1758" s="141"/>
      <c r="AF1758" s="122" t="s">
        <v>268</v>
      </c>
      <c r="AG1758" s="146">
        <f>VLOOKUP(Takeoffs!AF1758,Sheet1!$B$6:$C$124,2,FALSE)</f>
        <v>1.02</v>
      </c>
      <c r="AH1758" s="146">
        <f t="shared" si="811"/>
        <v>3.06</v>
      </c>
      <c r="AI1758" s="143">
        <f t="shared" si="812"/>
        <v>3</v>
      </c>
      <c r="AJ1758" s="133">
        <f t="shared" si="813"/>
        <v>1</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1</v>
      </c>
      <c r="T1759" s="120"/>
      <c r="U1759" s="121" t="s">
        <v>293</v>
      </c>
      <c r="V1759" s="133">
        <f t="shared" si="808"/>
        <v>1</v>
      </c>
      <c r="W1759" s="133">
        <f>VLOOKUP(U1759,Sheet1!$B$6:$C$45,2,FALSE)*V1759</f>
        <v>0</v>
      </c>
      <c r="X1759" s="141"/>
      <c r="Y1759" s="121" t="s">
        <v>293</v>
      </c>
      <c r="Z1759" s="146">
        <f>VLOOKUP(Takeoffs!Y1759,Sheet1!$B$6:$C$124,2,FALSE)</f>
        <v>0</v>
      </c>
      <c r="AA1759" s="146">
        <f t="shared" si="809"/>
        <v>0</v>
      </c>
      <c r="AB1759" s="143">
        <f t="shared" si="810"/>
        <v>1</v>
      </c>
      <c r="AC1759" s="133">
        <f t="shared" si="815"/>
        <v>1</v>
      </c>
      <c r="AD1759" s="142">
        <v>1</v>
      </c>
      <c r="AE1759" s="141"/>
      <c r="AF1759" s="121" t="s">
        <v>293</v>
      </c>
      <c r="AG1759" s="146">
        <f>VLOOKUP(Takeoffs!AF1759,Sheet1!$B$6:$C$124,2,FALSE)</f>
        <v>0</v>
      </c>
      <c r="AH1759" s="146">
        <f t="shared" si="811"/>
        <v>0</v>
      </c>
      <c r="AI1759" s="143">
        <f t="shared" si="812"/>
        <v>0</v>
      </c>
      <c r="AJ1759" s="133">
        <f t="shared" si="813"/>
        <v>1</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1</v>
      </c>
      <c r="T1760" s="120"/>
      <c r="U1760" s="121" t="s">
        <v>293</v>
      </c>
      <c r="V1760" s="133">
        <f t="shared" si="808"/>
        <v>1</v>
      </c>
      <c r="W1760" s="133">
        <f>VLOOKUP(U1760,Sheet1!$B$6:$C$45,2,FALSE)*V1760</f>
        <v>0</v>
      </c>
      <c r="X1760" s="141"/>
      <c r="Y1760" s="121" t="s">
        <v>293</v>
      </c>
      <c r="Z1760" s="146">
        <f>VLOOKUP(Takeoffs!Y1760,Sheet1!$B$6:$C$124,2,FALSE)</f>
        <v>0</v>
      </c>
      <c r="AA1760" s="146">
        <f t="shared" si="809"/>
        <v>0</v>
      </c>
      <c r="AB1760" s="143">
        <f t="shared" si="810"/>
        <v>1</v>
      </c>
      <c r="AC1760" s="133">
        <f t="shared" si="815"/>
        <v>1</v>
      </c>
      <c r="AD1760" s="142">
        <v>1</v>
      </c>
      <c r="AE1760" s="141"/>
      <c r="AF1760" s="121" t="s">
        <v>293</v>
      </c>
      <c r="AG1760" s="146">
        <f>VLOOKUP(Takeoffs!AF1760,Sheet1!$B$6:$C$124,2,FALSE)</f>
        <v>0</v>
      </c>
      <c r="AH1760" s="146">
        <f t="shared" si="811"/>
        <v>0</v>
      </c>
      <c r="AI1760" s="143">
        <f t="shared" si="812"/>
        <v>0</v>
      </c>
      <c r="AJ1760" s="133">
        <f t="shared" si="813"/>
        <v>1</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330</v>
      </c>
      <c r="P1761" s="121"/>
      <c r="Q1761" s="121"/>
      <c r="R1761" s="121"/>
      <c r="S1761" s="133">
        <f>M1753</f>
        <v>1</v>
      </c>
      <c r="T1761" s="120"/>
      <c r="U1761" s="121" t="s">
        <v>366</v>
      </c>
      <c r="V1761" s="133">
        <f t="shared" si="808"/>
        <v>1</v>
      </c>
      <c r="W1761" s="133">
        <f>VLOOKUP(U1761,Sheet1!$B$6:$C$45,2,FALSE)*V1761</f>
        <v>2</v>
      </c>
      <c r="X1761" s="141"/>
      <c r="Y1761" s="121" t="s">
        <v>293</v>
      </c>
      <c r="Z1761" s="146">
        <f>VLOOKUP(Takeoffs!Y1761,Sheet1!$B$6:$C$124,2,FALSE)</f>
        <v>0</v>
      </c>
      <c r="AA1761" s="146">
        <f t="shared" si="809"/>
        <v>0</v>
      </c>
      <c r="AB1761" s="143">
        <f t="shared" si="810"/>
        <v>1</v>
      </c>
      <c r="AC1761" s="133">
        <f t="shared" si="815"/>
        <v>1</v>
      </c>
      <c r="AD1761" s="142">
        <v>1</v>
      </c>
      <c r="AE1761" s="141"/>
      <c r="AF1761" s="121" t="s">
        <v>293</v>
      </c>
      <c r="AG1761" s="146">
        <f>VLOOKUP(Takeoffs!AF1761,Sheet1!$B$6:$C$124,2,FALSE)</f>
        <v>0</v>
      </c>
      <c r="AH1761" s="146">
        <f t="shared" si="811"/>
        <v>0</v>
      </c>
      <c r="AI1761" s="143">
        <f t="shared" si="812"/>
        <v>0</v>
      </c>
      <c r="AJ1761" s="133">
        <f t="shared" si="813"/>
        <v>1</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1</v>
      </c>
      <c r="T1762" s="120"/>
      <c r="U1762" s="121" t="s">
        <v>293</v>
      </c>
      <c r="V1762" s="133">
        <f t="shared" si="808"/>
        <v>1</v>
      </c>
      <c r="W1762" s="133">
        <f>VLOOKUP(U1762,Sheet1!$B$6:$C$45,2,FALSE)*V1762</f>
        <v>0</v>
      </c>
      <c r="X1762" s="141"/>
      <c r="Y1762" s="121" t="s">
        <v>293</v>
      </c>
      <c r="Z1762" s="146">
        <f>VLOOKUP(Takeoffs!Y1762,Sheet1!$B$6:$C$124,2,FALSE)</f>
        <v>0</v>
      </c>
      <c r="AA1762" s="146">
        <f t="shared" si="809"/>
        <v>0</v>
      </c>
      <c r="AB1762" s="143">
        <f t="shared" si="810"/>
        <v>1</v>
      </c>
      <c r="AC1762" s="133">
        <f t="shared" si="815"/>
        <v>1</v>
      </c>
      <c r="AD1762" s="142">
        <v>1</v>
      </c>
      <c r="AE1762" s="141"/>
      <c r="AF1762" s="121" t="s">
        <v>293</v>
      </c>
      <c r="AG1762" s="146">
        <f>VLOOKUP(Takeoffs!AF1762,Sheet1!$B$6:$C$124,2,FALSE)</f>
        <v>0</v>
      </c>
      <c r="AH1762" s="146">
        <f t="shared" si="811"/>
        <v>0</v>
      </c>
      <c r="AI1762" s="143">
        <f t="shared" si="812"/>
        <v>0</v>
      </c>
      <c r="AJ1762" s="133">
        <f t="shared" si="813"/>
        <v>1</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1</v>
      </c>
      <c r="T1763" s="120"/>
      <c r="U1763" s="121" t="s">
        <v>293</v>
      </c>
      <c r="V1763" s="133">
        <f t="shared" si="808"/>
        <v>1</v>
      </c>
      <c r="W1763" s="133">
        <f>VLOOKUP(U1763,Sheet1!$B$6:$C$45,2,FALSE)*V1763</f>
        <v>0</v>
      </c>
      <c r="X1763" s="141"/>
      <c r="Y1763" s="121" t="s">
        <v>293</v>
      </c>
      <c r="Z1763" s="146">
        <f>VLOOKUP(Takeoffs!Y1763,Sheet1!$B$6:$C$124,2,FALSE)</f>
        <v>0</v>
      </c>
      <c r="AA1763" s="146">
        <f t="shared" si="809"/>
        <v>0</v>
      </c>
      <c r="AB1763" s="143">
        <f t="shared" si="810"/>
        <v>1</v>
      </c>
      <c r="AC1763" s="133">
        <f t="shared" si="815"/>
        <v>1</v>
      </c>
      <c r="AD1763" s="142">
        <v>1</v>
      </c>
      <c r="AE1763" s="141"/>
      <c r="AF1763" s="121" t="s">
        <v>293</v>
      </c>
      <c r="AG1763" s="146">
        <f>VLOOKUP(Takeoffs!AF1763,Sheet1!$B$6:$C$124,2,FALSE)</f>
        <v>0</v>
      </c>
      <c r="AH1763" s="146">
        <f t="shared" si="811"/>
        <v>0</v>
      </c>
      <c r="AI1763" s="143">
        <f t="shared" si="812"/>
        <v>0</v>
      </c>
      <c r="AJ1763" s="133">
        <f t="shared" si="813"/>
        <v>1</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1</v>
      </c>
      <c r="T1764" s="120"/>
      <c r="U1764" s="121" t="s">
        <v>293</v>
      </c>
      <c r="V1764" s="133">
        <f t="shared" si="808"/>
        <v>1</v>
      </c>
      <c r="W1764" s="133">
        <f>VLOOKUP(U1764,Sheet1!$B$6:$C$45,2,FALSE)*V1764</f>
        <v>0</v>
      </c>
      <c r="X1764" s="141"/>
      <c r="Y1764" s="121" t="s">
        <v>293</v>
      </c>
      <c r="Z1764" s="146">
        <f>VLOOKUP(Takeoffs!Y1764,Sheet1!$B$6:$C$124,2,FALSE)</f>
        <v>0</v>
      </c>
      <c r="AA1764" s="146">
        <f t="shared" si="809"/>
        <v>0</v>
      </c>
      <c r="AB1764" s="143">
        <f t="shared" si="810"/>
        <v>1</v>
      </c>
      <c r="AC1764" s="133">
        <f t="shared" si="815"/>
        <v>1</v>
      </c>
      <c r="AD1764" s="142">
        <v>1</v>
      </c>
      <c r="AE1764" s="141"/>
      <c r="AF1764" s="121" t="s">
        <v>293</v>
      </c>
      <c r="AG1764" s="146">
        <f>VLOOKUP(Takeoffs!AF1764,Sheet1!$B$6:$C$124,2,FALSE)</f>
        <v>0</v>
      </c>
      <c r="AH1764" s="146">
        <f t="shared" si="811"/>
        <v>0</v>
      </c>
      <c r="AI1764" s="143">
        <f t="shared" si="812"/>
        <v>0</v>
      </c>
      <c r="AJ1764" s="133">
        <f t="shared" si="813"/>
        <v>1</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1</v>
      </c>
      <c r="T1765" s="120"/>
      <c r="U1765" s="121" t="s">
        <v>293</v>
      </c>
      <c r="V1765" s="133">
        <f t="shared" si="808"/>
        <v>1</v>
      </c>
      <c r="W1765" s="133">
        <f>VLOOKUP(U1765,Sheet1!$B$6:$C$45,2,FALSE)*V1765</f>
        <v>0</v>
      </c>
      <c r="X1765" s="141"/>
      <c r="Y1765" s="121" t="s">
        <v>293</v>
      </c>
      <c r="Z1765" s="146">
        <f>VLOOKUP(Takeoffs!Y1765,Sheet1!$B$6:$C$124,2,FALSE)</f>
        <v>0</v>
      </c>
      <c r="AA1765" s="146">
        <f t="shared" si="809"/>
        <v>0</v>
      </c>
      <c r="AB1765" s="143">
        <f t="shared" si="810"/>
        <v>1</v>
      </c>
      <c r="AC1765" s="133">
        <f t="shared" si="815"/>
        <v>1</v>
      </c>
      <c r="AD1765" s="142">
        <v>1</v>
      </c>
      <c r="AE1765" s="141"/>
      <c r="AF1765" s="152" t="s">
        <v>420</v>
      </c>
      <c r="AG1765" s="146">
        <f>VLOOKUP(Takeoffs!AF1765,Sheet1!$B$6:$C$124,2,FALSE)</f>
        <v>0.33600000000000002</v>
      </c>
      <c r="AH1765" s="146">
        <f t="shared" si="811"/>
        <v>0.33600000000000002</v>
      </c>
      <c r="AI1765" s="143">
        <f t="shared" si="812"/>
        <v>1</v>
      </c>
      <c r="AJ1765" s="133">
        <f t="shared" si="813"/>
        <v>1</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1</v>
      </c>
      <c r="T1766" s="120"/>
      <c r="U1766" s="121" t="s">
        <v>232</v>
      </c>
      <c r="V1766" s="133">
        <f t="shared" si="808"/>
        <v>1</v>
      </c>
      <c r="W1766" s="133">
        <f>VLOOKUP(U1766,Sheet1!$B$6:$C$45,2,FALSE)*V1766</f>
        <v>1</v>
      </c>
      <c r="X1766" s="141"/>
      <c r="Y1766" s="122" t="s">
        <v>281</v>
      </c>
      <c r="Z1766" s="146">
        <f>VLOOKUP(Takeoffs!Y1766,Sheet1!$B$6:$C$124,2,FALSE)</f>
        <v>109.25999999999999</v>
      </c>
      <c r="AA1766" s="146">
        <f t="shared" si="809"/>
        <v>109.25999999999999</v>
      </c>
      <c r="AB1766" s="143">
        <f t="shared" si="810"/>
        <v>1</v>
      </c>
      <c r="AC1766" s="133">
        <f t="shared" si="815"/>
        <v>1</v>
      </c>
      <c r="AD1766" s="142">
        <v>1</v>
      </c>
      <c r="AE1766" s="141"/>
      <c r="AF1766" s="121" t="s">
        <v>293</v>
      </c>
      <c r="AG1766" s="146">
        <f>VLOOKUP(Takeoffs!AF1766,Sheet1!$B$6:$C$124,2,FALSE)</f>
        <v>0</v>
      </c>
      <c r="AH1766" s="146">
        <f t="shared" si="811"/>
        <v>0</v>
      </c>
      <c r="AI1766" s="143">
        <f t="shared" si="812"/>
        <v>0</v>
      </c>
      <c r="AJ1766" s="133">
        <f t="shared" si="813"/>
        <v>1</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1</v>
      </c>
      <c r="T1767" s="120"/>
      <c r="U1767" s="121" t="s">
        <v>293</v>
      </c>
      <c r="V1767" s="133">
        <f t="shared" si="808"/>
        <v>1</v>
      </c>
      <c r="W1767" s="133">
        <f>VLOOKUP(U1767,Sheet1!$B$6:$C$45,2,FALSE)*V1767</f>
        <v>0</v>
      </c>
      <c r="X1767" s="141"/>
      <c r="Y1767" s="121" t="s">
        <v>293</v>
      </c>
      <c r="Z1767" s="146">
        <f>VLOOKUP(Takeoffs!Y1767,Sheet1!$B$6:$C$124,2,FALSE)</f>
        <v>0</v>
      </c>
      <c r="AA1767" s="146">
        <f t="shared" si="809"/>
        <v>0</v>
      </c>
      <c r="AB1767" s="143">
        <f t="shared" si="810"/>
        <v>1</v>
      </c>
      <c r="AC1767" s="133">
        <f t="shared" si="815"/>
        <v>1</v>
      </c>
      <c r="AD1767" s="142">
        <v>1</v>
      </c>
      <c r="AE1767" s="141"/>
      <c r="AF1767" s="121" t="s">
        <v>293</v>
      </c>
      <c r="AG1767" s="146">
        <f>VLOOKUP(Takeoffs!AF1767,Sheet1!$B$6:$C$124,2,FALSE)</f>
        <v>0</v>
      </c>
      <c r="AH1767" s="146">
        <f t="shared" si="811"/>
        <v>0</v>
      </c>
      <c r="AI1767" s="143">
        <f t="shared" si="812"/>
        <v>0</v>
      </c>
      <c r="AJ1767" s="133">
        <f t="shared" si="813"/>
        <v>1</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339</v>
      </c>
      <c r="P1768" s="121"/>
      <c r="Q1768" s="121"/>
      <c r="R1768" s="121" t="s">
        <v>333</v>
      </c>
      <c r="S1768" s="133">
        <f>M1753</f>
        <v>1</v>
      </c>
      <c r="T1768" s="120"/>
      <c r="U1768" s="121" t="s">
        <v>293</v>
      </c>
      <c r="V1768" s="133">
        <f t="shared" si="808"/>
        <v>1</v>
      </c>
      <c r="W1768" s="133">
        <f>VLOOKUP(U1768,Sheet1!$B$6:$C$45,2,FALSE)*V1768</f>
        <v>0</v>
      </c>
      <c r="X1768" s="141"/>
      <c r="Y1768" s="122" t="s">
        <v>280</v>
      </c>
      <c r="Z1768" s="146">
        <f>VLOOKUP(Takeoffs!Y1768,Sheet1!$B$6:$C$124,2,FALSE)</f>
        <v>19.2</v>
      </c>
      <c r="AA1768" s="146">
        <f t="shared" si="809"/>
        <v>38.4</v>
      </c>
      <c r="AB1768" s="143">
        <f t="shared" si="810"/>
        <v>2</v>
      </c>
      <c r="AC1768" s="133">
        <f t="shared" si="815"/>
        <v>1</v>
      </c>
      <c r="AD1768" s="142">
        <v>2</v>
      </c>
      <c r="AE1768" s="141"/>
      <c r="AF1768" s="121" t="s">
        <v>293</v>
      </c>
      <c r="AG1768" s="146">
        <f>VLOOKUP(Takeoffs!AF1768,Sheet1!$B$6:$C$124,2,FALSE)</f>
        <v>0</v>
      </c>
      <c r="AH1768" s="146">
        <f t="shared" si="811"/>
        <v>0</v>
      </c>
      <c r="AI1768" s="143">
        <f t="shared" si="812"/>
        <v>0</v>
      </c>
      <c r="AJ1768" s="133">
        <f t="shared" si="813"/>
        <v>1</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511</v>
      </c>
      <c r="P1769" s="121"/>
      <c r="Q1769" s="121"/>
      <c r="R1769" s="121"/>
      <c r="S1769" s="133">
        <f>M1753</f>
        <v>1</v>
      </c>
      <c r="T1769" s="120"/>
      <c r="U1769" s="121" t="s">
        <v>293</v>
      </c>
      <c r="V1769" s="133">
        <f t="shared" si="808"/>
        <v>1</v>
      </c>
      <c r="W1769" s="133">
        <f>VLOOKUP(U1769,Sheet1!$B$6:$C$45,2,FALSE)*V1769</f>
        <v>0</v>
      </c>
      <c r="X1769" s="141"/>
      <c r="Y1769" s="135" t="s">
        <v>424</v>
      </c>
      <c r="Z1769" s="146">
        <f>VLOOKUP(Takeoffs!Y1769,Sheet1!$B$6:$C$124,2,FALSE)</f>
        <v>23.4</v>
      </c>
      <c r="AA1769" s="146">
        <f t="shared" si="809"/>
        <v>23.4</v>
      </c>
      <c r="AB1769" s="143">
        <f t="shared" si="810"/>
        <v>1</v>
      </c>
      <c r="AC1769" s="133">
        <f t="shared" si="815"/>
        <v>1</v>
      </c>
      <c r="AD1769" s="142">
        <v>1</v>
      </c>
      <c r="AE1769" s="141"/>
      <c r="AF1769" s="121" t="s">
        <v>293</v>
      </c>
      <c r="AG1769" s="146">
        <f>VLOOKUP(Takeoffs!AF1769,Sheet1!$B$6:$C$124,2,FALSE)</f>
        <v>0</v>
      </c>
      <c r="AH1769" s="146">
        <f t="shared" si="811"/>
        <v>0</v>
      </c>
      <c r="AI1769" s="143">
        <f t="shared" si="812"/>
        <v>0</v>
      </c>
      <c r="AJ1769" s="133">
        <f t="shared" si="813"/>
        <v>1</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331</v>
      </c>
      <c r="P1770" s="121"/>
      <c r="Q1770" s="121"/>
      <c r="R1770" s="121" t="s">
        <v>305</v>
      </c>
      <c r="S1770" s="133">
        <f>M1753</f>
        <v>1</v>
      </c>
      <c r="T1770" s="120"/>
      <c r="U1770" s="121" t="s">
        <v>293</v>
      </c>
      <c r="V1770" s="133">
        <f t="shared" si="808"/>
        <v>1</v>
      </c>
      <c r="W1770" s="133">
        <f>VLOOKUP(U1770,Sheet1!$B$6:$C$45,2,FALSE)*V1770</f>
        <v>0</v>
      </c>
      <c r="X1770" s="141"/>
      <c r="Y1770" s="122" t="s">
        <v>277</v>
      </c>
      <c r="Z1770" s="146">
        <f>VLOOKUP(Takeoffs!Y1770,Sheet1!$B$6:$C$124,2,FALSE)</f>
        <v>69.540000000000006</v>
      </c>
      <c r="AA1770" s="146">
        <f t="shared" si="809"/>
        <v>69.540000000000006</v>
      </c>
      <c r="AB1770" s="143">
        <f t="shared" si="810"/>
        <v>1</v>
      </c>
      <c r="AC1770" s="133">
        <f t="shared" si="815"/>
        <v>1</v>
      </c>
      <c r="AD1770" s="142">
        <v>1</v>
      </c>
      <c r="AE1770" s="141"/>
      <c r="AF1770" s="121" t="s">
        <v>293</v>
      </c>
      <c r="AG1770" s="146">
        <f>VLOOKUP(Takeoffs!AF1770,Sheet1!$B$6:$C$124,2,FALSE)</f>
        <v>0</v>
      </c>
      <c r="AH1770" s="146">
        <f t="shared" si="811"/>
        <v>0</v>
      </c>
      <c r="AI1770" s="143">
        <f t="shared" si="812"/>
        <v>0</v>
      </c>
      <c r="AJ1770" s="133">
        <f t="shared" si="813"/>
        <v>1</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503</v>
      </c>
      <c r="P1771" s="121"/>
      <c r="Q1771" s="121"/>
      <c r="R1771" s="121"/>
      <c r="S1771" s="133">
        <f>M1753</f>
        <v>1</v>
      </c>
      <c r="T1771" s="120"/>
      <c r="U1771" s="121" t="s">
        <v>293</v>
      </c>
      <c r="V1771" s="133">
        <f t="shared" si="808"/>
        <v>1</v>
      </c>
      <c r="W1771" s="133">
        <f>VLOOKUP(U1771,Sheet1!$B$6:$C$45,2,FALSE)*V1771</f>
        <v>0</v>
      </c>
      <c r="X1771" s="141"/>
      <c r="Y1771" s="121" t="s">
        <v>293</v>
      </c>
      <c r="Z1771" s="146">
        <f>VLOOKUP(Takeoffs!Y1771,Sheet1!$B$6:$C$124,2,FALSE)</f>
        <v>0</v>
      </c>
      <c r="AA1771" s="146">
        <f t="shared" si="809"/>
        <v>0</v>
      </c>
      <c r="AB1771" s="143">
        <f t="shared" si="810"/>
        <v>1</v>
      </c>
      <c r="AC1771" s="133">
        <f t="shared" si="815"/>
        <v>1</v>
      </c>
      <c r="AD1771" s="142">
        <v>1</v>
      </c>
      <c r="AE1771" s="141"/>
      <c r="AF1771" s="121" t="s">
        <v>293</v>
      </c>
      <c r="AG1771" s="146">
        <f>VLOOKUP(Takeoffs!AF1771,Sheet1!$B$6:$C$124,2,FALSE)</f>
        <v>0</v>
      </c>
      <c r="AH1771" s="146">
        <f t="shared" si="811"/>
        <v>0</v>
      </c>
      <c r="AI1771" s="143">
        <f t="shared" si="812"/>
        <v>0</v>
      </c>
      <c r="AJ1771" s="133">
        <f t="shared" si="813"/>
        <v>1</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409</v>
      </c>
      <c r="P1772" s="121"/>
      <c r="Q1772" s="121"/>
      <c r="R1772" s="121"/>
      <c r="S1772" s="133">
        <f>M1753</f>
        <v>1</v>
      </c>
      <c r="T1772" s="120"/>
      <c r="U1772" s="121" t="s">
        <v>293</v>
      </c>
      <c r="V1772" s="133">
        <f t="shared" si="808"/>
        <v>1</v>
      </c>
      <c r="W1772" s="133">
        <f>VLOOKUP(U1772,Sheet1!$B$6:$C$45,2,FALSE)*V1772</f>
        <v>0</v>
      </c>
      <c r="X1772" s="141"/>
      <c r="Y1772" s="121" t="s">
        <v>274</v>
      </c>
      <c r="Z1772" s="146">
        <f>VLOOKUP(Takeoffs!Y1772,Sheet1!$B$6:$C$124,2,FALSE)</f>
        <v>360</v>
      </c>
      <c r="AA1772" s="146">
        <f t="shared" si="809"/>
        <v>360</v>
      </c>
      <c r="AB1772" s="143">
        <f t="shared" si="810"/>
        <v>1</v>
      </c>
      <c r="AC1772" s="133">
        <f t="shared" si="815"/>
        <v>1</v>
      </c>
      <c r="AD1772" s="142">
        <v>1</v>
      </c>
      <c r="AE1772" s="141"/>
      <c r="AF1772" s="121" t="s">
        <v>293</v>
      </c>
      <c r="AG1772" s="146">
        <f>VLOOKUP(Takeoffs!AF1772,Sheet1!$B$6:$C$124,2,FALSE)</f>
        <v>0</v>
      </c>
      <c r="AH1772" s="146">
        <f t="shared" si="811"/>
        <v>0</v>
      </c>
      <c r="AI1772" s="143">
        <f t="shared" si="812"/>
        <v>0</v>
      </c>
      <c r="AJ1772" s="133">
        <f t="shared" si="813"/>
        <v>1</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410</v>
      </c>
      <c r="P1773" s="121"/>
      <c r="Q1773" s="121"/>
      <c r="R1773" s="121"/>
      <c r="S1773" s="133">
        <f>M1753</f>
        <v>1</v>
      </c>
      <c r="T1773" s="120"/>
      <c r="U1773" s="121" t="s">
        <v>364</v>
      </c>
      <c r="V1773" s="133">
        <f t="shared" si="808"/>
        <v>1</v>
      </c>
      <c r="W1773" s="133">
        <f>VLOOKUP(U1773,Sheet1!$B$6:$C$45,2,FALSE)*V1773</f>
        <v>1</v>
      </c>
      <c r="X1773" s="141"/>
      <c r="Y1773" s="121" t="s">
        <v>293</v>
      </c>
      <c r="Z1773" s="146">
        <f>VLOOKUP(Takeoffs!Y1773,Sheet1!$B$6:$C$124,2,FALSE)</f>
        <v>0</v>
      </c>
      <c r="AA1773" s="146">
        <f t="shared" si="809"/>
        <v>0</v>
      </c>
      <c r="AB1773" s="143">
        <f t="shared" si="810"/>
        <v>1</v>
      </c>
      <c r="AC1773" s="133">
        <f t="shared" si="815"/>
        <v>1</v>
      </c>
      <c r="AD1773" s="142">
        <v>1</v>
      </c>
      <c r="AE1773" s="141"/>
      <c r="AF1773" s="121" t="s">
        <v>293</v>
      </c>
      <c r="AG1773" s="146">
        <f>VLOOKUP(Takeoffs!AF1773,Sheet1!$B$6:$C$124,2,FALSE)</f>
        <v>0</v>
      </c>
      <c r="AH1773" s="146">
        <f t="shared" si="811"/>
        <v>0</v>
      </c>
      <c r="AI1773" s="143">
        <f t="shared" si="812"/>
        <v>0</v>
      </c>
      <c r="AJ1773" s="133">
        <f t="shared" si="813"/>
        <v>1</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379</v>
      </c>
      <c r="L1774" s="128" t="s">
        <v>380</v>
      </c>
      <c r="N1774" s="129"/>
      <c r="O1774" s="130" t="s">
        <v>359</v>
      </c>
      <c r="P1774" s="131">
        <f>V1774+AA1774+AH1774</f>
        <v>2543.3160000000003</v>
      </c>
      <c r="Q1774" s="131"/>
      <c r="R1774" s="131"/>
      <c r="S1774" s="130"/>
      <c r="T1774" s="127"/>
      <c r="U1774" s="126" t="s">
        <v>353</v>
      </c>
      <c r="V1774" s="127">
        <f>W1774*80</f>
        <v>600</v>
      </c>
      <c r="W1774" s="147">
        <f>SUM(W1753:W1773)</f>
        <v>7.5</v>
      </c>
      <c r="X1774" s="148"/>
      <c r="Y1774" s="127" t="s">
        <v>354</v>
      </c>
      <c r="Z1774" s="116"/>
      <c r="AA1774" s="116">
        <f>SUM(AA1753:AA1773)</f>
        <v>1870.3200000000002</v>
      </c>
      <c r="AB1774" s="149"/>
      <c r="AC1774" s="149"/>
      <c r="AD1774" s="149"/>
      <c r="AE1774" s="149"/>
      <c r="AF1774" s="127" t="s">
        <v>358</v>
      </c>
      <c r="AG1774" s="116"/>
      <c r="AH1774" s="116">
        <f>SUM(AH1753:AH1773)</f>
        <v>72.995999999999995</v>
      </c>
      <c r="AI1774" s="149"/>
      <c r="AJ1774" s="149"/>
      <c r="AK1774" s="149"/>
      <c r="AL1774" s="149"/>
      <c r="AM1774" s="150">
        <f>P1774</f>
        <v>2543.3160000000003</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494</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v>1</v>
      </c>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one (1)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2543.3160000000003</v>
      </c>
      <c r="L1775" s="234" t="str">
        <f>CONCATENATE(Q1754,Q1755,Q1756,Q1757,Q1758,Q1759,Q1760,Q1761,Q1762,Q1763,Q1764,Q1765,Q1766,Q1767,Q1768,Q1769,Q1770,Q1771,Q1772,Q1773,)</f>
        <v/>
      </c>
      <c r="M1775" s="166" t="s">
        <v>369</v>
      </c>
      <c r="N1775" s="160" t="str">
        <f>N1753</f>
        <v>Medium VSD pump - from MSSB power supply and BMS interface provisions</v>
      </c>
      <c r="O1775" s="160" t="s">
        <v>367</v>
      </c>
      <c r="P1775" s="64">
        <f>P1774/M1753</f>
        <v>2543.3160000000003</v>
      </c>
      <c r="Q1775" s="161"/>
      <c r="R1775" s="161"/>
      <c r="S1775" s="160"/>
      <c r="T1775" s="161"/>
      <c r="U1775" s="327" t="s">
        <v>368</v>
      </c>
      <c r="V1775" s="327"/>
      <c r="W1775" s="162">
        <f>W1774/M1753</f>
        <v>7.5</v>
      </c>
      <c r="X1775" s="163"/>
      <c r="Y1775" s="325" t="s">
        <v>367</v>
      </c>
      <c r="Z1775" s="325"/>
      <c r="AA1775" s="164">
        <f>AA1774/M1753</f>
        <v>1870.3200000000002</v>
      </c>
      <c r="AB1775" s="161"/>
      <c r="AC1775" s="161"/>
      <c r="AD1775" s="161"/>
      <c r="AE1775" s="161"/>
      <c r="AF1775" s="325" t="s">
        <v>367</v>
      </c>
      <c r="AG1775" s="325"/>
      <c r="AH1775" s="164">
        <f>AH1774/M1753</f>
        <v>72.995999999999995</v>
      </c>
      <c r="AI1775" s="161"/>
      <c r="AJ1775" s="161"/>
      <c r="AK1775" s="161"/>
      <c r="AL1775" s="247"/>
      <c r="AM1775" s="257"/>
      <c r="AN1775" s="236">
        <f>K1775*1.25</f>
        <v>3179.1450000000004</v>
      </c>
      <c r="AO1775" s="286"/>
      <c r="AP1775" s="284">
        <f t="shared" si="803"/>
        <v>2543.3160000000003</v>
      </c>
      <c r="AQ1775" s="281">
        <f t="shared" si="804"/>
        <v>600</v>
      </c>
      <c r="AR1775" s="284">
        <f t="shared" si="805"/>
        <v>1870.3200000000002</v>
      </c>
      <c r="AS1775" s="281">
        <f t="shared" si="806"/>
        <v>72.995999999999995</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494</v>
      </c>
      <c r="D1776" s="261" t="str">
        <f>IF(B1776="Shopping List",IF(ISNUMBER(SEARCH("MSSB",C1776)),"MSSB",IF(ISNUMBER(SEARCH("local",C1776)),"LOCAL","")))</f>
        <v/>
      </c>
      <c r="I1776" s="269">
        <v>1</v>
      </c>
      <c r="J1776" s="261" t="s">
        <v>498</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454</v>
      </c>
      <c r="M1777" s="116" t="s">
        <v>107</v>
      </c>
      <c r="N1777" s="116" t="s">
        <v>108</v>
      </c>
      <c r="O1777" s="170" t="s">
        <v>388</v>
      </c>
      <c r="P1777" s="326" t="s">
        <v>377</v>
      </c>
      <c r="Q1777" s="326"/>
      <c r="R1777" s="101" t="s">
        <v>454</v>
      </c>
      <c r="S1777" s="116" t="s">
        <v>0</v>
      </c>
      <c r="T1777" s="118"/>
      <c r="U1777" s="116" t="s">
        <v>288</v>
      </c>
      <c r="V1777" s="116" t="s">
        <v>289</v>
      </c>
      <c r="W1777" s="116" t="s">
        <v>292</v>
      </c>
      <c r="X1777" s="140"/>
      <c r="Y1777" s="116" t="s">
        <v>290</v>
      </c>
      <c r="Z1777" s="116" t="s">
        <v>356</v>
      </c>
      <c r="AA1777" s="116" t="s">
        <v>357</v>
      </c>
      <c r="AB1777" s="116" t="s">
        <v>319</v>
      </c>
      <c r="AC1777" s="116" t="s">
        <v>320</v>
      </c>
      <c r="AD1777" s="116" t="s">
        <v>318</v>
      </c>
      <c r="AE1777" s="140"/>
      <c r="AF1777" s="116" t="s">
        <v>294</v>
      </c>
      <c r="AG1777" s="116" t="s">
        <v>356</v>
      </c>
      <c r="AH1777" s="116" t="s">
        <v>357</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one</v>
      </c>
      <c r="M1778" s="121">
        <f>I1800</f>
        <v>1</v>
      </c>
      <c r="N1778" s="132" t="s">
        <v>571</v>
      </c>
      <c r="O1778" s="121" t="s">
        <v>349</v>
      </c>
      <c r="P1778" s="169" t="s">
        <v>381</v>
      </c>
      <c r="Q1778" s="169" t="s">
        <v>377</v>
      </c>
      <c r="R1778" s="169"/>
      <c r="S1778" s="133">
        <f>M1778</f>
        <v>1</v>
      </c>
      <c r="T1778" s="119"/>
      <c r="U1778" s="153" t="s">
        <v>293</v>
      </c>
      <c r="V1778" s="133">
        <f>S1778</f>
        <v>1</v>
      </c>
      <c r="W1778" s="133">
        <f>VLOOKUP(U1778,Sheet1!$B$6:$C$45,2,FALSE)*V1778</f>
        <v>0</v>
      </c>
      <c r="X1778" s="141"/>
      <c r="Y1778" s="121" t="s">
        <v>293</v>
      </c>
      <c r="Z1778" s="146">
        <f>VLOOKUP(Takeoffs!Y1778,Sheet1!$B$6:$C$124,2,FALSE)</f>
        <v>0</v>
      </c>
      <c r="AA1778" s="146">
        <f>Z1778*AB1778</f>
        <v>0</v>
      </c>
      <c r="AB1778" s="143">
        <f>AD1778*AC1778</f>
        <v>1</v>
      </c>
      <c r="AC1778" s="133">
        <f>S1778</f>
        <v>1</v>
      </c>
      <c r="AD1778" s="142">
        <v>1</v>
      </c>
      <c r="AE1778" s="141"/>
      <c r="AF1778" s="121" t="s">
        <v>293</v>
      </c>
      <c r="AG1778" s="146">
        <f>VLOOKUP(Takeoffs!AF1778,Sheet1!$B$6:$C$124,2,FALSE)</f>
        <v>0</v>
      </c>
      <c r="AH1778" s="146">
        <f>AG1778*AI1778</f>
        <v>0</v>
      </c>
      <c r="AI1778" s="143">
        <f>AK1778*AJ1778</f>
        <v>0</v>
      </c>
      <c r="AJ1778" s="133">
        <f>S1778</f>
        <v>1</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413</v>
      </c>
      <c r="P1779" s="121"/>
      <c r="Q1779" s="121"/>
      <c r="R1779" s="121"/>
      <c r="S1779" s="133">
        <f>M1778</f>
        <v>1</v>
      </c>
      <c r="T1779" s="120"/>
      <c r="U1779" s="121" t="s">
        <v>235</v>
      </c>
      <c r="V1779" s="133">
        <f t="shared" ref="V1779:V1798" si="817">S1779</f>
        <v>1</v>
      </c>
      <c r="W1779" s="133">
        <f>VLOOKUP(U1779,Sheet1!$B$6:$C$45,2,FALSE)*V1779</f>
        <v>1.5</v>
      </c>
      <c r="X1779" s="141"/>
      <c r="Y1779" s="121" t="s">
        <v>293</v>
      </c>
      <c r="Z1779" s="146">
        <f>VLOOKUP(Takeoffs!Y1779,Sheet1!$B$6:$C$124,2,FALSE)</f>
        <v>0</v>
      </c>
      <c r="AA1779" s="146">
        <f t="shared" ref="AA1779:AA1798" si="818">Z1779*AB1779</f>
        <v>0</v>
      </c>
      <c r="AB1779" s="143">
        <f t="shared" ref="AB1779:AB1798" si="819">AD1779*AC1779</f>
        <v>1</v>
      </c>
      <c r="AC1779" s="133">
        <f t="shared" ref="AC1779:AC1798" si="820">S1779</f>
        <v>1</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1</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1</v>
      </c>
      <c r="T1780" s="120"/>
      <c r="U1780" s="121" t="s">
        <v>293</v>
      </c>
      <c r="V1780" s="133">
        <f t="shared" si="817"/>
        <v>1</v>
      </c>
      <c r="W1780" s="133">
        <f>VLOOKUP(U1780,Sheet1!$B$6:$C$45,2,FALSE)*V1780</f>
        <v>0</v>
      </c>
      <c r="X1780" s="141"/>
      <c r="Y1780" s="122" t="s">
        <v>252</v>
      </c>
      <c r="Z1780" s="146">
        <f>VLOOKUP(Takeoffs!Y1780,Sheet1!$B$6:$C$124,2,FALSE)</f>
        <v>43.440000000000005</v>
      </c>
      <c r="AA1780" s="146">
        <f t="shared" si="818"/>
        <v>43.440000000000005</v>
      </c>
      <c r="AB1780" s="143">
        <f t="shared" si="819"/>
        <v>1</v>
      </c>
      <c r="AC1780" s="133">
        <f t="shared" si="820"/>
        <v>1</v>
      </c>
      <c r="AD1780" s="142">
        <v>1</v>
      </c>
      <c r="AE1780" s="141"/>
      <c r="AF1780" s="121" t="s">
        <v>293</v>
      </c>
      <c r="AG1780" s="146">
        <f>VLOOKUP(Takeoffs!AF1780,Sheet1!$B$6:$C$124,2,FALSE)</f>
        <v>0</v>
      </c>
      <c r="AH1780" s="146">
        <f t="shared" si="821"/>
        <v>0</v>
      </c>
      <c r="AI1780" s="143">
        <f t="shared" si="822"/>
        <v>0</v>
      </c>
      <c r="AJ1780" s="133">
        <f t="shared" si="823"/>
        <v>1</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1</v>
      </c>
      <c r="T1781" s="120"/>
      <c r="U1781" s="121" t="s">
        <v>363</v>
      </c>
      <c r="V1781" s="133">
        <f t="shared" si="817"/>
        <v>1</v>
      </c>
      <c r="W1781" s="133">
        <f>VLOOKUP(U1781,Sheet1!$B$6:$C$45,2,FALSE)*V1781</f>
        <v>1</v>
      </c>
      <c r="X1781" s="141"/>
      <c r="Y1781" s="121" t="s">
        <v>293</v>
      </c>
      <c r="Z1781" s="146">
        <f>VLOOKUP(Takeoffs!Y1781,Sheet1!$B$6:$C$124,2,FALSE)</f>
        <v>0</v>
      </c>
      <c r="AA1781" s="146">
        <f t="shared" si="818"/>
        <v>0</v>
      </c>
      <c r="AB1781" s="143">
        <f t="shared" si="819"/>
        <v>1</v>
      </c>
      <c r="AC1781" s="133">
        <f t="shared" si="820"/>
        <v>1</v>
      </c>
      <c r="AD1781" s="142">
        <v>1</v>
      </c>
      <c r="AE1781" s="141"/>
      <c r="AF1781" s="122" t="s">
        <v>267</v>
      </c>
      <c r="AG1781" s="146">
        <f>VLOOKUP(Takeoffs!AF1781,Sheet1!$B$6:$C$124,2,FALSE)</f>
        <v>3.48</v>
      </c>
      <c r="AH1781" s="146">
        <f t="shared" si="821"/>
        <v>5.22</v>
      </c>
      <c r="AI1781" s="143">
        <f t="shared" si="822"/>
        <v>1.5</v>
      </c>
      <c r="AJ1781" s="133">
        <f t="shared" si="823"/>
        <v>1</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393</v>
      </c>
      <c r="P1782" s="121"/>
      <c r="Q1782" s="121"/>
      <c r="R1782" s="121"/>
      <c r="S1782" s="133">
        <f>M1778</f>
        <v>1</v>
      </c>
      <c r="T1782" s="120"/>
      <c r="U1782" s="121" t="s">
        <v>293</v>
      </c>
      <c r="V1782" s="133">
        <f t="shared" si="817"/>
        <v>1</v>
      </c>
      <c r="W1782" s="133">
        <f>VLOOKUP(U1782,Sheet1!$B$6:$C$45,2,FALSE)*V1782</f>
        <v>0</v>
      </c>
      <c r="X1782" s="141"/>
      <c r="Y1782" s="122" t="s">
        <v>265</v>
      </c>
      <c r="Z1782" s="146">
        <f>VLOOKUP(Takeoffs!Y1782,Sheet1!$B$6:$C$124,2,FALSE)</f>
        <v>971.52</v>
      </c>
      <c r="AA1782" s="146">
        <f t="shared" si="818"/>
        <v>971.52</v>
      </c>
      <c r="AB1782" s="143">
        <f t="shared" si="819"/>
        <v>1</v>
      </c>
      <c r="AC1782" s="133">
        <f t="shared" si="820"/>
        <v>1</v>
      </c>
      <c r="AD1782" s="142">
        <v>1</v>
      </c>
      <c r="AE1782" s="141"/>
      <c r="AF1782" s="121" t="s">
        <v>293</v>
      </c>
      <c r="AG1782" s="146">
        <f>VLOOKUP(Takeoffs!AF1782,Sheet1!$B$6:$C$124,2,FALSE)</f>
        <v>0</v>
      </c>
      <c r="AH1782" s="146">
        <f t="shared" si="821"/>
        <v>0</v>
      </c>
      <c r="AI1782" s="143">
        <f t="shared" si="822"/>
        <v>0</v>
      </c>
      <c r="AJ1782" s="133">
        <f t="shared" si="823"/>
        <v>1</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392</v>
      </c>
      <c r="P1783" s="121"/>
      <c r="Q1783" s="121"/>
      <c r="R1783" s="121"/>
      <c r="S1783" s="133">
        <f>M1778</f>
        <v>1</v>
      </c>
      <c r="T1783" s="120"/>
      <c r="U1783" s="121" t="s">
        <v>293</v>
      </c>
      <c r="V1783" s="133">
        <f t="shared" si="817"/>
        <v>1</v>
      </c>
      <c r="W1783" s="133">
        <f>VLOOKUP(U1783,Sheet1!$B$6:$C$45,2,FALSE)*V1783</f>
        <v>0</v>
      </c>
      <c r="X1783" s="141"/>
      <c r="Y1783" s="121" t="s">
        <v>293</v>
      </c>
      <c r="Z1783" s="146">
        <f>VLOOKUP(Takeoffs!Y1783,Sheet1!$B$6:$C$124,2,FALSE)</f>
        <v>0</v>
      </c>
      <c r="AA1783" s="146">
        <f t="shared" si="818"/>
        <v>0</v>
      </c>
      <c r="AB1783" s="143">
        <f t="shared" si="819"/>
        <v>1</v>
      </c>
      <c r="AC1783" s="133">
        <f t="shared" si="820"/>
        <v>1</v>
      </c>
      <c r="AD1783" s="142">
        <v>1</v>
      </c>
      <c r="AE1783" s="141"/>
      <c r="AF1783" s="122" t="s">
        <v>270</v>
      </c>
      <c r="AG1783" s="146">
        <f>VLOOKUP(Takeoffs!AF1783,Sheet1!$B$6:$C$124,2,FALSE)</f>
        <v>5.7960000000000003</v>
      </c>
      <c r="AH1783" s="146">
        <f t="shared" si="821"/>
        <v>86.94</v>
      </c>
      <c r="AI1783" s="143">
        <f t="shared" si="822"/>
        <v>15</v>
      </c>
      <c r="AJ1783" s="133">
        <f t="shared" si="823"/>
        <v>1</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1</v>
      </c>
      <c r="T1784" s="120"/>
      <c r="U1784" s="121" t="s">
        <v>293</v>
      </c>
      <c r="V1784" s="133">
        <f t="shared" si="817"/>
        <v>1</v>
      </c>
      <c r="W1784" s="133">
        <f>VLOOKUP(U1784,Sheet1!$B$6:$C$45,2,FALSE)*V1784</f>
        <v>0</v>
      </c>
      <c r="X1784" s="141"/>
      <c r="Y1784" s="122" t="s">
        <v>245</v>
      </c>
      <c r="Z1784" s="146">
        <f>VLOOKUP(Takeoffs!Y1784,Sheet1!$B$6:$C$124,2,FALSE)</f>
        <v>46.463999999999999</v>
      </c>
      <c r="AA1784" s="146">
        <f t="shared" si="818"/>
        <v>46.463999999999999</v>
      </c>
      <c r="AB1784" s="143">
        <f t="shared" si="819"/>
        <v>1</v>
      </c>
      <c r="AC1784" s="133">
        <f t="shared" si="820"/>
        <v>1</v>
      </c>
      <c r="AD1784" s="142">
        <v>1</v>
      </c>
      <c r="AE1784" s="141"/>
      <c r="AF1784" s="121" t="s">
        <v>293</v>
      </c>
      <c r="AG1784" s="146">
        <f>VLOOKUP(Takeoffs!AF1784,Sheet1!$B$6:$C$124,2,FALSE)</f>
        <v>0</v>
      </c>
      <c r="AH1784" s="146">
        <f t="shared" si="821"/>
        <v>0</v>
      </c>
      <c r="AI1784" s="143">
        <f t="shared" si="822"/>
        <v>0</v>
      </c>
      <c r="AJ1784" s="133">
        <f t="shared" si="823"/>
        <v>1</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1</v>
      </c>
      <c r="T1785" s="120"/>
      <c r="U1785" s="121" t="s">
        <v>293</v>
      </c>
      <c r="V1785" s="133">
        <f t="shared" si="817"/>
        <v>1</v>
      </c>
      <c r="W1785" s="133">
        <f>VLOOKUP(U1785,Sheet1!$B$6:$C$45,2,FALSE)*V1785</f>
        <v>0</v>
      </c>
      <c r="X1785" s="141"/>
      <c r="Y1785" s="122" t="s">
        <v>278</v>
      </c>
      <c r="Z1785" s="146">
        <f>VLOOKUP(Takeoffs!Y1785,Sheet1!$B$6:$C$124,2,FALSE)</f>
        <v>36</v>
      </c>
      <c r="AA1785" s="146">
        <f t="shared" si="818"/>
        <v>36</v>
      </c>
      <c r="AB1785" s="143">
        <f t="shared" si="819"/>
        <v>1</v>
      </c>
      <c r="AC1785" s="133">
        <f t="shared" si="820"/>
        <v>1</v>
      </c>
      <c r="AD1785" s="142">
        <v>1</v>
      </c>
      <c r="AE1785" s="141"/>
      <c r="AF1785" s="121" t="s">
        <v>293</v>
      </c>
      <c r="AG1785" s="146">
        <f>VLOOKUP(Takeoffs!AF1785,Sheet1!$B$6:$C$124,2,FALSE)</f>
        <v>0</v>
      </c>
      <c r="AH1785" s="146">
        <f t="shared" si="821"/>
        <v>0</v>
      </c>
      <c r="AI1785" s="143">
        <f t="shared" si="822"/>
        <v>0</v>
      </c>
      <c r="AJ1785" s="133">
        <f t="shared" si="823"/>
        <v>1</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1</v>
      </c>
      <c r="T1786" s="120"/>
      <c r="U1786" s="121" t="s">
        <v>293</v>
      </c>
      <c r="V1786" s="133">
        <f t="shared" si="817"/>
        <v>1</v>
      </c>
      <c r="W1786" s="133">
        <f>VLOOKUP(U1786,Sheet1!$B$6:$C$45,2,FALSE)*V1786</f>
        <v>0</v>
      </c>
      <c r="X1786" s="141"/>
      <c r="Y1786" s="122" t="s">
        <v>274</v>
      </c>
      <c r="Z1786" s="146">
        <f>VLOOKUP(Takeoffs!Y1786,Sheet1!$B$6:$C$124,2,FALSE)</f>
        <v>360</v>
      </c>
      <c r="AA1786" s="146">
        <f t="shared" si="818"/>
        <v>360</v>
      </c>
      <c r="AB1786" s="143">
        <f t="shared" si="819"/>
        <v>1</v>
      </c>
      <c r="AC1786" s="133">
        <f t="shared" si="820"/>
        <v>1</v>
      </c>
      <c r="AD1786" s="142">
        <v>1</v>
      </c>
      <c r="AE1786" s="141"/>
      <c r="AF1786" s="121" t="s">
        <v>293</v>
      </c>
      <c r="AG1786" s="146">
        <f>VLOOKUP(Takeoffs!AF1786,Sheet1!$B$6:$C$124,2,FALSE)</f>
        <v>0</v>
      </c>
      <c r="AH1786" s="146">
        <f t="shared" si="821"/>
        <v>0</v>
      </c>
      <c r="AI1786" s="143">
        <f t="shared" si="822"/>
        <v>0</v>
      </c>
      <c r="AJ1786" s="133">
        <f t="shared" si="823"/>
        <v>1</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1</v>
      </c>
      <c r="T1787" s="120"/>
      <c r="U1787" s="121" t="s">
        <v>366</v>
      </c>
      <c r="V1787" s="133">
        <f t="shared" si="817"/>
        <v>1</v>
      </c>
      <c r="W1787" s="133">
        <f>VLOOKUP(U1787,Sheet1!$B$6:$C$45,2,FALSE)*V1787</f>
        <v>2</v>
      </c>
      <c r="X1787" s="141"/>
      <c r="Y1787" s="121" t="s">
        <v>293</v>
      </c>
      <c r="Z1787" s="146">
        <f>VLOOKUP(Takeoffs!Y1787,Sheet1!$B$6:$C$124,2,FALSE)</f>
        <v>0</v>
      </c>
      <c r="AA1787" s="146">
        <f t="shared" si="818"/>
        <v>0</v>
      </c>
      <c r="AB1787" s="143">
        <f t="shared" si="819"/>
        <v>1</v>
      </c>
      <c r="AC1787" s="133">
        <f t="shared" si="820"/>
        <v>1</v>
      </c>
      <c r="AD1787" s="142">
        <v>1</v>
      </c>
      <c r="AE1787" s="141"/>
      <c r="AF1787" s="122" t="s">
        <v>270</v>
      </c>
      <c r="AG1787" s="146">
        <f>VLOOKUP(Takeoffs!AF1787,Sheet1!$B$6:$C$124,2,FALSE)</f>
        <v>5.7960000000000003</v>
      </c>
      <c r="AH1787" s="146">
        <f t="shared" si="821"/>
        <v>115.92</v>
      </c>
      <c r="AI1787" s="143">
        <f t="shared" si="822"/>
        <v>20</v>
      </c>
      <c r="AJ1787" s="133">
        <f t="shared" si="823"/>
        <v>1</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1</v>
      </c>
      <c r="T1788" s="120"/>
      <c r="U1788" s="121" t="s">
        <v>293</v>
      </c>
      <c r="V1788" s="133">
        <f t="shared" si="817"/>
        <v>1</v>
      </c>
      <c r="W1788" s="133">
        <f>VLOOKUP(U1788,Sheet1!$B$6:$C$45,2,FALSE)*V1788</f>
        <v>0</v>
      </c>
      <c r="X1788" s="141"/>
      <c r="Y1788" s="121" t="s">
        <v>293</v>
      </c>
      <c r="Z1788" s="146">
        <f>VLOOKUP(Takeoffs!Y1788,Sheet1!$B$6:$C$124,2,FALSE)</f>
        <v>0</v>
      </c>
      <c r="AA1788" s="146">
        <f t="shared" si="818"/>
        <v>0</v>
      </c>
      <c r="AB1788" s="143">
        <f t="shared" si="819"/>
        <v>2</v>
      </c>
      <c r="AC1788" s="133">
        <f t="shared" si="820"/>
        <v>1</v>
      </c>
      <c r="AD1788" s="142">
        <v>2</v>
      </c>
      <c r="AE1788" s="141"/>
      <c r="AF1788" s="121" t="s">
        <v>293</v>
      </c>
      <c r="AG1788" s="146">
        <f>VLOOKUP(Takeoffs!AF1788,Sheet1!$B$6:$C$124,2,FALSE)</f>
        <v>0</v>
      </c>
      <c r="AH1788" s="146">
        <f t="shared" si="821"/>
        <v>0</v>
      </c>
      <c r="AI1788" s="143">
        <f t="shared" si="822"/>
        <v>0</v>
      </c>
      <c r="AJ1788" s="133">
        <f t="shared" si="823"/>
        <v>1</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1</v>
      </c>
      <c r="T1789" s="120"/>
      <c r="U1789" s="121" t="s">
        <v>293</v>
      </c>
      <c r="V1789" s="133">
        <f t="shared" si="817"/>
        <v>1</v>
      </c>
      <c r="W1789" s="133">
        <f>VLOOKUP(U1789,Sheet1!$B$6:$C$45,2,FALSE)*V1789</f>
        <v>0</v>
      </c>
      <c r="X1789" s="141"/>
      <c r="Y1789" s="121" t="s">
        <v>293</v>
      </c>
      <c r="Z1789" s="146">
        <f>VLOOKUP(Takeoffs!Y1789,Sheet1!$B$6:$C$124,2,FALSE)</f>
        <v>0</v>
      </c>
      <c r="AA1789" s="146">
        <f t="shared" si="818"/>
        <v>0</v>
      </c>
      <c r="AB1789" s="143">
        <f t="shared" si="819"/>
        <v>1</v>
      </c>
      <c r="AC1789" s="133">
        <f t="shared" si="820"/>
        <v>1</v>
      </c>
      <c r="AD1789" s="142">
        <v>1</v>
      </c>
      <c r="AE1789" s="141"/>
      <c r="AF1789" s="121" t="s">
        <v>293</v>
      </c>
      <c r="AG1789" s="146">
        <f>VLOOKUP(Takeoffs!AF1789,Sheet1!$B$6:$C$124,2,FALSE)</f>
        <v>0</v>
      </c>
      <c r="AH1789" s="146">
        <f t="shared" si="821"/>
        <v>0</v>
      </c>
      <c r="AI1789" s="143">
        <f t="shared" si="822"/>
        <v>0</v>
      </c>
      <c r="AJ1789" s="133">
        <f t="shared" si="823"/>
        <v>1</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1</v>
      </c>
      <c r="T1790" s="120"/>
      <c r="U1790" s="121" t="s">
        <v>366</v>
      </c>
      <c r="V1790" s="133">
        <f t="shared" si="817"/>
        <v>1</v>
      </c>
      <c r="W1790" s="133">
        <f>VLOOKUP(U1790,Sheet1!$B$6:$C$45,2,FALSE)*V1790</f>
        <v>2</v>
      </c>
      <c r="X1790" s="141"/>
      <c r="Y1790" s="121" t="s">
        <v>293</v>
      </c>
      <c r="Z1790" s="146">
        <f>VLOOKUP(Takeoffs!Y1790,Sheet1!$B$6:$C$124,2,FALSE)</f>
        <v>0</v>
      </c>
      <c r="AA1790" s="146">
        <f t="shared" si="818"/>
        <v>0</v>
      </c>
      <c r="AB1790" s="143">
        <f t="shared" si="819"/>
        <v>1</v>
      </c>
      <c r="AC1790" s="133">
        <f t="shared" si="820"/>
        <v>1</v>
      </c>
      <c r="AD1790" s="142">
        <v>1</v>
      </c>
      <c r="AE1790" s="141"/>
      <c r="AF1790" s="121" t="s">
        <v>293</v>
      </c>
      <c r="AG1790" s="146">
        <f>VLOOKUP(Takeoffs!AF1790,Sheet1!$B$6:$C$124,2,FALSE)</f>
        <v>0</v>
      </c>
      <c r="AH1790" s="146">
        <f t="shared" si="821"/>
        <v>0</v>
      </c>
      <c r="AI1790" s="143">
        <f t="shared" si="822"/>
        <v>0</v>
      </c>
      <c r="AJ1790" s="133">
        <f t="shared" si="823"/>
        <v>1</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1</v>
      </c>
      <c r="T1791" s="120"/>
      <c r="U1791" s="121" t="s">
        <v>232</v>
      </c>
      <c r="V1791" s="133">
        <f t="shared" si="817"/>
        <v>1</v>
      </c>
      <c r="W1791" s="133">
        <f>VLOOKUP(U1791,Sheet1!$B$6:$C$45,2,FALSE)*V1791</f>
        <v>1</v>
      </c>
      <c r="X1791" s="141"/>
      <c r="Y1791" s="122" t="s">
        <v>281</v>
      </c>
      <c r="Z1791" s="146">
        <f>VLOOKUP(Takeoffs!Y1791,Sheet1!$B$6:$C$124,2,FALSE)</f>
        <v>109.25999999999999</v>
      </c>
      <c r="AA1791" s="146">
        <f t="shared" si="818"/>
        <v>109.25999999999999</v>
      </c>
      <c r="AB1791" s="143">
        <f t="shared" si="819"/>
        <v>1</v>
      </c>
      <c r="AC1791" s="133">
        <f t="shared" si="820"/>
        <v>1</v>
      </c>
      <c r="AD1791" s="142">
        <v>1</v>
      </c>
      <c r="AE1791" s="141"/>
      <c r="AF1791" s="121" t="s">
        <v>293</v>
      </c>
      <c r="AG1791" s="146">
        <f>VLOOKUP(Takeoffs!AF1791,Sheet1!$B$6:$C$124,2,FALSE)</f>
        <v>0</v>
      </c>
      <c r="AH1791" s="146">
        <f t="shared" si="821"/>
        <v>0</v>
      </c>
      <c r="AI1791" s="143">
        <f t="shared" si="822"/>
        <v>0</v>
      </c>
      <c r="AJ1791" s="133">
        <f t="shared" si="823"/>
        <v>1</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1</v>
      </c>
      <c r="T1792" s="120"/>
      <c r="U1792" s="121" t="s">
        <v>365</v>
      </c>
      <c r="V1792" s="133">
        <f t="shared" si="817"/>
        <v>1</v>
      </c>
      <c r="W1792" s="133">
        <f>VLOOKUP(U1792,Sheet1!$B$6:$C$45,2,FALSE)*V1792</f>
        <v>1</v>
      </c>
      <c r="X1792" s="141"/>
      <c r="Y1792" s="122" t="s">
        <v>323</v>
      </c>
      <c r="Z1792" s="146">
        <f>VLOOKUP(Takeoffs!Y1792,Sheet1!$B$6:$C$124,2,FALSE)</f>
        <v>60</v>
      </c>
      <c r="AA1792" s="146">
        <f t="shared" si="818"/>
        <v>60</v>
      </c>
      <c r="AB1792" s="143">
        <f t="shared" si="819"/>
        <v>1</v>
      </c>
      <c r="AC1792" s="133">
        <f t="shared" si="820"/>
        <v>1</v>
      </c>
      <c r="AD1792" s="142">
        <v>1</v>
      </c>
      <c r="AE1792" s="141"/>
      <c r="AF1792" s="121" t="s">
        <v>293</v>
      </c>
      <c r="AG1792" s="146">
        <f>VLOOKUP(Takeoffs!AF1792,Sheet1!$B$6:$C$124,2,FALSE)</f>
        <v>0</v>
      </c>
      <c r="AH1792" s="146">
        <f t="shared" si="821"/>
        <v>0</v>
      </c>
      <c r="AI1792" s="143">
        <f t="shared" si="822"/>
        <v>0</v>
      </c>
      <c r="AJ1792" s="133">
        <f t="shared" si="823"/>
        <v>1</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458</v>
      </c>
      <c r="S1793" s="133">
        <f>M1778</f>
        <v>1</v>
      </c>
      <c r="T1793" s="120"/>
      <c r="U1793" s="121" t="s">
        <v>293</v>
      </c>
      <c r="V1793" s="133">
        <f t="shared" si="817"/>
        <v>1</v>
      </c>
      <c r="W1793" s="133">
        <f>VLOOKUP(U1793,Sheet1!$B$6:$C$45,2,FALSE)*V1793</f>
        <v>0</v>
      </c>
      <c r="X1793" s="141"/>
      <c r="Y1793" s="122" t="s">
        <v>280</v>
      </c>
      <c r="Z1793" s="146">
        <f>VLOOKUP(Takeoffs!Y1793,Sheet1!$B$6:$C$124,2,FALSE)</f>
        <v>19.2</v>
      </c>
      <c r="AA1793" s="146">
        <f t="shared" si="818"/>
        <v>19.2</v>
      </c>
      <c r="AB1793" s="143">
        <f t="shared" si="819"/>
        <v>1</v>
      </c>
      <c r="AC1793" s="133">
        <f t="shared" si="820"/>
        <v>1</v>
      </c>
      <c r="AD1793" s="142">
        <v>1</v>
      </c>
      <c r="AE1793" s="141"/>
      <c r="AF1793" s="121" t="s">
        <v>293</v>
      </c>
      <c r="AG1793" s="146">
        <f>VLOOKUP(Takeoffs!AF1793,Sheet1!$B$6:$C$124,2,FALSE)</f>
        <v>0</v>
      </c>
      <c r="AH1793" s="146">
        <f t="shared" si="821"/>
        <v>0</v>
      </c>
      <c r="AI1793" s="143">
        <f t="shared" si="822"/>
        <v>0</v>
      </c>
      <c r="AJ1793" s="133">
        <f t="shared" si="823"/>
        <v>1</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1</v>
      </c>
      <c r="T1794" s="120"/>
      <c r="U1794" s="121" t="s">
        <v>293</v>
      </c>
      <c r="V1794" s="133">
        <f t="shared" si="817"/>
        <v>1</v>
      </c>
      <c r="W1794" s="133">
        <f>VLOOKUP(U1794,Sheet1!$B$6:$C$45,2,FALSE)*V1794</f>
        <v>0</v>
      </c>
      <c r="X1794" s="141"/>
      <c r="Y1794" s="122" t="s">
        <v>280</v>
      </c>
      <c r="Z1794" s="146">
        <f>VLOOKUP(Takeoffs!Y1794,Sheet1!$B$6:$C$124,2,FALSE)</f>
        <v>19.2</v>
      </c>
      <c r="AA1794" s="146">
        <f t="shared" si="818"/>
        <v>19.2</v>
      </c>
      <c r="AB1794" s="143">
        <f t="shared" si="819"/>
        <v>1</v>
      </c>
      <c r="AC1794" s="133">
        <f t="shared" si="820"/>
        <v>1</v>
      </c>
      <c r="AD1794" s="142">
        <v>1</v>
      </c>
      <c r="AE1794" s="141"/>
      <c r="AF1794" s="121" t="s">
        <v>293</v>
      </c>
      <c r="AG1794" s="146">
        <f>VLOOKUP(Takeoffs!AF1794,Sheet1!$B$6:$C$124,2,FALSE)</f>
        <v>0</v>
      </c>
      <c r="AH1794" s="146">
        <f t="shared" si="821"/>
        <v>0</v>
      </c>
      <c r="AI1794" s="143">
        <f t="shared" si="822"/>
        <v>0</v>
      </c>
      <c r="AJ1794" s="133">
        <f t="shared" si="823"/>
        <v>1</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331</v>
      </c>
      <c r="P1795" s="121"/>
      <c r="Q1795" s="121"/>
      <c r="R1795" s="121" t="s">
        <v>305</v>
      </c>
      <c r="S1795" s="133">
        <f>M1778</f>
        <v>1</v>
      </c>
      <c r="T1795" s="120"/>
      <c r="U1795" s="121" t="s">
        <v>293</v>
      </c>
      <c r="V1795" s="133">
        <f t="shared" si="817"/>
        <v>1</v>
      </c>
      <c r="W1795" s="133">
        <f>VLOOKUP(U1795,Sheet1!$B$6:$C$45,2,FALSE)*V1795</f>
        <v>0</v>
      </c>
      <c r="X1795" s="141"/>
      <c r="Y1795" s="122" t="s">
        <v>277</v>
      </c>
      <c r="Z1795" s="146">
        <f>VLOOKUP(Takeoffs!Y1795,Sheet1!$B$6:$C$124,2,FALSE)</f>
        <v>69.540000000000006</v>
      </c>
      <c r="AA1795" s="146">
        <f t="shared" si="818"/>
        <v>69.540000000000006</v>
      </c>
      <c r="AB1795" s="143">
        <f t="shared" si="819"/>
        <v>1</v>
      </c>
      <c r="AC1795" s="133">
        <f t="shared" si="820"/>
        <v>1</v>
      </c>
      <c r="AD1795" s="142">
        <v>1</v>
      </c>
      <c r="AE1795" s="141"/>
      <c r="AF1795" s="121" t="s">
        <v>293</v>
      </c>
      <c r="AG1795" s="146">
        <f>VLOOKUP(Takeoffs!AF1795,Sheet1!$B$6:$C$124,2,FALSE)</f>
        <v>0</v>
      </c>
      <c r="AH1795" s="146">
        <f t="shared" si="821"/>
        <v>0</v>
      </c>
      <c r="AI1795" s="143">
        <f t="shared" si="822"/>
        <v>0</v>
      </c>
      <c r="AJ1795" s="133">
        <f t="shared" si="823"/>
        <v>1</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1</v>
      </c>
      <c r="T1796" s="120"/>
      <c r="U1796" s="121" t="s">
        <v>293</v>
      </c>
      <c r="V1796" s="133">
        <f t="shared" si="817"/>
        <v>1</v>
      </c>
      <c r="W1796" s="133">
        <f>VLOOKUP(U1796,Sheet1!$B$6:$C$45,2,FALSE)*V1796</f>
        <v>0</v>
      </c>
      <c r="X1796" s="141"/>
      <c r="Y1796" s="121" t="s">
        <v>293</v>
      </c>
      <c r="Z1796" s="146">
        <f>VLOOKUP(Takeoffs!Y1796,Sheet1!$B$6:$C$124,2,FALSE)</f>
        <v>0</v>
      </c>
      <c r="AA1796" s="146">
        <f t="shared" si="818"/>
        <v>0</v>
      </c>
      <c r="AB1796" s="143">
        <f t="shared" si="819"/>
        <v>1</v>
      </c>
      <c r="AC1796" s="133">
        <f t="shared" si="820"/>
        <v>1</v>
      </c>
      <c r="AD1796" s="142">
        <v>1</v>
      </c>
      <c r="AE1796" s="141"/>
      <c r="AF1796" s="121" t="s">
        <v>293</v>
      </c>
      <c r="AG1796" s="146">
        <f>VLOOKUP(Takeoffs!AF1796,Sheet1!$B$6:$C$124,2,FALSE)</f>
        <v>0</v>
      </c>
      <c r="AH1796" s="146">
        <f t="shared" si="821"/>
        <v>0</v>
      </c>
      <c r="AI1796" s="143">
        <f t="shared" si="822"/>
        <v>0</v>
      </c>
      <c r="AJ1796" s="133">
        <f t="shared" si="823"/>
        <v>1</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414</v>
      </c>
      <c r="P1797" s="121" t="s">
        <v>382</v>
      </c>
      <c r="Q1797" s="121" t="s">
        <v>386</v>
      </c>
      <c r="R1797" s="121"/>
      <c r="S1797" s="133">
        <f>M1778</f>
        <v>1</v>
      </c>
      <c r="T1797" s="120"/>
      <c r="U1797" s="121" t="s">
        <v>293</v>
      </c>
      <c r="V1797" s="133">
        <f t="shared" si="817"/>
        <v>1</v>
      </c>
      <c r="W1797" s="133">
        <f>VLOOKUP(U1797,Sheet1!$B$6:$C$45,2,FALSE)*V1797</f>
        <v>0</v>
      </c>
      <c r="X1797" s="141"/>
      <c r="Y1797" s="122" t="s">
        <v>324</v>
      </c>
      <c r="Z1797" s="146">
        <f>VLOOKUP(Takeoffs!Y1797,Sheet1!$B$6:$C$124,2,FALSE)</f>
        <v>48</v>
      </c>
      <c r="AA1797" s="146">
        <f t="shared" si="818"/>
        <v>48</v>
      </c>
      <c r="AB1797" s="143">
        <f t="shared" si="819"/>
        <v>1</v>
      </c>
      <c r="AC1797" s="133">
        <f t="shared" si="820"/>
        <v>1</v>
      </c>
      <c r="AD1797" s="142">
        <v>1</v>
      </c>
      <c r="AE1797" s="141"/>
      <c r="AF1797" s="121" t="s">
        <v>293</v>
      </c>
      <c r="AG1797" s="146">
        <f>VLOOKUP(Takeoffs!AF1797,Sheet1!$B$6:$C$124,2,FALSE)</f>
        <v>0</v>
      </c>
      <c r="AH1797" s="146">
        <f t="shared" si="821"/>
        <v>0</v>
      </c>
      <c r="AI1797" s="143">
        <f t="shared" si="822"/>
        <v>0</v>
      </c>
      <c r="AJ1797" s="133">
        <f t="shared" si="823"/>
        <v>1</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410</v>
      </c>
      <c r="P1798" s="121"/>
      <c r="Q1798" s="121"/>
      <c r="R1798" s="121"/>
      <c r="S1798" s="133">
        <f>M1778</f>
        <v>1</v>
      </c>
      <c r="T1798" s="120"/>
      <c r="U1798" s="121" t="s">
        <v>366</v>
      </c>
      <c r="V1798" s="133">
        <f t="shared" si="817"/>
        <v>1</v>
      </c>
      <c r="W1798" s="133">
        <f>VLOOKUP(U1798,Sheet1!$B$6:$C$45,2,FALSE)*V1798</f>
        <v>2</v>
      </c>
      <c r="X1798" s="141"/>
      <c r="Y1798" s="121" t="s">
        <v>293</v>
      </c>
      <c r="Z1798" s="146">
        <f>VLOOKUP(Takeoffs!Y1798,Sheet1!$B$6:$C$124,2,FALSE)</f>
        <v>0</v>
      </c>
      <c r="AA1798" s="146">
        <f t="shared" si="818"/>
        <v>0</v>
      </c>
      <c r="AB1798" s="143">
        <f t="shared" si="819"/>
        <v>1</v>
      </c>
      <c r="AC1798" s="133">
        <f t="shared" si="820"/>
        <v>1</v>
      </c>
      <c r="AD1798" s="142">
        <v>1</v>
      </c>
      <c r="AE1798" s="141"/>
      <c r="AF1798" s="121" t="s">
        <v>293</v>
      </c>
      <c r="AG1798" s="146">
        <f>VLOOKUP(Takeoffs!AF1798,Sheet1!$B$6:$C$124,2,FALSE)</f>
        <v>0</v>
      </c>
      <c r="AH1798" s="146">
        <f t="shared" si="821"/>
        <v>0</v>
      </c>
      <c r="AI1798" s="143">
        <f t="shared" si="822"/>
        <v>0</v>
      </c>
      <c r="AJ1798" s="133">
        <f t="shared" si="823"/>
        <v>1</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379</v>
      </c>
      <c r="L1799" s="128" t="s">
        <v>380</v>
      </c>
      <c r="N1799" s="129"/>
      <c r="O1799" s="130" t="s">
        <v>359</v>
      </c>
      <c r="P1799" s="131">
        <f>V1799+AA1799+AH1799</f>
        <v>2830.7039999999997</v>
      </c>
      <c r="Q1799" s="131"/>
      <c r="R1799" s="131"/>
      <c r="S1799" s="130"/>
      <c r="T1799" s="127"/>
      <c r="U1799" s="126" t="s">
        <v>353</v>
      </c>
      <c r="V1799" s="127">
        <f>W1799*80</f>
        <v>840</v>
      </c>
      <c r="W1799" s="147">
        <f>SUM(W1778:W1798)</f>
        <v>10.5</v>
      </c>
      <c r="X1799" s="148"/>
      <c r="Y1799" s="127" t="s">
        <v>354</v>
      </c>
      <c r="Z1799" s="116"/>
      <c r="AA1799" s="116">
        <f>SUM(AA1778:AA1798)</f>
        <v>1782.624</v>
      </c>
      <c r="AB1799" s="149"/>
      <c r="AC1799" s="149"/>
      <c r="AD1799" s="149"/>
      <c r="AE1799" s="149"/>
      <c r="AF1799" s="127" t="s">
        <v>358</v>
      </c>
      <c r="AG1799" s="116"/>
      <c r="AH1799" s="116">
        <f>SUM(AH1778:AH1798)</f>
        <v>208.07999999999998</v>
      </c>
      <c r="AI1799" s="149"/>
      <c r="AJ1799" s="149"/>
      <c r="AK1799" s="149"/>
      <c r="AL1799" s="149"/>
      <c r="AM1799" s="150">
        <f>P1799</f>
        <v>2830.7039999999997</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494</v>
      </c>
      <c r="C1800" s="217" t="str">
        <f>N1778</f>
        <v>smoke exhaust systems</v>
      </c>
      <c r="D1800" s="260" t="s">
        <v>680</v>
      </c>
      <c r="E1800" s="238"/>
      <c r="F1800" s="217"/>
      <c r="G1800" s="217"/>
      <c r="H1800" s="245"/>
      <c r="I1800" s="270">
        <v>1</v>
      </c>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one (1)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2830.7039999999997</v>
      </c>
      <c r="L1800" s="234" t="str">
        <f>CONCATENATE(Q1779,Q1780,Q1781,Q1782,Q1783,Q1784,Q1785,Q1786,Q1787,Q1788,Q1789,Q1790,Q1791,Q1792,Q1793,Q1794,Q1795,Q1796,Q1797,Q1798,)</f>
        <v>fire cabling from FIP.</v>
      </c>
      <c r="M1800" s="166" t="s">
        <v>369</v>
      </c>
      <c r="N1800" s="160" t="str">
        <f>N1778</f>
        <v>smoke exhaust systems</v>
      </c>
      <c r="O1800" s="160" t="s">
        <v>367</v>
      </c>
      <c r="P1800" s="64">
        <f>P1799/M1778</f>
        <v>2830.7039999999997</v>
      </c>
      <c r="Q1800" s="161"/>
      <c r="R1800" s="161"/>
      <c r="S1800" s="160"/>
      <c r="T1800" s="161"/>
      <c r="U1800" s="327" t="s">
        <v>368</v>
      </c>
      <c r="V1800" s="327"/>
      <c r="W1800" s="162">
        <f>W1799/M1778</f>
        <v>10.5</v>
      </c>
      <c r="X1800" s="163"/>
      <c r="Y1800" s="325" t="s">
        <v>367</v>
      </c>
      <c r="Z1800" s="325"/>
      <c r="AA1800" s="164">
        <f>AA1799/M1778</f>
        <v>1782.624</v>
      </c>
      <c r="AB1800" s="161"/>
      <c r="AC1800" s="161"/>
      <c r="AD1800" s="161"/>
      <c r="AE1800" s="161"/>
      <c r="AF1800" s="325" t="s">
        <v>367</v>
      </c>
      <c r="AG1800" s="325"/>
      <c r="AH1800" s="164">
        <f>AH1799/M1778</f>
        <v>208.07999999999998</v>
      </c>
      <c r="AI1800" s="161"/>
      <c r="AJ1800" s="161"/>
      <c r="AK1800" s="161"/>
      <c r="AL1800" s="247"/>
      <c r="AM1800" s="257"/>
      <c r="AN1800" s="236">
        <f>K1800*1.25</f>
        <v>3538.3799999999997</v>
      </c>
      <c r="AO1800" s="286"/>
      <c r="AP1800" s="284">
        <f t="shared" si="803"/>
        <v>2830.7039999999997</v>
      </c>
      <c r="AQ1800" s="281">
        <f t="shared" si="804"/>
        <v>840</v>
      </c>
      <c r="AR1800" s="284">
        <f t="shared" si="805"/>
        <v>1782.624</v>
      </c>
      <c r="AS1800" s="281">
        <f t="shared" si="806"/>
        <v>208.07999999999998</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454</v>
      </c>
      <c r="M1801" s="2" t="s">
        <v>107</v>
      </c>
      <c r="N1801" s="2" t="s">
        <v>108</v>
      </c>
      <c r="O1801" s="97" t="s">
        <v>388</v>
      </c>
      <c r="P1801" s="326" t="s">
        <v>377</v>
      </c>
      <c r="Q1801" s="326"/>
      <c r="R1801" s="101" t="s">
        <v>454</v>
      </c>
      <c r="S1801" s="2" t="s">
        <v>0</v>
      </c>
      <c r="T1801" s="9"/>
      <c r="U1801" s="2" t="s">
        <v>288</v>
      </c>
      <c r="V1801" s="2" t="s">
        <v>289</v>
      </c>
      <c r="W1801" s="2" t="s">
        <v>292</v>
      </c>
      <c r="X1801" s="58"/>
      <c r="Y1801" s="2" t="s">
        <v>290</v>
      </c>
      <c r="Z1801" s="2" t="s">
        <v>356</v>
      </c>
      <c r="AA1801" s="2" t="s">
        <v>357</v>
      </c>
      <c r="AB1801" s="2" t="s">
        <v>319</v>
      </c>
      <c r="AC1801" s="2" t="s">
        <v>320</v>
      </c>
      <c r="AD1801" s="2" t="s">
        <v>318</v>
      </c>
      <c r="AE1801" s="58"/>
      <c r="AF1801" s="2" t="s">
        <v>294</v>
      </c>
      <c r="AG1801" s="2" t="s">
        <v>356</v>
      </c>
      <c r="AH1801" s="2" t="s">
        <v>357</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one</v>
      </c>
      <c r="M1802" s="121">
        <f>I1824</f>
        <v>1</v>
      </c>
      <c r="N1802" s="27" t="s">
        <v>304</v>
      </c>
      <c r="O1802" s="12" t="s">
        <v>349</v>
      </c>
      <c r="P1802" s="96" t="s">
        <v>381</v>
      </c>
      <c r="Q1802" s="96" t="s">
        <v>377</v>
      </c>
      <c r="R1802" s="96"/>
      <c r="S1802" s="28">
        <f>M1802</f>
        <v>1</v>
      </c>
      <c r="T1802" s="10"/>
      <c r="U1802" s="74" t="s">
        <v>293</v>
      </c>
      <c r="V1802" s="28">
        <f>S1802</f>
        <v>1</v>
      </c>
      <c r="W1802" s="28">
        <f>VLOOKUP(U1802,Sheet1!$B$6:$C$45,2,FALSE)*V1802</f>
        <v>0</v>
      </c>
      <c r="X1802" s="59"/>
      <c r="Y1802" s="12" t="s">
        <v>293</v>
      </c>
      <c r="Z1802" s="68">
        <f>VLOOKUP(Takeoffs!Y1802,Sheet1!$B$6:$C$124,2,FALSE)</f>
        <v>0</v>
      </c>
      <c r="AA1802" s="68">
        <f>Z1802*AB1802</f>
        <v>0</v>
      </c>
      <c r="AB1802" s="63">
        <f>AD1802*AC1802</f>
        <v>1</v>
      </c>
      <c r="AC1802" s="28">
        <f>S1802</f>
        <v>1</v>
      </c>
      <c r="AD1802" s="61">
        <v>1</v>
      </c>
      <c r="AE1802" s="59"/>
      <c r="AF1802" s="12" t="s">
        <v>293</v>
      </c>
      <c r="AG1802" s="68">
        <f>VLOOKUP(Takeoffs!AF1802,Sheet1!$B$6:$C$124,2,FALSE)</f>
        <v>0</v>
      </c>
      <c r="AH1802" s="68">
        <f>AG1802*AI1802</f>
        <v>0</v>
      </c>
      <c r="AI1802" s="63">
        <f>AK1802*AJ1802</f>
        <v>0</v>
      </c>
      <c r="AJ1802" s="28">
        <f>S1802</f>
        <v>1</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413</v>
      </c>
      <c r="P1803" s="12"/>
      <c r="Q1803" s="12"/>
      <c r="R1803" s="12"/>
      <c r="S1803" s="28">
        <f>M1802</f>
        <v>1</v>
      </c>
      <c r="T1803" s="11"/>
      <c r="U1803" s="12" t="s">
        <v>235</v>
      </c>
      <c r="V1803" s="28">
        <f t="shared" ref="V1803:V1822" si="826">S1803</f>
        <v>1</v>
      </c>
      <c r="W1803" s="28">
        <f>VLOOKUP(U1803,Sheet1!$B$6:$C$45,2,FALSE)*V1803</f>
        <v>1.5</v>
      </c>
      <c r="X1803" s="59"/>
      <c r="Y1803" s="12" t="s">
        <v>293</v>
      </c>
      <c r="Z1803" s="68">
        <f>VLOOKUP(Takeoffs!Y1803,Sheet1!$B$6:$C$124,2,FALSE)</f>
        <v>0</v>
      </c>
      <c r="AA1803" s="68">
        <f t="shared" ref="AA1803:AA1822" si="827">Z1803*AB1803</f>
        <v>0</v>
      </c>
      <c r="AB1803" s="63">
        <f t="shared" ref="AB1803:AB1822" si="828">AD1803*AC1803</f>
        <v>1</v>
      </c>
      <c r="AC1803" s="28">
        <f>S1803</f>
        <v>1</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1</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1</v>
      </c>
      <c r="T1804" s="11"/>
      <c r="U1804" s="12" t="s">
        <v>293</v>
      </c>
      <c r="V1804" s="28">
        <f t="shared" si="826"/>
        <v>1</v>
      </c>
      <c r="W1804" s="28">
        <f>VLOOKUP(U1804,Sheet1!$B$6:$C$45,2,FALSE)*V1804</f>
        <v>0</v>
      </c>
      <c r="X1804" s="59"/>
      <c r="Y1804" s="13" t="s">
        <v>252</v>
      </c>
      <c r="Z1804" s="68">
        <f>VLOOKUP(Takeoffs!Y1804,Sheet1!$B$6:$C$124,2,FALSE)</f>
        <v>43.440000000000005</v>
      </c>
      <c r="AA1804" s="68">
        <f t="shared" si="827"/>
        <v>43.440000000000005</v>
      </c>
      <c r="AB1804" s="63">
        <f t="shared" si="828"/>
        <v>1</v>
      </c>
      <c r="AC1804" s="28">
        <f>S1804</f>
        <v>1</v>
      </c>
      <c r="AD1804" s="61">
        <v>1</v>
      </c>
      <c r="AE1804" s="59"/>
      <c r="AF1804" s="12" t="s">
        <v>293</v>
      </c>
      <c r="AG1804" s="68">
        <f>VLOOKUP(Takeoffs!AF1804,Sheet1!$B$6:$C$124,2,FALSE)</f>
        <v>0</v>
      </c>
      <c r="AH1804" s="68">
        <f t="shared" si="829"/>
        <v>0</v>
      </c>
      <c r="AI1804" s="63">
        <f t="shared" si="830"/>
        <v>0</v>
      </c>
      <c r="AJ1804" s="28">
        <f t="shared" si="831"/>
        <v>1</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1</v>
      </c>
      <c r="T1805" s="11"/>
      <c r="U1805" s="12" t="s">
        <v>363</v>
      </c>
      <c r="V1805" s="28">
        <f t="shared" si="826"/>
        <v>1</v>
      </c>
      <c r="W1805" s="28">
        <f>VLOOKUP(U1805,Sheet1!$B$6:$C$45,2,FALSE)*V1805</f>
        <v>1</v>
      </c>
      <c r="X1805" s="59"/>
      <c r="Y1805" s="12" t="s">
        <v>293</v>
      </c>
      <c r="Z1805" s="68">
        <f>VLOOKUP(Takeoffs!Y1805,Sheet1!$B$6:$C$124,2,FALSE)</f>
        <v>0</v>
      </c>
      <c r="AA1805" s="68">
        <f t="shared" si="827"/>
        <v>0</v>
      </c>
      <c r="AB1805" s="63">
        <f t="shared" si="828"/>
        <v>1</v>
      </c>
      <c r="AC1805" s="28">
        <f t="shared" ref="AC1805:AC1822" si="833">S1805</f>
        <v>1</v>
      </c>
      <c r="AD1805" s="61">
        <v>1</v>
      </c>
      <c r="AE1805" s="59"/>
      <c r="AF1805" s="13" t="s">
        <v>267</v>
      </c>
      <c r="AG1805" s="68">
        <f>VLOOKUP(Takeoffs!AF1805,Sheet1!$B$6:$C$124,2,FALSE)</f>
        <v>3.48</v>
      </c>
      <c r="AH1805" s="68">
        <f t="shared" si="829"/>
        <v>5.22</v>
      </c>
      <c r="AI1805" s="63">
        <f t="shared" si="830"/>
        <v>1.5</v>
      </c>
      <c r="AJ1805" s="28">
        <f t="shared" si="831"/>
        <v>1</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393</v>
      </c>
      <c r="P1806" s="12"/>
      <c r="Q1806" s="12"/>
      <c r="R1806" s="12"/>
      <c r="S1806" s="28">
        <f>M1802</f>
        <v>1</v>
      </c>
      <c r="T1806" s="11"/>
      <c r="U1806" s="12" t="s">
        <v>293</v>
      </c>
      <c r="V1806" s="28">
        <f t="shared" si="826"/>
        <v>1</v>
      </c>
      <c r="W1806" s="28">
        <f>VLOOKUP(U1806,Sheet1!$B$6:$C$45,2,FALSE)*V1806</f>
        <v>0</v>
      </c>
      <c r="X1806" s="59"/>
      <c r="Y1806" s="13" t="s">
        <v>265</v>
      </c>
      <c r="Z1806" s="68">
        <f>VLOOKUP(Takeoffs!Y1806,Sheet1!$B$6:$C$124,2,FALSE)</f>
        <v>971.52</v>
      </c>
      <c r="AA1806" s="68">
        <f t="shared" si="827"/>
        <v>971.52</v>
      </c>
      <c r="AB1806" s="63">
        <f t="shared" si="828"/>
        <v>1</v>
      </c>
      <c r="AC1806" s="28">
        <f t="shared" si="833"/>
        <v>1</v>
      </c>
      <c r="AD1806" s="61">
        <v>1</v>
      </c>
      <c r="AE1806" s="59"/>
      <c r="AF1806" s="12" t="s">
        <v>293</v>
      </c>
      <c r="AG1806" s="68">
        <f>VLOOKUP(Takeoffs!AF1806,Sheet1!$B$6:$C$124,2,FALSE)</f>
        <v>0</v>
      </c>
      <c r="AH1806" s="68">
        <f t="shared" si="829"/>
        <v>0</v>
      </c>
      <c r="AI1806" s="63">
        <f t="shared" si="830"/>
        <v>0</v>
      </c>
      <c r="AJ1806" s="28">
        <f t="shared" si="831"/>
        <v>1</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392</v>
      </c>
      <c r="P1807" s="12"/>
      <c r="Q1807" s="12"/>
      <c r="R1807" s="12"/>
      <c r="S1807" s="28">
        <f>M1802</f>
        <v>1</v>
      </c>
      <c r="T1807" s="11"/>
      <c r="U1807" s="12" t="s">
        <v>293</v>
      </c>
      <c r="V1807" s="28">
        <f t="shared" si="826"/>
        <v>1</v>
      </c>
      <c r="W1807" s="28">
        <f>VLOOKUP(U1807,Sheet1!$B$6:$C$45,2,FALSE)*V1807</f>
        <v>0</v>
      </c>
      <c r="X1807" s="59"/>
      <c r="Y1807" s="12" t="s">
        <v>293</v>
      </c>
      <c r="Z1807" s="68">
        <f>VLOOKUP(Takeoffs!Y1807,Sheet1!$B$6:$C$124,2,FALSE)</f>
        <v>0</v>
      </c>
      <c r="AA1807" s="68">
        <f t="shared" si="827"/>
        <v>0</v>
      </c>
      <c r="AB1807" s="63">
        <f t="shared" si="828"/>
        <v>1</v>
      </c>
      <c r="AC1807" s="28">
        <f t="shared" si="833"/>
        <v>1</v>
      </c>
      <c r="AD1807" s="61">
        <v>1</v>
      </c>
      <c r="AE1807" s="59"/>
      <c r="AF1807" s="13" t="s">
        <v>270</v>
      </c>
      <c r="AG1807" s="68">
        <f>VLOOKUP(Takeoffs!AF1807,Sheet1!$B$6:$C$124,2,FALSE)</f>
        <v>5.7960000000000003</v>
      </c>
      <c r="AH1807" s="68">
        <f t="shared" si="829"/>
        <v>86.94</v>
      </c>
      <c r="AI1807" s="63">
        <f t="shared" si="830"/>
        <v>15</v>
      </c>
      <c r="AJ1807" s="28">
        <f t="shared" si="831"/>
        <v>1</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1</v>
      </c>
      <c r="T1808" s="11"/>
      <c r="U1808" s="12" t="s">
        <v>293</v>
      </c>
      <c r="V1808" s="28">
        <f t="shared" si="826"/>
        <v>1</v>
      </c>
      <c r="W1808" s="28">
        <f>VLOOKUP(U1808,Sheet1!$B$6:$C$45,2,FALSE)*V1808</f>
        <v>0</v>
      </c>
      <c r="X1808" s="59"/>
      <c r="Y1808" s="13" t="s">
        <v>245</v>
      </c>
      <c r="Z1808" s="68">
        <f>VLOOKUP(Takeoffs!Y1808,Sheet1!$B$6:$C$124,2,FALSE)</f>
        <v>46.463999999999999</v>
      </c>
      <c r="AA1808" s="68">
        <f t="shared" si="827"/>
        <v>46.463999999999999</v>
      </c>
      <c r="AB1808" s="63">
        <f t="shared" si="828"/>
        <v>1</v>
      </c>
      <c r="AC1808" s="28">
        <f t="shared" si="833"/>
        <v>1</v>
      </c>
      <c r="AD1808" s="61">
        <v>1</v>
      </c>
      <c r="AE1808" s="59"/>
      <c r="AF1808" s="12" t="s">
        <v>293</v>
      </c>
      <c r="AG1808" s="68">
        <f>VLOOKUP(Takeoffs!AF1808,Sheet1!$B$6:$C$124,2,FALSE)</f>
        <v>0</v>
      </c>
      <c r="AH1808" s="68">
        <f t="shared" si="829"/>
        <v>0</v>
      </c>
      <c r="AI1808" s="63">
        <f t="shared" si="830"/>
        <v>0</v>
      </c>
      <c r="AJ1808" s="28">
        <f t="shared" si="831"/>
        <v>1</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1</v>
      </c>
      <c r="T1809" s="11"/>
      <c r="U1809" s="12" t="s">
        <v>293</v>
      </c>
      <c r="V1809" s="28">
        <f t="shared" si="826"/>
        <v>1</v>
      </c>
      <c r="W1809" s="28">
        <f>VLOOKUP(U1809,Sheet1!$B$6:$C$45,2,FALSE)*V1809</f>
        <v>0</v>
      </c>
      <c r="X1809" s="59"/>
      <c r="Y1809" s="13" t="s">
        <v>278</v>
      </c>
      <c r="Z1809" s="68">
        <f>VLOOKUP(Takeoffs!Y1809,Sheet1!$B$6:$C$124,2,FALSE)</f>
        <v>36</v>
      </c>
      <c r="AA1809" s="68">
        <f t="shared" si="827"/>
        <v>36</v>
      </c>
      <c r="AB1809" s="63">
        <f t="shared" si="828"/>
        <v>1</v>
      </c>
      <c r="AC1809" s="28">
        <f t="shared" si="833"/>
        <v>1</v>
      </c>
      <c r="AD1809" s="61">
        <v>1</v>
      </c>
      <c r="AE1809" s="59"/>
      <c r="AF1809" s="12" t="s">
        <v>293</v>
      </c>
      <c r="AG1809" s="68">
        <f>VLOOKUP(Takeoffs!AF1809,Sheet1!$B$6:$C$124,2,FALSE)</f>
        <v>0</v>
      </c>
      <c r="AH1809" s="68">
        <f t="shared" si="829"/>
        <v>0</v>
      </c>
      <c r="AI1809" s="63">
        <f t="shared" si="830"/>
        <v>0</v>
      </c>
      <c r="AJ1809" s="28">
        <f t="shared" si="831"/>
        <v>1</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1</v>
      </c>
      <c r="T1810" s="11"/>
      <c r="U1810" s="12" t="s">
        <v>293</v>
      </c>
      <c r="V1810" s="28">
        <f t="shared" si="826"/>
        <v>1</v>
      </c>
      <c r="W1810" s="28">
        <f>VLOOKUP(U1810,Sheet1!$B$6:$C$45,2,FALSE)*V1810</f>
        <v>0</v>
      </c>
      <c r="X1810" s="59"/>
      <c r="Y1810" s="13" t="s">
        <v>274</v>
      </c>
      <c r="Z1810" s="68">
        <f>VLOOKUP(Takeoffs!Y1810,Sheet1!$B$6:$C$124,2,FALSE)</f>
        <v>360</v>
      </c>
      <c r="AA1810" s="68">
        <f t="shared" si="827"/>
        <v>360</v>
      </c>
      <c r="AB1810" s="63">
        <f t="shared" si="828"/>
        <v>1</v>
      </c>
      <c r="AC1810" s="28">
        <f t="shared" si="833"/>
        <v>1</v>
      </c>
      <c r="AD1810" s="61">
        <v>1</v>
      </c>
      <c r="AE1810" s="59"/>
      <c r="AF1810" s="12" t="s">
        <v>293</v>
      </c>
      <c r="AG1810" s="68">
        <f>VLOOKUP(Takeoffs!AF1810,Sheet1!$B$6:$C$124,2,FALSE)</f>
        <v>0</v>
      </c>
      <c r="AH1810" s="68">
        <f t="shared" si="829"/>
        <v>0</v>
      </c>
      <c r="AI1810" s="63">
        <f t="shared" si="830"/>
        <v>0</v>
      </c>
      <c r="AJ1810" s="28">
        <f t="shared" si="831"/>
        <v>1</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1</v>
      </c>
      <c r="T1811" s="11"/>
      <c r="U1811" s="12" t="s">
        <v>366</v>
      </c>
      <c r="V1811" s="28">
        <f t="shared" si="826"/>
        <v>1</v>
      </c>
      <c r="W1811" s="28">
        <f>VLOOKUP(U1811,Sheet1!$B$6:$C$45,2,FALSE)*V1811</f>
        <v>2</v>
      </c>
      <c r="X1811" s="59"/>
      <c r="Y1811" s="12" t="s">
        <v>293</v>
      </c>
      <c r="Z1811" s="68">
        <f>VLOOKUP(Takeoffs!Y1811,Sheet1!$B$6:$C$124,2,FALSE)</f>
        <v>0</v>
      </c>
      <c r="AA1811" s="68">
        <f t="shared" si="827"/>
        <v>0</v>
      </c>
      <c r="AB1811" s="63">
        <f t="shared" si="828"/>
        <v>1</v>
      </c>
      <c r="AC1811" s="28">
        <f t="shared" si="833"/>
        <v>1</v>
      </c>
      <c r="AD1811" s="61">
        <v>1</v>
      </c>
      <c r="AE1811" s="59"/>
      <c r="AF1811" s="13" t="s">
        <v>270</v>
      </c>
      <c r="AG1811" s="68">
        <f>VLOOKUP(Takeoffs!AF1811,Sheet1!$B$6:$C$124,2,FALSE)</f>
        <v>5.7960000000000003</v>
      </c>
      <c r="AH1811" s="68">
        <f t="shared" si="829"/>
        <v>231.84</v>
      </c>
      <c r="AI1811" s="63">
        <f t="shared" si="830"/>
        <v>40</v>
      </c>
      <c r="AJ1811" s="28">
        <f t="shared" si="831"/>
        <v>1</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additional stairwell pressure transducers (for redundancy should one fail) for stair  pressurisation systems</v>
      </c>
      <c r="N1812" s="15" t="s">
        <v>122</v>
      </c>
      <c r="O1812" s="66" t="s">
        <v>317</v>
      </c>
      <c r="P1812" s="12"/>
      <c r="Q1812" s="12"/>
      <c r="R1812" s="12" t="s">
        <v>457</v>
      </c>
      <c r="S1812" s="28">
        <f>M1802</f>
        <v>1</v>
      </c>
      <c r="T1812" s="11"/>
      <c r="U1812" s="12" t="s">
        <v>365</v>
      </c>
      <c r="V1812" s="28">
        <f t="shared" si="826"/>
        <v>1</v>
      </c>
      <c r="W1812" s="28">
        <f>VLOOKUP(U1812,Sheet1!$B$6:$C$45,2,FALSE)*V1812</f>
        <v>1</v>
      </c>
      <c r="X1812" s="59"/>
      <c r="Y1812" s="13" t="s">
        <v>321</v>
      </c>
      <c r="Z1812" s="68">
        <f>VLOOKUP(Takeoffs!Y1812,Sheet1!$B$6:$C$124,2,FALSE)</f>
        <v>120</v>
      </c>
      <c r="AA1812" s="68">
        <f t="shared" si="827"/>
        <v>240</v>
      </c>
      <c r="AB1812" s="63">
        <f t="shared" si="828"/>
        <v>2</v>
      </c>
      <c r="AC1812" s="28">
        <f t="shared" si="833"/>
        <v>1</v>
      </c>
      <c r="AD1812" s="61">
        <v>2</v>
      </c>
      <c r="AE1812" s="59"/>
      <c r="AF1812" s="12" t="s">
        <v>293</v>
      </c>
      <c r="AG1812" s="68">
        <f>VLOOKUP(Takeoffs!AF1812,Sheet1!$B$6:$C$124,2,FALSE)</f>
        <v>0</v>
      </c>
      <c r="AH1812" s="68">
        <f t="shared" si="829"/>
        <v>0</v>
      </c>
      <c r="AI1812" s="63">
        <f t="shared" si="830"/>
        <v>0</v>
      </c>
      <c r="AJ1812" s="28">
        <f t="shared" si="831"/>
        <v>1</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1</v>
      </c>
      <c r="T1813" s="11"/>
      <c r="U1813" s="12" t="s">
        <v>365</v>
      </c>
      <c r="V1813" s="28">
        <f t="shared" si="826"/>
        <v>1</v>
      </c>
      <c r="W1813" s="28">
        <f>VLOOKUP(U1813,Sheet1!$B$6:$C$45,2,FALSE)*V1813</f>
        <v>1</v>
      </c>
      <c r="X1813" s="59"/>
      <c r="Y1813" s="12" t="s">
        <v>293</v>
      </c>
      <c r="Z1813" s="68">
        <f>VLOOKUP(Takeoffs!Y1813,Sheet1!$B$6:$C$124,2,FALSE)</f>
        <v>0</v>
      </c>
      <c r="AA1813" s="68">
        <f t="shared" si="827"/>
        <v>0</v>
      </c>
      <c r="AB1813" s="63">
        <f t="shared" si="828"/>
        <v>1</v>
      </c>
      <c r="AC1813" s="28">
        <f t="shared" si="833"/>
        <v>1</v>
      </c>
      <c r="AD1813" s="61">
        <v>1</v>
      </c>
      <c r="AE1813" s="59"/>
      <c r="AF1813" s="13" t="s">
        <v>322</v>
      </c>
      <c r="AG1813" s="68">
        <f>VLOOKUP(Takeoffs!AF1813,Sheet1!$B$6:$C$124,2,FALSE)</f>
        <v>0</v>
      </c>
      <c r="AH1813" s="68">
        <f t="shared" si="829"/>
        <v>0</v>
      </c>
      <c r="AI1813" s="63">
        <f t="shared" si="830"/>
        <v>20</v>
      </c>
      <c r="AJ1813" s="28">
        <f t="shared" si="831"/>
        <v>1</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1</v>
      </c>
      <c r="T1814" s="11"/>
      <c r="U1814" s="12" t="s">
        <v>366</v>
      </c>
      <c r="V1814" s="28">
        <f t="shared" si="826"/>
        <v>1</v>
      </c>
      <c r="W1814" s="28">
        <f>VLOOKUP(U1814,Sheet1!$B$6:$C$45,2,FALSE)*V1814</f>
        <v>2</v>
      </c>
      <c r="X1814" s="59"/>
      <c r="Y1814" s="12" t="s">
        <v>293</v>
      </c>
      <c r="Z1814" s="68">
        <f>VLOOKUP(Takeoffs!Y1814,Sheet1!$B$6:$C$124,2,FALSE)</f>
        <v>0</v>
      </c>
      <c r="AA1814" s="68">
        <f t="shared" si="827"/>
        <v>0</v>
      </c>
      <c r="AB1814" s="63">
        <f t="shared" si="828"/>
        <v>1</v>
      </c>
      <c r="AC1814" s="28">
        <f t="shared" si="833"/>
        <v>1</v>
      </c>
      <c r="AD1814" s="61">
        <v>1</v>
      </c>
      <c r="AE1814" s="59"/>
      <c r="AF1814" s="12" t="s">
        <v>293</v>
      </c>
      <c r="AG1814" s="68">
        <f>VLOOKUP(Takeoffs!AF1814,Sheet1!$B$6:$C$124,2,FALSE)</f>
        <v>0</v>
      </c>
      <c r="AH1814" s="68">
        <f t="shared" si="829"/>
        <v>0</v>
      </c>
      <c r="AI1814" s="63">
        <f t="shared" si="830"/>
        <v>0</v>
      </c>
      <c r="AJ1814" s="28">
        <f t="shared" si="831"/>
        <v>1</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1</v>
      </c>
      <c r="T1815" s="11"/>
      <c r="U1815" s="12" t="s">
        <v>232</v>
      </c>
      <c r="V1815" s="28">
        <f t="shared" si="826"/>
        <v>1</v>
      </c>
      <c r="W1815" s="28">
        <f>VLOOKUP(U1815,Sheet1!$B$6:$C$45,2,FALSE)*V1815</f>
        <v>1</v>
      </c>
      <c r="X1815" s="59"/>
      <c r="Y1815" s="13" t="s">
        <v>281</v>
      </c>
      <c r="Z1815" s="68">
        <f>VLOOKUP(Takeoffs!Y1815,Sheet1!$B$6:$C$124,2,FALSE)</f>
        <v>109.25999999999999</v>
      </c>
      <c r="AA1815" s="68">
        <f t="shared" si="827"/>
        <v>109.25999999999999</v>
      </c>
      <c r="AB1815" s="63">
        <f t="shared" si="828"/>
        <v>1</v>
      </c>
      <c r="AC1815" s="28">
        <f t="shared" si="833"/>
        <v>1</v>
      </c>
      <c r="AD1815" s="61">
        <v>1</v>
      </c>
      <c r="AE1815" s="59"/>
      <c r="AF1815" s="12" t="s">
        <v>293</v>
      </c>
      <c r="AG1815" s="68">
        <f>VLOOKUP(Takeoffs!AF1815,Sheet1!$B$6:$C$124,2,FALSE)</f>
        <v>0</v>
      </c>
      <c r="AH1815" s="68">
        <f t="shared" si="829"/>
        <v>0</v>
      </c>
      <c r="AI1815" s="63">
        <f t="shared" si="830"/>
        <v>0</v>
      </c>
      <c r="AJ1815" s="28">
        <f t="shared" si="831"/>
        <v>1</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1</v>
      </c>
      <c r="T1816" s="11"/>
      <c r="U1816" s="12" t="s">
        <v>365</v>
      </c>
      <c r="V1816" s="28">
        <f t="shared" si="826"/>
        <v>1</v>
      </c>
      <c r="W1816" s="28">
        <f>VLOOKUP(U1816,Sheet1!$B$6:$C$45,2,FALSE)*V1816</f>
        <v>1</v>
      </c>
      <c r="X1816" s="59"/>
      <c r="Y1816" s="13" t="s">
        <v>323</v>
      </c>
      <c r="Z1816" s="68">
        <f>VLOOKUP(Takeoffs!Y1816,Sheet1!$B$6:$C$124,2,FALSE)</f>
        <v>60</v>
      </c>
      <c r="AA1816" s="68">
        <f t="shared" si="827"/>
        <v>60</v>
      </c>
      <c r="AB1816" s="63">
        <f t="shared" si="828"/>
        <v>1</v>
      </c>
      <c r="AC1816" s="28">
        <f t="shared" si="833"/>
        <v>1</v>
      </c>
      <c r="AD1816" s="61">
        <v>1</v>
      </c>
      <c r="AE1816" s="59"/>
      <c r="AF1816" s="12" t="s">
        <v>293</v>
      </c>
      <c r="AG1816" s="68">
        <f>VLOOKUP(Takeoffs!AF1816,Sheet1!$B$6:$C$124,2,FALSE)</f>
        <v>0</v>
      </c>
      <c r="AH1816" s="68">
        <f t="shared" si="829"/>
        <v>0</v>
      </c>
      <c r="AI1816" s="63">
        <f t="shared" si="830"/>
        <v>0</v>
      </c>
      <c r="AJ1816" s="28">
        <f t="shared" si="831"/>
        <v>1</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458</v>
      </c>
      <c r="S1817" s="28">
        <f>M1802</f>
        <v>1</v>
      </c>
      <c r="T1817" s="11"/>
      <c r="U1817" s="12" t="s">
        <v>293</v>
      </c>
      <c r="V1817" s="28">
        <f t="shared" si="826"/>
        <v>1</v>
      </c>
      <c r="W1817" s="28">
        <f>VLOOKUP(U1817,Sheet1!$B$6:$C$45,2,FALSE)*V1817</f>
        <v>0</v>
      </c>
      <c r="X1817" s="59"/>
      <c r="Y1817" s="13" t="s">
        <v>280</v>
      </c>
      <c r="Z1817" s="68">
        <f>VLOOKUP(Takeoffs!Y1817,Sheet1!$B$6:$C$124,2,FALSE)</f>
        <v>19.2</v>
      </c>
      <c r="AA1817" s="68">
        <f t="shared" si="827"/>
        <v>19.2</v>
      </c>
      <c r="AB1817" s="63">
        <f t="shared" si="828"/>
        <v>1</v>
      </c>
      <c r="AC1817" s="28">
        <f t="shared" si="833"/>
        <v>1</v>
      </c>
      <c r="AD1817" s="61">
        <v>1</v>
      </c>
      <c r="AE1817" s="59"/>
      <c r="AF1817" s="12" t="s">
        <v>293</v>
      </c>
      <c r="AG1817" s="68">
        <f>VLOOKUP(Takeoffs!AF1817,Sheet1!$B$6:$C$124,2,FALSE)</f>
        <v>0</v>
      </c>
      <c r="AH1817" s="68">
        <f t="shared" si="829"/>
        <v>0</v>
      </c>
      <c r="AI1817" s="63">
        <f t="shared" si="830"/>
        <v>0</v>
      </c>
      <c r="AJ1817" s="28">
        <f t="shared" si="831"/>
        <v>1</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1</v>
      </c>
      <c r="T1818" s="11"/>
      <c r="U1818" s="12" t="s">
        <v>293</v>
      </c>
      <c r="V1818" s="28">
        <f t="shared" si="826"/>
        <v>1</v>
      </c>
      <c r="W1818" s="28">
        <f>VLOOKUP(U1818,Sheet1!$B$6:$C$45,2,FALSE)*V1818</f>
        <v>0</v>
      </c>
      <c r="X1818" s="59"/>
      <c r="Y1818" s="13" t="s">
        <v>280</v>
      </c>
      <c r="Z1818" s="68">
        <f>VLOOKUP(Takeoffs!Y1818,Sheet1!$B$6:$C$124,2,FALSE)</f>
        <v>19.2</v>
      </c>
      <c r="AA1818" s="68">
        <f t="shared" si="827"/>
        <v>19.2</v>
      </c>
      <c r="AB1818" s="63">
        <f t="shared" si="828"/>
        <v>1</v>
      </c>
      <c r="AC1818" s="28">
        <f t="shared" si="833"/>
        <v>1</v>
      </c>
      <c r="AD1818" s="61">
        <v>1</v>
      </c>
      <c r="AE1818" s="59"/>
      <c r="AF1818" s="12" t="s">
        <v>293</v>
      </c>
      <c r="AG1818" s="68">
        <f>VLOOKUP(Takeoffs!AF1818,Sheet1!$B$6:$C$124,2,FALSE)</f>
        <v>0</v>
      </c>
      <c r="AH1818" s="68">
        <f t="shared" si="829"/>
        <v>0</v>
      </c>
      <c r="AI1818" s="63">
        <f t="shared" si="830"/>
        <v>0</v>
      </c>
      <c r="AJ1818" s="28">
        <f t="shared" si="831"/>
        <v>1</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331</v>
      </c>
      <c r="P1819" s="12"/>
      <c r="Q1819" s="12"/>
      <c r="R1819" s="12" t="s">
        <v>305</v>
      </c>
      <c r="S1819" s="28">
        <f>M1802</f>
        <v>1</v>
      </c>
      <c r="T1819" s="11"/>
      <c r="U1819" s="12" t="s">
        <v>293</v>
      </c>
      <c r="V1819" s="28">
        <f t="shared" si="826"/>
        <v>1</v>
      </c>
      <c r="W1819" s="28">
        <f>VLOOKUP(U1819,Sheet1!$B$6:$C$45,2,FALSE)*V1819</f>
        <v>0</v>
      </c>
      <c r="X1819" s="59"/>
      <c r="Y1819" s="13" t="s">
        <v>277</v>
      </c>
      <c r="Z1819" s="68">
        <f>VLOOKUP(Takeoffs!Y1819,Sheet1!$B$6:$C$124,2,FALSE)</f>
        <v>69.540000000000006</v>
      </c>
      <c r="AA1819" s="68">
        <f t="shared" si="827"/>
        <v>69.540000000000006</v>
      </c>
      <c r="AB1819" s="63">
        <f t="shared" si="828"/>
        <v>1</v>
      </c>
      <c r="AC1819" s="28">
        <f t="shared" si="833"/>
        <v>1</v>
      </c>
      <c r="AD1819" s="61">
        <v>1</v>
      </c>
      <c r="AE1819" s="59"/>
      <c r="AF1819" s="12" t="s">
        <v>293</v>
      </c>
      <c r="AG1819" s="68">
        <f>VLOOKUP(Takeoffs!AF1819,Sheet1!$B$6:$C$124,2,FALSE)</f>
        <v>0</v>
      </c>
      <c r="AH1819" s="68">
        <f t="shared" si="829"/>
        <v>0</v>
      </c>
      <c r="AI1819" s="63">
        <f t="shared" si="830"/>
        <v>0</v>
      </c>
      <c r="AJ1819" s="28">
        <f t="shared" si="831"/>
        <v>1</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1</v>
      </c>
      <c r="T1820" s="11"/>
      <c r="U1820" s="12" t="s">
        <v>293</v>
      </c>
      <c r="V1820" s="28">
        <f t="shared" si="826"/>
        <v>1</v>
      </c>
      <c r="W1820" s="28">
        <f>VLOOKUP(U1820,Sheet1!$B$6:$C$45,2,FALSE)*V1820</f>
        <v>0</v>
      </c>
      <c r="X1820" s="59"/>
      <c r="Y1820" s="12" t="s">
        <v>293</v>
      </c>
      <c r="Z1820" s="68">
        <f>VLOOKUP(Takeoffs!Y1820,Sheet1!$B$6:$C$124,2,FALSE)</f>
        <v>0</v>
      </c>
      <c r="AA1820" s="68">
        <f t="shared" si="827"/>
        <v>0</v>
      </c>
      <c r="AB1820" s="63">
        <f t="shared" si="828"/>
        <v>1</v>
      </c>
      <c r="AC1820" s="28">
        <f t="shared" si="833"/>
        <v>1</v>
      </c>
      <c r="AD1820" s="61">
        <v>1</v>
      </c>
      <c r="AE1820" s="59"/>
      <c r="AF1820" s="12" t="s">
        <v>293</v>
      </c>
      <c r="AG1820" s="68">
        <f>VLOOKUP(Takeoffs!AF1820,Sheet1!$B$6:$C$124,2,FALSE)</f>
        <v>0</v>
      </c>
      <c r="AH1820" s="68">
        <f t="shared" si="829"/>
        <v>0</v>
      </c>
      <c r="AI1820" s="63">
        <f t="shared" si="830"/>
        <v>0</v>
      </c>
      <c r="AJ1820" s="28">
        <f t="shared" si="831"/>
        <v>1</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414</v>
      </c>
      <c r="P1821" s="12" t="s">
        <v>382</v>
      </c>
      <c r="Q1821" s="12" t="s">
        <v>386</v>
      </c>
      <c r="R1821" s="12"/>
      <c r="S1821" s="28">
        <f>M1802</f>
        <v>1</v>
      </c>
      <c r="T1821" s="11"/>
      <c r="U1821" s="12" t="s">
        <v>293</v>
      </c>
      <c r="V1821" s="28">
        <f t="shared" si="826"/>
        <v>1</v>
      </c>
      <c r="W1821" s="28">
        <f>VLOOKUP(U1821,Sheet1!$B$6:$C$45,2,FALSE)*V1821</f>
        <v>0</v>
      </c>
      <c r="X1821" s="59"/>
      <c r="Y1821" s="13" t="s">
        <v>324</v>
      </c>
      <c r="Z1821" s="68">
        <f>VLOOKUP(Takeoffs!Y1821,Sheet1!$B$6:$C$124,2,FALSE)</f>
        <v>48</v>
      </c>
      <c r="AA1821" s="68">
        <f t="shared" si="827"/>
        <v>48</v>
      </c>
      <c r="AB1821" s="63">
        <f t="shared" si="828"/>
        <v>1</v>
      </c>
      <c r="AC1821" s="28">
        <f t="shared" si="833"/>
        <v>1</v>
      </c>
      <c r="AD1821" s="61">
        <v>1</v>
      </c>
      <c r="AE1821" s="59"/>
      <c r="AF1821" s="12" t="s">
        <v>293</v>
      </c>
      <c r="AG1821" s="68">
        <f>VLOOKUP(Takeoffs!AF1821,Sheet1!$B$6:$C$124,2,FALSE)</f>
        <v>0</v>
      </c>
      <c r="AH1821" s="68">
        <f t="shared" si="829"/>
        <v>0</v>
      </c>
      <c r="AI1821" s="63">
        <f t="shared" si="830"/>
        <v>0</v>
      </c>
      <c r="AJ1821" s="28">
        <f t="shared" si="831"/>
        <v>1</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410</v>
      </c>
      <c r="P1822" s="12"/>
      <c r="Q1822" s="12"/>
      <c r="R1822" s="12"/>
      <c r="S1822" s="28">
        <f>M1802</f>
        <v>1</v>
      </c>
      <c r="T1822" s="11"/>
      <c r="U1822" s="12" t="s">
        <v>366</v>
      </c>
      <c r="V1822" s="28">
        <f t="shared" si="826"/>
        <v>1</v>
      </c>
      <c r="W1822" s="28">
        <f>VLOOKUP(U1822,Sheet1!$B$6:$C$45,2,FALSE)*V1822</f>
        <v>2</v>
      </c>
      <c r="X1822" s="59"/>
      <c r="Y1822" s="12" t="s">
        <v>293</v>
      </c>
      <c r="Z1822" s="68">
        <f>VLOOKUP(Takeoffs!Y1822,Sheet1!$B$6:$C$124,2,FALSE)</f>
        <v>0</v>
      </c>
      <c r="AA1822" s="68">
        <f t="shared" si="827"/>
        <v>0</v>
      </c>
      <c r="AB1822" s="63">
        <f t="shared" si="828"/>
        <v>1</v>
      </c>
      <c r="AC1822" s="28">
        <f t="shared" si="833"/>
        <v>1</v>
      </c>
      <c r="AD1822" s="61">
        <v>1</v>
      </c>
      <c r="AE1822" s="59"/>
      <c r="AF1822" s="12" t="s">
        <v>293</v>
      </c>
      <c r="AG1822" s="68">
        <f>VLOOKUP(Takeoffs!AF1822,Sheet1!$B$6:$C$124,2,FALSE)</f>
        <v>0</v>
      </c>
      <c r="AH1822" s="68">
        <f t="shared" si="829"/>
        <v>0</v>
      </c>
      <c r="AI1822" s="63">
        <f t="shared" si="830"/>
        <v>0</v>
      </c>
      <c r="AJ1822" s="28">
        <f t="shared" si="831"/>
        <v>1</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379</v>
      </c>
      <c r="L1823" s="21" t="s">
        <v>380</v>
      </c>
      <c r="N1823" s="22"/>
      <c r="O1823" s="23" t="s">
        <v>359</v>
      </c>
      <c r="P1823" s="24">
        <f>V1823+AA1823+AH1823</f>
        <v>3346.6239999999998</v>
      </c>
      <c r="Q1823" s="24"/>
      <c r="R1823" s="24"/>
      <c r="S1823" s="23"/>
      <c r="T1823" s="20"/>
      <c r="U1823" s="19" t="s">
        <v>353</v>
      </c>
      <c r="V1823" s="20">
        <f>W1823*80</f>
        <v>1000</v>
      </c>
      <c r="W1823" s="69">
        <f>SUM(W1802:W1822)</f>
        <v>12.5</v>
      </c>
      <c r="X1823" s="70"/>
      <c r="Y1823" s="20" t="s">
        <v>354</v>
      </c>
      <c r="Z1823" s="2"/>
      <c r="AA1823" s="2">
        <f>SUM(AA1802:AA1822)</f>
        <v>2022.624</v>
      </c>
      <c r="AB1823" s="71"/>
      <c r="AC1823" s="71"/>
      <c r="AD1823" s="71"/>
      <c r="AE1823" s="71"/>
      <c r="AF1823" s="20" t="s">
        <v>358</v>
      </c>
      <c r="AG1823" s="2"/>
      <c r="AH1823" s="2">
        <f>SUM(AH1802:AH1822)</f>
        <v>324</v>
      </c>
      <c r="AI1823" s="71"/>
      <c r="AJ1823" s="71"/>
      <c r="AK1823" s="71"/>
      <c r="AL1823" s="71"/>
      <c r="AM1823" s="150">
        <f>P1823</f>
        <v>3346.6239999999998</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494</v>
      </c>
      <c r="C1824" s="217" t="str">
        <f>N1802</f>
        <v>stair  pressurisation systems</v>
      </c>
      <c r="D1824" s="260" t="s">
        <v>680</v>
      </c>
      <c r="E1824" s="238"/>
      <c r="F1824" s="217"/>
      <c r="G1824" s="217"/>
      <c r="H1824" s="245"/>
      <c r="I1824" s="270">
        <v>1</v>
      </c>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one (1)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( 2 per fan for averaging),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3346.6239999999998</v>
      </c>
      <c r="L1824" s="234" t="str">
        <f>CONCATENATE(Q1803,Q1804,Q1805,Q1806,Q1807,Q1808,Q1809,Q1810,Q1811,Q1812,Q1813,Q1814,Q1815,Q1816,Q1817,Q1818,Q1819,Q1820,Q1821,Q1822,)</f>
        <v>fire cabling from FIP.</v>
      </c>
      <c r="M1824" s="91" t="s">
        <v>369</v>
      </c>
      <c r="N1824" s="83" t="str">
        <f>N1802</f>
        <v>stair  pressurisation systems</v>
      </c>
      <c r="O1824" s="83" t="s">
        <v>367</v>
      </c>
      <c r="P1824" s="64">
        <f>P1823/M1802</f>
        <v>3346.6239999999998</v>
      </c>
      <c r="Q1824" s="84"/>
      <c r="R1824" s="84"/>
      <c r="S1824" s="83"/>
      <c r="T1824" s="84"/>
      <c r="U1824" s="327" t="s">
        <v>368</v>
      </c>
      <c r="V1824" s="327"/>
      <c r="W1824" s="85">
        <f>W1823/M1802</f>
        <v>12.5</v>
      </c>
      <c r="X1824" s="86"/>
      <c r="Y1824" s="325" t="s">
        <v>367</v>
      </c>
      <c r="Z1824" s="325"/>
      <c r="AA1824" s="87">
        <f>AA1823/M1802</f>
        <v>2022.624</v>
      </c>
      <c r="AB1824" s="84"/>
      <c r="AC1824" s="84"/>
      <c r="AD1824" s="84"/>
      <c r="AE1824" s="84"/>
      <c r="AF1824" s="325" t="s">
        <v>367</v>
      </c>
      <c r="AG1824" s="325"/>
      <c r="AH1824" s="87">
        <f>AH1823/M1802</f>
        <v>324</v>
      </c>
      <c r="AI1824" s="84"/>
      <c r="AJ1824" s="84"/>
      <c r="AK1824" s="84"/>
      <c r="AL1824" s="247"/>
      <c r="AM1824" s="257"/>
      <c r="AN1824" s="236">
        <f>K1824*1.25</f>
        <v>4183.28</v>
      </c>
      <c r="AO1824" s="286"/>
      <c r="AP1824" s="284">
        <f t="shared" si="834"/>
        <v>3346.6239999999998</v>
      </c>
      <c r="AQ1824" s="281">
        <f t="shared" si="835"/>
        <v>1000</v>
      </c>
      <c r="AR1824" s="284">
        <f t="shared" si="836"/>
        <v>2022.624</v>
      </c>
      <c r="AS1824" s="281">
        <f t="shared" si="837"/>
        <v>324</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454</v>
      </c>
      <c r="M1825" s="2" t="s">
        <v>107</v>
      </c>
      <c r="N1825" s="2" t="s">
        <v>108</v>
      </c>
      <c r="O1825" s="97" t="s">
        <v>388</v>
      </c>
      <c r="P1825" s="326" t="s">
        <v>377</v>
      </c>
      <c r="Q1825" s="326"/>
      <c r="R1825" s="101" t="s">
        <v>454</v>
      </c>
      <c r="S1825" s="2" t="s">
        <v>0</v>
      </c>
      <c r="T1825" s="9"/>
      <c r="U1825" s="2" t="s">
        <v>288</v>
      </c>
      <c r="V1825" s="2" t="s">
        <v>289</v>
      </c>
      <c r="W1825" s="2" t="s">
        <v>292</v>
      </c>
      <c r="X1825" s="58"/>
      <c r="Y1825" s="2" t="s">
        <v>290</v>
      </c>
      <c r="Z1825" s="2" t="s">
        <v>356</v>
      </c>
      <c r="AA1825" s="2" t="s">
        <v>357</v>
      </c>
      <c r="AB1825" s="2" t="s">
        <v>319</v>
      </c>
      <c r="AC1825" s="2" t="s">
        <v>320</v>
      </c>
      <c r="AD1825" s="2" t="s">
        <v>318</v>
      </c>
      <c r="AE1825" s="58"/>
      <c r="AF1825" s="2" t="s">
        <v>294</v>
      </c>
      <c r="AG1825" s="2" t="s">
        <v>356</v>
      </c>
      <c r="AH1825" s="2" t="s">
        <v>357</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one</v>
      </c>
      <c r="M1826" s="121">
        <f>I1848</f>
        <v>1</v>
      </c>
      <c r="N1826" s="90" t="s">
        <v>329</v>
      </c>
      <c r="O1826" s="12" t="s">
        <v>349</v>
      </c>
      <c r="P1826" s="96" t="s">
        <v>381</v>
      </c>
      <c r="Q1826" s="96" t="s">
        <v>377</v>
      </c>
      <c r="R1826" s="96"/>
      <c r="S1826" s="28">
        <f>M1826</f>
        <v>1</v>
      </c>
      <c r="T1826" s="10"/>
      <c r="U1826" s="74" t="s">
        <v>293</v>
      </c>
      <c r="V1826" s="28">
        <f>S1826</f>
        <v>1</v>
      </c>
      <c r="W1826" s="28">
        <f>VLOOKUP(U1826,Sheet1!$B$6:$C$45,2,FALSE)*V1826</f>
        <v>0</v>
      </c>
      <c r="X1826" s="59"/>
      <c r="Y1826" s="12" t="s">
        <v>293</v>
      </c>
      <c r="Z1826" s="68" t="s">
        <v>356</v>
      </c>
      <c r="AA1826" s="68" t="s">
        <v>357</v>
      </c>
      <c r="AB1826" s="63">
        <f>AD1826*AC1826</f>
        <v>1</v>
      </c>
      <c r="AC1826" s="28">
        <f>S1826</f>
        <v>1</v>
      </c>
      <c r="AD1826" s="61">
        <v>1</v>
      </c>
      <c r="AE1826" s="59"/>
      <c r="AF1826" s="12" t="s">
        <v>293</v>
      </c>
      <c r="AG1826" s="68" t="s">
        <v>356</v>
      </c>
      <c r="AH1826" s="68" t="s">
        <v>357</v>
      </c>
      <c r="AI1826" s="63">
        <f>AK1826*AJ1826</f>
        <v>0</v>
      </c>
      <c r="AJ1826" s="28">
        <f>S1826</f>
        <v>1</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342</v>
      </c>
      <c r="P1827" s="12"/>
      <c r="Q1827" s="12"/>
      <c r="R1827" s="12"/>
      <c r="S1827" s="28">
        <f>M1826</f>
        <v>1</v>
      </c>
      <c r="T1827" s="11"/>
      <c r="U1827" s="12" t="s">
        <v>235</v>
      </c>
      <c r="V1827" s="28">
        <f t="shared" ref="V1827:V1845" si="840">S1827</f>
        <v>1</v>
      </c>
      <c r="W1827" s="28">
        <f>VLOOKUP(U1827,Sheet1!$B$6:$C$45,2,FALSE)*V1827</f>
        <v>1.5</v>
      </c>
      <c r="X1827" s="59"/>
      <c r="Y1827" s="12" t="s">
        <v>293</v>
      </c>
      <c r="Z1827" s="68">
        <f>VLOOKUP(Takeoffs!Y1827,Sheet1!$B$6:$C$124,2,FALSE)</f>
        <v>0</v>
      </c>
      <c r="AA1827" s="68">
        <f>Z1827*AB1827</f>
        <v>0</v>
      </c>
      <c r="AB1827" s="63">
        <f t="shared" ref="AB1827:AB1846" si="841">AD1827*AC1827</f>
        <v>1</v>
      </c>
      <c r="AC1827" s="28">
        <f>S1827</f>
        <v>1</v>
      </c>
      <c r="AD1827" s="61">
        <v>1</v>
      </c>
      <c r="AE1827" s="59"/>
      <c r="AF1827" s="12" t="s">
        <v>293</v>
      </c>
      <c r="AG1827" s="68">
        <f>VLOOKUP(Takeoffs!AF1827,Sheet1!$B$6:$C$124,2,FALSE)</f>
        <v>0</v>
      </c>
      <c r="AH1827" s="68">
        <f>AG1827*AI1827</f>
        <v>0</v>
      </c>
      <c r="AI1827" s="63">
        <f t="shared" ref="AI1827:AI1846" si="842">AK1827*AJ1827</f>
        <v>0</v>
      </c>
      <c r="AJ1827" s="28">
        <f t="shared" ref="AJ1827:AJ1846" si="843">S1827</f>
        <v>1</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1</v>
      </c>
      <c r="T1828" s="11"/>
      <c r="U1828" s="12" t="s">
        <v>293</v>
      </c>
      <c r="V1828" s="28">
        <f t="shared" si="840"/>
        <v>1</v>
      </c>
      <c r="W1828" s="28">
        <f>VLOOKUP(U1828,Sheet1!$B$6:$C$45,2,FALSE)*V1828</f>
        <v>0</v>
      </c>
      <c r="X1828" s="59"/>
      <c r="Y1828" s="13" t="s">
        <v>252</v>
      </c>
      <c r="Z1828" s="68">
        <f>VLOOKUP(Takeoffs!Y1828,Sheet1!$B$6:$C$124,2,FALSE)</f>
        <v>43.440000000000005</v>
      </c>
      <c r="AA1828" s="68">
        <f t="shared" ref="AA1828:AA1846" si="845">Z1828*AB1828</f>
        <v>43.440000000000005</v>
      </c>
      <c r="AB1828" s="63">
        <f t="shared" si="841"/>
        <v>1</v>
      </c>
      <c r="AC1828" s="28">
        <f>S1828</f>
        <v>1</v>
      </c>
      <c r="AD1828" s="61">
        <v>1</v>
      </c>
      <c r="AE1828" s="59"/>
      <c r="AF1828" s="12" t="s">
        <v>293</v>
      </c>
      <c r="AG1828" s="68">
        <f>VLOOKUP(Takeoffs!AF1828,Sheet1!$B$6:$C$124,2,FALSE)</f>
        <v>0</v>
      </c>
      <c r="AH1828" s="68">
        <f t="shared" ref="AH1828:AH1846" si="846">AG1828*AI1828</f>
        <v>0</v>
      </c>
      <c r="AI1828" s="63">
        <f t="shared" si="842"/>
        <v>0</v>
      </c>
      <c r="AJ1828" s="28">
        <f t="shared" si="843"/>
        <v>1</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1</v>
      </c>
      <c r="T1829" s="11"/>
      <c r="U1829" s="12" t="s">
        <v>363</v>
      </c>
      <c r="V1829" s="28">
        <f t="shared" si="840"/>
        <v>1</v>
      </c>
      <c r="W1829" s="28">
        <f>VLOOKUP(U1829,Sheet1!$B$6:$C$45,2,FALSE)*V1829</f>
        <v>1</v>
      </c>
      <c r="X1829" s="59"/>
      <c r="Y1829" s="12" t="s">
        <v>293</v>
      </c>
      <c r="Z1829" s="68">
        <f>VLOOKUP(Takeoffs!Y1829,Sheet1!$B$6:$C$124,2,FALSE)</f>
        <v>0</v>
      </c>
      <c r="AA1829" s="68">
        <f t="shared" si="845"/>
        <v>0</v>
      </c>
      <c r="AB1829" s="63">
        <f t="shared" si="841"/>
        <v>1</v>
      </c>
      <c r="AC1829" s="28">
        <f t="shared" ref="AC1829:AC1846" si="847">S1829</f>
        <v>1</v>
      </c>
      <c r="AD1829" s="61">
        <v>1</v>
      </c>
      <c r="AE1829" s="59"/>
      <c r="AF1829" s="13" t="s">
        <v>267</v>
      </c>
      <c r="AG1829" s="68">
        <f>VLOOKUP(Takeoffs!AF1829,Sheet1!$B$6:$C$124,2,FALSE)</f>
        <v>3.48</v>
      </c>
      <c r="AH1829" s="68">
        <f t="shared" si="846"/>
        <v>5.22</v>
      </c>
      <c r="AI1829" s="63">
        <f t="shared" si="842"/>
        <v>1.5</v>
      </c>
      <c r="AJ1829" s="28">
        <f t="shared" si="843"/>
        <v>1</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325</v>
      </c>
      <c r="P1830" s="12"/>
      <c r="Q1830" s="12"/>
      <c r="R1830" s="12"/>
      <c r="S1830" s="28">
        <f>M1826</f>
        <v>1</v>
      </c>
      <c r="T1830" s="11"/>
      <c r="U1830" s="12" t="s">
        <v>293</v>
      </c>
      <c r="V1830" s="28">
        <f t="shared" si="840"/>
        <v>1</v>
      </c>
      <c r="W1830" s="28">
        <f>VLOOKUP(U1830,Sheet1!$B$6:$C$45,2,FALSE)*V1830</f>
        <v>0</v>
      </c>
      <c r="X1830" s="59"/>
      <c r="Y1830" s="13" t="s">
        <v>265</v>
      </c>
      <c r="Z1830" s="68">
        <f>VLOOKUP(Takeoffs!Y1830,Sheet1!$B$6:$C$124,2,FALSE)</f>
        <v>971.52</v>
      </c>
      <c r="AA1830" s="68">
        <f t="shared" si="845"/>
        <v>971.52</v>
      </c>
      <c r="AB1830" s="63">
        <f t="shared" si="841"/>
        <v>1</v>
      </c>
      <c r="AC1830" s="28">
        <f t="shared" si="847"/>
        <v>1</v>
      </c>
      <c r="AD1830" s="61">
        <v>1</v>
      </c>
      <c r="AE1830" s="59"/>
      <c r="AF1830" s="12" t="s">
        <v>293</v>
      </c>
      <c r="AG1830" s="68">
        <f>VLOOKUP(Takeoffs!AF1830,Sheet1!$B$6:$C$124,2,FALSE)</f>
        <v>0</v>
      </c>
      <c r="AH1830" s="68">
        <f t="shared" si="846"/>
        <v>0</v>
      </c>
      <c r="AI1830" s="63">
        <f t="shared" si="842"/>
        <v>0</v>
      </c>
      <c r="AJ1830" s="28">
        <f t="shared" si="843"/>
        <v>1</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392</v>
      </c>
      <c r="P1831" s="12"/>
      <c r="Q1831" s="12"/>
      <c r="R1831" s="12"/>
      <c r="S1831" s="28">
        <f>M1826</f>
        <v>1</v>
      </c>
      <c r="T1831" s="11"/>
      <c r="U1831" s="12" t="s">
        <v>293</v>
      </c>
      <c r="V1831" s="28">
        <f t="shared" si="840"/>
        <v>1</v>
      </c>
      <c r="W1831" s="28">
        <f>VLOOKUP(U1831,Sheet1!$B$6:$C$45,2,FALSE)*V1831</f>
        <v>0</v>
      </c>
      <c r="X1831" s="59"/>
      <c r="Y1831" s="12" t="s">
        <v>293</v>
      </c>
      <c r="Z1831" s="68">
        <f>VLOOKUP(Takeoffs!Y1831,Sheet1!$B$6:$C$124,2,FALSE)</f>
        <v>0</v>
      </c>
      <c r="AA1831" s="68">
        <f t="shared" si="845"/>
        <v>0</v>
      </c>
      <c r="AB1831" s="63">
        <f t="shared" si="841"/>
        <v>1</v>
      </c>
      <c r="AC1831" s="28">
        <f t="shared" si="847"/>
        <v>1</v>
      </c>
      <c r="AD1831" s="61">
        <v>1</v>
      </c>
      <c r="AE1831" s="59"/>
      <c r="AF1831" s="65" t="s">
        <v>270</v>
      </c>
      <c r="AG1831" s="68">
        <f>VLOOKUP(Takeoffs!AF1831,Sheet1!$B$6:$C$124,2,FALSE)</f>
        <v>5.7960000000000003</v>
      </c>
      <c r="AH1831" s="68">
        <f t="shared" si="846"/>
        <v>86.94</v>
      </c>
      <c r="AI1831" s="63">
        <f t="shared" si="842"/>
        <v>15</v>
      </c>
      <c r="AJ1831" s="28">
        <f t="shared" si="843"/>
        <v>1</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1</v>
      </c>
      <c r="T1832" s="11"/>
      <c r="U1832" s="12" t="s">
        <v>293</v>
      </c>
      <c r="V1832" s="28">
        <f t="shared" si="840"/>
        <v>1</v>
      </c>
      <c r="W1832" s="28">
        <f>VLOOKUP(U1832,Sheet1!$B$6:$C$45,2,FALSE)*V1832</f>
        <v>0</v>
      </c>
      <c r="X1832" s="59"/>
      <c r="Y1832" s="13" t="s">
        <v>245</v>
      </c>
      <c r="Z1832" s="68">
        <f>VLOOKUP(Takeoffs!Y1832,Sheet1!$B$6:$C$124,2,FALSE)</f>
        <v>46.463999999999999</v>
      </c>
      <c r="AA1832" s="68">
        <f t="shared" si="845"/>
        <v>46.463999999999999</v>
      </c>
      <c r="AB1832" s="63">
        <f t="shared" si="841"/>
        <v>1</v>
      </c>
      <c r="AC1832" s="28">
        <f t="shared" si="847"/>
        <v>1</v>
      </c>
      <c r="AD1832" s="61">
        <v>1</v>
      </c>
      <c r="AE1832" s="59"/>
      <c r="AF1832" s="12" t="s">
        <v>293</v>
      </c>
      <c r="AG1832" s="68">
        <f>VLOOKUP(Takeoffs!AF1832,Sheet1!$B$6:$C$124,2,FALSE)</f>
        <v>0</v>
      </c>
      <c r="AH1832" s="68">
        <f t="shared" si="846"/>
        <v>0</v>
      </c>
      <c r="AI1832" s="63">
        <f t="shared" si="842"/>
        <v>0</v>
      </c>
      <c r="AJ1832" s="28">
        <f t="shared" si="843"/>
        <v>1</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1</v>
      </c>
      <c r="T1833" s="11"/>
      <c r="U1833" s="12" t="s">
        <v>293</v>
      </c>
      <c r="V1833" s="28">
        <f t="shared" si="840"/>
        <v>1</v>
      </c>
      <c r="W1833" s="28">
        <f>VLOOKUP(U1833,Sheet1!$B$6:$C$45,2,FALSE)*V1833</f>
        <v>0</v>
      </c>
      <c r="X1833" s="59"/>
      <c r="Y1833" s="13" t="s">
        <v>278</v>
      </c>
      <c r="Z1833" s="68">
        <f>VLOOKUP(Takeoffs!Y1833,Sheet1!$B$6:$C$124,2,FALSE)</f>
        <v>36</v>
      </c>
      <c r="AA1833" s="68">
        <f t="shared" si="845"/>
        <v>36</v>
      </c>
      <c r="AB1833" s="63">
        <f t="shared" si="841"/>
        <v>1</v>
      </c>
      <c r="AC1833" s="28">
        <f t="shared" si="847"/>
        <v>1</v>
      </c>
      <c r="AD1833" s="61">
        <v>1</v>
      </c>
      <c r="AE1833" s="59"/>
      <c r="AF1833" s="12" t="s">
        <v>293</v>
      </c>
      <c r="AG1833" s="68">
        <f>VLOOKUP(Takeoffs!AF1833,Sheet1!$B$6:$C$124,2,FALSE)</f>
        <v>0</v>
      </c>
      <c r="AH1833" s="68">
        <f t="shared" si="846"/>
        <v>0</v>
      </c>
      <c r="AI1833" s="63">
        <f t="shared" si="842"/>
        <v>0</v>
      </c>
      <c r="AJ1833" s="28">
        <f t="shared" si="843"/>
        <v>1</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326</v>
      </c>
      <c r="P1834" s="12"/>
      <c r="Q1834" s="12"/>
      <c r="R1834" s="12"/>
      <c r="S1834" s="28">
        <f>M1826</f>
        <v>1</v>
      </c>
      <c r="T1834" s="11"/>
      <c r="U1834" s="12" t="s">
        <v>293</v>
      </c>
      <c r="V1834" s="28">
        <f t="shared" si="840"/>
        <v>1</v>
      </c>
      <c r="W1834" s="28">
        <f>VLOOKUP(U1834,Sheet1!$B$6:$C$45,2,FALSE)*V1834</f>
        <v>0</v>
      </c>
      <c r="X1834" s="59"/>
      <c r="Y1834" s="13" t="s">
        <v>274</v>
      </c>
      <c r="Z1834" s="68">
        <f>VLOOKUP(Takeoffs!Y1834,Sheet1!$B$6:$C$124,2,FALSE)</f>
        <v>360</v>
      </c>
      <c r="AA1834" s="68">
        <f t="shared" si="845"/>
        <v>360</v>
      </c>
      <c r="AB1834" s="63">
        <f t="shared" si="841"/>
        <v>1</v>
      </c>
      <c r="AC1834" s="28">
        <f t="shared" si="847"/>
        <v>1</v>
      </c>
      <c r="AD1834" s="61">
        <v>1</v>
      </c>
      <c r="AE1834" s="59"/>
      <c r="AF1834" s="12" t="s">
        <v>293</v>
      </c>
      <c r="AG1834" s="68">
        <f>VLOOKUP(Takeoffs!AF1834,Sheet1!$B$6:$C$124,2,FALSE)</f>
        <v>0</v>
      </c>
      <c r="AH1834" s="68">
        <f t="shared" si="846"/>
        <v>0</v>
      </c>
      <c r="AI1834" s="63">
        <f t="shared" si="842"/>
        <v>0</v>
      </c>
      <c r="AJ1834" s="28">
        <f t="shared" si="843"/>
        <v>1</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330</v>
      </c>
      <c r="P1835" s="12"/>
      <c r="Q1835" s="12"/>
      <c r="R1835" s="12"/>
      <c r="S1835" s="28">
        <f>M1826</f>
        <v>1</v>
      </c>
      <c r="T1835" s="11"/>
      <c r="U1835" s="12" t="s">
        <v>366</v>
      </c>
      <c r="V1835" s="28">
        <f t="shared" si="840"/>
        <v>1</v>
      </c>
      <c r="W1835" s="28">
        <f>VLOOKUP(U1835,Sheet1!$B$6:$C$45,2,FALSE)*V1835</f>
        <v>2</v>
      </c>
      <c r="X1835" s="59"/>
      <c r="Y1835" s="12" t="s">
        <v>293</v>
      </c>
      <c r="Z1835" s="68">
        <f>VLOOKUP(Takeoffs!Y1835,Sheet1!$B$6:$C$124,2,FALSE)</f>
        <v>0</v>
      </c>
      <c r="AA1835" s="68">
        <f t="shared" si="845"/>
        <v>0</v>
      </c>
      <c r="AB1835" s="63">
        <f t="shared" si="841"/>
        <v>1</v>
      </c>
      <c r="AC1835" s="28">
        <f t="shared" si="847"/>
        <v>1</v>
      </c>
      <c r="AD1835" s="61">
        <v>1</v>
      </c>
      <c r="AE1835" s="59"/>
      <c r="AF1835" s="65" t="s">
        <v>269</v>
      </c>
      <c r="AG1835" s="68">
        <f>VLOOKUP(Takeoffs!AF1835,Sheet1!$B$6:$C$124,2,FALSE)</f>
        <v>1.056</v>
      </c>
      <c r="AH1835" s="68">
        <f t="shared" si="846"/>
        <v>42.24</v>
      </c>
      <c r="AI1835" s="63">
        <f t="shared" si="842"/>
        <v>40</v>
      </c>
      <c r="AJ1835" s="28">
        <f t="shared" si="843"/>
        <v>1</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411</v>
      </c>
      <c r="P1836" s="12"/>
      <c r="Q1836" s="12"/>
      <c r="R1836" s="12"/>
      <c r="S1836" s="28">
        <f>M1826</f>
        <v>1</v>
      </c>
      <c r="T1836" s="11"/>
      <c r="U1836" s="12" t="s">
        <v>365</v>
      </c>
      <c r="V1836" s="28">
        <f>3*M1826</f>
        <v>3</v>
      </c>
      <c r="W1836" s="28">
        <f>VLOOKUP(U1836,Sheet1!$B$6:$C$45,2,FALSE)*V1836</f>
        <v>3</v>
      </c>
      <c r="X1836" s="59"/>
      <c r="Y1836" s="13" t="s">
        <v>328</v>
      </c>
      <c r="Z1836" s="68">
        <f>VLOOKUP(Takeoffs!Y1836,Sheet1!$B$6:$C$124,2,FALSE)</f>
        <v>29.04</v>
      </c>
      <c r="AA1836" s="68">
        <f t="shared" si="845"/>
        <v>261.36</v>
      </c>
      <c r="AB1836" s="63">
        <f t="shared" si="841"/>
        <v>9</v>
      </c>
      <c r="AC1836" s="28">
        <f t="shared" si="847"/>
        <v>1</v>
      </c>
      <c r="AD1836" s="61">
        <v>9</v>
      </c>
      <c r="AE1836" s="59"/>
      <c r="AF1836" s="12" t="s">
        <v>293</v>
      </c>
      <c r="AG1836" s="68">
        <f>VLOOKUP(Takeoffs!AF1836,Sheet1!$B$6:$C$124,2,FALSE)</f>
        <v>0</v>
      </c>
      <c r="AH1836" s="68">
        <f t="shared" si="846"/>
        <v>0</v>
      </c>
      <c r="AI1836" s="63">
        <f t="shared" si="842"/>
        <v>0</v>
      </c>
      <c r="AJ1836" s="28">
        <f t="shared" si="843"/>
        <v>1</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412</v>
      </c>
      <c r="P1837" s="12"/>
      <c r="Q1837" s="12"/>
      <c r="R1837" s="12"/>
      <c r="S1837" s="28">
        <f>M1826</f>
        <v>1</v>
      </c>
      <c r="T1837" s="11"/>
      <c r="U1837" s="12" t="s">
        <v>365</v>
      </c>
      <c r="V1837" s="28">
        <f>14*M1826</f>
        <v>14</v>
      </c>
      <c r="W1837" s="28">
        <f>VLOOKUP(U1837,Sheet1!$B$6:$C$45,2,FALSE)*V1837</f>
        <v>14</v>
      </c>
      <c r="X1837" s="59"/>
      <c r="Y1837" s="13" t="s">
        <v>327</v>
      </c>
      <c r="Z1837" s="68">
        <f>VLOOKUP(Takeoffs!Y1837,Sheet1!$B$6:$C$124,2,FALSE)</f>
        <v>240</v>
      </c>
      <c r="AA1837" s="68">
        <f t="shared" si="845"/>
        <v>2160</v>
      </c>
      <c r="AB1837" s="63">
        <f t="shared" si="841"/>
        <v>9</v>
      </c>
      <c r="AC1837" s="28">
        <f t="shared" si="847"/>
        <v>1</v>
      </c>
      <c r="AD1837" s="61">
        <v>9</v>
      </c>
      <c r="AE1837" s="59"/>
      <c r="AF1837" s="65" t="s">
        <v>269</v>
      </c>
      <c r="AG1837" s="68">
        <f>VLOOKUP(Takeoffs!AF1837,Sheet1!$B$6:$C$124,2,FALSE)</f>
        <v>1.056</v>
      </c>
      <c r="AH1837" s="68">
        <f t="shared" si="846"/>
        <v>190.08</v>
      </c>
      <c r="AI1837" s="63">
        <f t="shared" si="842"/>
        <v>180</v>
      </c>
      <c r="AJ1837" s="28">
        <f t="shared" si="843"/>
        <v>1</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1</v>
      </c>
      <c r="T1838" s="11"/>
      <c r="U1838" s="12" t="s">
        <v>366</v>
      </c>
      <c r="V1838" s="28">
        <f t="shared" si="840"/>
        <v>1</v>
      </c>
      <c r="W1838" s="28">
        <f>VLOOKUP(U1838,Sheet1!$B$6:$C$45,2,FALSE)*V1838</f>
        <v>2</v>
      </c>
      <c r="X1838" s="59"/>
      <c r="Y1838" s="12" t="s">
        <v>293</v>
      </c>
      <c r="Z1838" s="68">
        <f>VLOOKUP(Takeoffs!Y1838,Sheet1!$B$6:$C$124,2,FALSE)</f>
        <v>0</v>
      </c>
      <c r="AA1838" s="68">
        <f t="shared" si="845"/>
        <v>0</v>
      </c>
      <c r="AB1838" s="63">
        <f t="shared" si="841"/>
        <v>1</v>
      </c>
      <c r="AC1838" s="28">
        <f t="shared" si="847"/>
        <v>1</v>
      </c>
      <c r="AD1838" s="61">
        <v>1</v>
      </c>
      <c r="AE1838" s="59"/>
      <c r="AF1838" s="12" t="s">
        <v>293</v>
      </c>
      <c r="AG1838" s="68">
        <f>VLOOKUP(Takeoffs!AF1838,Sheet1!$B$6:$C$124,2,FALSE)</f>
        <v>0</v>
      </c>
      <c r="AH1838" s="68">
        <f t="shared" si="846"/>
        <v>0</v>
      </c>
      <c r="AI1838" s="63">
        <f t="shared" si="842"/>
        <v>0</v>
      </c>
      <c r="AJ1838" s="28">
        <f t="shared" si="843"/>
        <v>1</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1</v>
      </c>
      <c r="T1839" s="11"/>
      <c r="U1839" s="12" t="s">
        <v>232</v>
      </c>
      <c r="V1839" s="28">
        <f t="shared" si="840"/>
        <v>1</v>
      </c>
      <c r="W1839" s="28">
        <f>VLOOKUP(U1839,Sheet1!$B$6:$C$45,2,FALSE)*V1839</f>
        <v>1</v>
      </c>
      <c r="X1839" s="59"/>
      <c r="Y1839" s="13" t="s">
        <v>281</v>
      </c>
      <c r="Z1839" s="68">
        <f>VLOOKUP(Takeoffs!Y1839,Sheet1!$B$6:$C$124,2,FALSE)</f>
        <v>109.25999999999999</v>
      </c>
      <c r="AA1839" s="68">
        <f t="shared" si="845"/>
        <v>109.25999999999999</v>
      </c>
      <c r="AB1839" s="63">
        <f t="shared" si="841"/>
        <v>1</v>
      </c>
      <c r="AC1839" s="28">
        <f t="shared" si="847"/>
        <v>1</v>
      </c>
      <c r="AD1839" s="61">
        <v>1</v>
      </c>
      <c r="AE1839" s="59"/>
      <c r="AF1839" s="12" t="s">
        <v>293</v>
      </c>
      <c r="AG1839" s="68">
        <f>VLOOKUP(Takeoffs!AF1839,Sheet1!$B$6:$C$124,2,FALSE)</f>
        <v>0</v>
      </c>
      <c r="AH1839" s="68">
        <f t="shared" si="846"/>
        <v>0</v>
      </c>
      <c r="AI1839" s="63">
        <f t="shared" si="842"/>
        <v>0</v>
      </c>
      <c r="AJ1839" s="28">
        <f t="shared" si="843"/>
        <v>1</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1</v>
      </c>
      <c r="T1840" s="11"/>
      <c r="U1840" s="12" t="s">
        <v>365</v>
      </c>
      <c r="V1840" s="28">
        <f t="shared" si="840"/>
        <v>1</v>
      </c>
      <c r="W1840" s="28">
        <f>VLOOKUP(U1840,Sheet1!$B$6:$C$45,2,FALSE)*V1840</f>
        <v>1</v>
      </c>
      <c r="X1840" s="59"/>
      <c r="Y1840" s="13" t="s">
        <v>323</v>
      </c>
      <c r="Z1840" s="68">
        <f>VLOOKUP(Takeoffs!Y1840,Sheet1!$B$6:$C$124,2,FALSE)</f>
        <v>60</v>
      </c>
      <c r="AA1840" s="68">
        <f t="shared" si="845"/>
        <v>60</v>
      </c>
      <c r="AB1840" s="63">
        <f t="shared" si="841"/>
        <v>1</v>
      </c>
      <c r="AC1840" s="28">
        <f t="shared" si="847"/>
        <v>1</v>
      </c>
      <c r="AD1840" s="61">
        <v>1</v>
      </c>
      <c r="AE1840" s="59"/>
      <c r="AF1840" s="12" t="s">
        <v>293</v>
      </c>
      <c r="AG1840" s="68">
        <f>VLOOKUP(Takeoffs!AF1840,Sheet1!$B$6:$C$124,2,FALSE)</f>
        <v>0</v>
      </c>
      <c r="AH1840" s="68">
        <f t="shared" si="846"/>
        <v>0</v>
      </c>
      <c r="AI1840" s="63">
        <f t="shared" si="842"/>
        <v>0</v>
      </c>
      <c r="AJ1840" s="28">
        <f t="shared" si="843"/>
        <v>1</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426</v>
      </c>
      <c r="P1841" s="12"/>
      <c r="Q1841" s="12"/>
      <c r="R1841" s="12"/>
      <c r="S1841" s="28">
        <f>M1826</f>
        <v>1</v>
      </c>
      <c r="T1841" s="11"/>
      <c r="U1841" s="12" t="s">
        <v>293</v>
      </c>
      <c r="V1841" s="28">
        <f t="shared" si="840"/>
        <v>1</v>
      </c>
      <c r="W1841" s="28">
        <f>VLOOKUP(U1841,Sheet1!$B$6:$C$45,2,FALSE)*V1841</f>
        <v>0</v>
      </c>
      <c r="X1841" s="59"/>
      <c r="Y1841" s="13" t="s">
        <v>321</v>
      </c>
      <c r="Z1841" s="68">
        <f>VLOOKUP(Takeoffs!Y1841,Sheet1!$B$6:$C$124,2,FALSE)</f>
        <v>120</v>
      </c>
      <c r="AA1841" s="68">
        <f t="shared" si="845"/>
        <v>120</v>
      </c>
      <c r="AB1841" s="63">
        <f t="shared" si="841"/>
        <v>1</v>
      </c>
      <c r="AC1841" s="28">
        <f t="shared" si="847"/>
        <v>1</v>
      </c>
      <c r="AD1841" s="61">
        <v>1</v>
      </c>
      <c r="AE1841" s="59"/>
      <c r="AF1841" s="12" t="s">
        <v>293</v>
      </c>
      <c r="AG1841" s="68">
        <f>VLOOKUP(Takeoffs!AF1841,Sheet1!$B$6:$C$124,2,FALSE)</f>
        <v>0</v>
      </c>
      <c r="AH1841" s="68">
        <f t="shared" si="846"/>
        <v>0</v>
      </c>
      <c r="AI1841" s="63">
        <f t="shared" si="842"/>
        <v>0</v>
      </c>
      <c r="AJ1841" s="28">
        <f t="shared" si="843"/>
        <v>1</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425</v>
      </c>
      <c r="P1842" s="12"/>
      <c r="Q1842" s="12"/>
      <c r="R1842" s="12"/>
      <c r="S1842" s="28">
        <f>M1826</f>
        <v>1</v>
      </c>
      <c r="T1842" s="11"/>
      <c r="U1842" s="12" t="s">
        <v>293</v>
      </c>
      <c r="V1842" s="28">
        <f t="shared" si="840"/>
        <v>1</v>
      </c>
      <c r="W1842" s="28">
        <f>VLOOKUP(U1842,Sheet1!$B$6:$C$45,2,FALSE)*V1842</f>
        <v>0</v>
      </c>
      <c r="X1842" s="59"/>
      <c r="Y1842" s="13" t="s">
        <v>280</v>
      </c>
      <c r="Z1842" s="68">
        <f>VLOOKUP(Takeoffs!Y1842,Sheet1!$B$6:$C$124,2,FALSE)</f>
        <v>19.2</v>
      </c>
      <c r="AA1842" s="68">
        <f t="shared" si="845"/>
        <v>38.4</v>
      </c>
      <c r="AB1842" s="63">
        <f t="shared" si="841"/>
        <v>2</v>
      </c>
      <c r="AC1842" s="28">
        <f t="shared" si="847"/>
        <v>1</v>
      </c>
      <c r="AD1842" s="61">
        <v>2</v>
      </c>
      <c r="AE1842" s="59"/>
      <c r="AF1842" s="12" t="s">
        <v>293</v>
      </c>
      <c r="AG1842" s="68">
        <f>VLOOKUP(Takeoffs!AF1842,Sheet1!$B$6:$C$124,2,FALSE)</f>
        <v>0</v>
      </c>
      <c r="AH1842" s="68">
        <f t="shared" si="846"/>
        <v>0</v>
      </c>
      <c r="AI1842" s="63">
        <f t="shared" si="842"/>
        <v>0</v>
      </c>
      <c r="AJ1842" s="28">
        <f t="shared" si="843"/>
        <v>1</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427</v>
      </c>
      <c r="P1843" s="12"/>
      <c r="Q1843" s="12"/>
      <c r="R1843" s="12"/>
      <c r="S1843" s="28">
        <f>M1826</f>
        <v>1</v>
      </c>
      <c r="T1843" s="11"/>
      <c r="U1843" s="12" t="s">
        <v>293</v>
      </c>
      <c r="V1843" s="28">
        <f t="shared" si="840"/>
        <v>1</v>
      </c>
      <c r="W1843" s="28">
        <f>VLOOKUP(U1843,Sheet1!$B$6:$C$45,2,FALSE)*V1843</f>
        <v>0</v>
      </c>
      <c r="X1843" s="59"/>
      <c r="Y1843" s="13" t="s">
        <v>277</v>
      </c>
      <c r="Z1843" s="68">
        <f>VLOOKUP(Takeoffs!Y1843,Sheet1!$B$6:$C$124,2,FALSE)</f>
        <v>69.540000000000006</v>
      </c>
      <c r="AA1843" s="68">
        <f t="shared" si="845"/>
        <v>69.540000000000006</v>
      </c>
      <c r="AB1843" s="63">
        <f t="shared" si="841"/>
        <v>1</v>
      </c>
      <c r="AC1843" s="28">
        <f t="shared" si="847"/>
        <v>1</v>
      </c>
      <c r="AD1843" s="61">
        <v>1</v>
      </c>
      <c r="AE1843" s="59"/>
      <c r="AF1843" s="12" t="s">
        <v>293</v>
      </c>
      <c r="AG1843" s="68">
        <f>VLOOKUP(Takeoffs!AF1843,Sheet1!$B$6:$C$124,2,FALSE)</f>
        <v>0</v>
      </c>
      <c r="AH1843" s="68">
        <f t="shared" si="846"/>
        <v>0</v>
      </c>
      <c r="AI1843" s="63">
        <f t="shared" si="842"/>
        <v>0</v>
      </c>
      <c r="AJ1843" s="28">
        <f t="shared" si="843"/>
        <v>1</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1</v>
      </c>
      <c r="T1844" s="11"/>
      <c r="U1844" s="12" t="s">
        <v>293</v>
      </c>
      <c r="V1844" s="28">
        <f t="shared" si="840"/>
        <v>1</v>
      </c>
      <c r="W1844" s="28">
        <f>VLOOKUP(U1844,Sheet1!$B$6:$C$45,2,FALSE)*V1844</f>
        <v>0</v>
      </c>
      <c r="X1844" s="59"/>
      <c r="Y1844" s="12" t="s">
        <v>293</v>
      </c>
      <c r="Z1844" s="68">
        <f>VLOOKUP(Takeoffs!Y1844,Sheet1!$B$6:$C$124,2,FALSE)</f>
        <v>0</v>
      </c>
      <c r="AA1844" s="68">
        <f t="shared" si="845"/>
        <v>0</v>
      </c>
      <c r="AB1844" s="63">
        <f t="shared" si="841"/>
        <v>1</v>
      </c>
      <c r="AC1844" s="28">
        <f t="shared" si="847"/>
        <v>1</v>
      </c>
      <c r="AD1844" s="61">
        <v>1</v>
      </c>
      <c r="AE1844" s="59"/>
      <c r="AF1844" s="12" t="s">
        <v>293</v>
      </c>
      <c r="AG1844" s="68">
        <f>VLOOKUP(Takeoffs!AF1844,Sheet1!$B$6:$C$124,2,FALSE)</f>
        <v>0</v>
      </c>
      <c r="AH1844" s="68">
        <f t="shared" si="846"/>
        <v>0</v>
      </c>
      <c r="AI1844" s="63">
        <f t="shared" si="842"/>
        <v>0</v>
      </c>
      <c r="AJ1844" s="28">
        <f t="shared" si="843"/>
        <v>1</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414</v>
      </c>
      <c r="P1845" s="12" t="s">
        <v>382</v>
      </c>
      <c r="Q1845" s="12" t="s">
        <v>386</v>
      </c>
      <c r="R1845" s="12"/>
      <c r="S1845" s="28">
        <f>M1826</f>
        <v>1</v>
      </c>
      <c r="T1845" s="11"/>
      <c r="U1845" s="12" t="s">
        <v>293</v>
      </c>
      <c r="V1845" s="28">
        <f t="shared" si="840"/>
        <v>1</v>
      </c>
      <c r="W1845" s="28">
        <f>VLOOKUP(U1845,Sheet1!$B$6:$C$45,2,FALSE)*V1845</f>
        <v>0</v>
      </c>
      <c r="X1845" s="59"/>
      <c r="Y1845" s="13" t="s">
        <v>324</v>
      </c>
      <c r="Z1845" s="68">
        <f>VLOOKUP(Takeoffs!Y1845,Sheet1!$B$6:$C$124,2,FALSE)</f>
        <v>48</v>
      </c>
      <c r="AA1845" s="68">
        <f t="shared" si="845"/>
        <v>48</v>
      </c>
      <c r="AB1845" s="63">
        <f t="shared" si="841"/>
        <v>1</v>
      </c>
      <c r="AC1845" s="28">
        <f t="shared" si="847"/>
        <v>1</v>
      </c>
      <c r="AD1845" s="61">
        <v>1</v>
      </c>
      <c r="AE1845" s="59"/>
      <c r="AF1845" s="12" t="s">
        <v>293</v>
      </c>
      <c r="AG1845" s="68">
        <f>VLOOKUP(Takeoffs!AF1845,Sheet1!$B$6:$C$124,2,FALSE)</f>
        <v>0</v>
      </c>
      <c r="AH1845" s="68">
        <f t="shared" si="846"/>
        <v>0</v>
      </c>
      <c r="AI1845" s="63">
        <f t="shared" si="842"/>
        <v>0</v>
      </c>
      <c r="AJ1845" s="28">
        <f t="shared" si="843"/>
        <v>1</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410</v>
      </c>
      <c r="P1846" s="12"/>
      <c r="Q1846" s="12"/>
      <c r="R1846" s="12"/>
      <c r="S1846" s="28">
        <f>M1826</f>
        <v>1</v>
      </c>
      <c r="T1846" s="11"/>
      <c r="U1846" s="12" t="s">
        <v>365</v>
      </c>
      <c r="V1846" s="28">
        <f>4*M1826</f>
        <v>4</v>
      </c>
      <c r="W1846" s="28">
        <f>VLOOKUP(U1846,Sheet1!$B$6:$C$45,2,FALSE)*V1846</f>
        <v>4</v>
      </c>
      <c r="X1846" s="59"/>
      <c r="Y1846" s="12" t="s">
        <v>293</v>
      </c>
      <c r="Z1846" s="68">
        <f>VLOOKUP(Takeoffs!Y1846,Sheet1!$B$6:$C$124,2,FALSE)</f>
        <v>0</v>
      </c>
      <c r="AA1846" s="68">
        <f t="shared" si="845"/>
        <v>0</v>
      </c>
      <c r="AB1846" s="63">
        <f t="shared" si="841"/>
        <v>1</v>
      </c>
      <c r="AC1846" s="28">
        <f t="shared" si="847"/>
        <v>1</v>
      </c>
      <c r="AD1846" s="61">
        <v>1</v>
      </c>
      <c r="AE1846" s="59"/>
      <c r="AF1846" s="12" t="s">
        <v>293</v>
      </c>
      <c r="AG1846" s="68">
        <f>VLOOKUP(Takeoffs!AF1846,Sheet1!$B$6:$C$124,2,FALSE)</f>
        <v>0</v>
      </c>
      <c r="AH1846" s="68">
        <f t="shared" si="846"/>
        <v>0</v>
      </c>
      <c r="AI1846" s="63">
        <f t="shared" si="842"/>
        <v>0</v>
      </c>
      <c r="AJ1846" s="28">
        <f t="shared" si="843"/>
        <v>1</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379</v>
      </c>
      <c r="L1847" s="21" t="s">
        <v>380</v>
      </c>
      <c r="N1847" s="22"/>
      <c r="O1847" s="23" t="s">
        <v>359</v>
      </c>
      <c r="P1847" s="24">
        <f>V1847+AA1847+AH1847</f>
        <v>7008.4639999999999</v>
      </c>
      <c r="Q1847" s="24"/>
      <c r="R1847" s="24"/>
      <c r="S1847" s="23"/>
      <c r="T1847" s="20"/>
      <c r="U1847" s="19" t="s">
        <v>353</v>
      </c>
      <c r="V1847" s="20">
        <f>W1847*80</f>
        <v>2360</v>
      </c>
      <c r="W1847" s="69">
        <f>SUM(W1826:W1846)</f>
        <v>29.5</v>
      </c>
      <c r="X1847" s="70"/>
      <c r="Y1847" s="20" t="s">
        <v>354</v>
      </c>
      <c r="Z1847" s="2"/>
      <c r="AA1847" s="2">
        <f>SUM(AA1826:AA1846)</f>
        <v>4323.9839999999995</v>
      </c>
      <c r="AB1847" s="71"/>
      <c r="AC1847" s="71"/>
      <c r="AD1847" s="71"/>
      <c r="AE1847" s="71"/>
      <c r="AF1847" s="20" t="s">
        <v>358</v>
      </c>
      <c r="AG1847" s="2"/>
      <c r="AH1847" s="2">
        <f>SUM(AH1826:AH1846)</f>
        <v>324.48</v>
      </c>
      <c r="AI1847" s="71"/>
      <c r="AJ1847" s="71"/>
      <c r="AK1847" s="71"/>
      <c r="AL1847" s="71"/>
      <c r="AM1847" s="150">
        <f>P1847</f>
        <v>7008.4639999999999</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494</v>
      </c>
      <c r="C1848" s="217" t="str">
        <f>N1826</f>
        <v>lobby relief system ( including on floor relief dampers)</v>
      </c>
      <c r="D1848" s="260" t="s">
        <v>680</v>
      </c>
      <c r="E1848" s="238"/>
      <c r="F1848" s="217"/>
      <c r="G1848" s="217"/>
      <c r="H1848" s="245"/>
      <c r="I1848" s="270">
        <v>1</v>
      </c>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one (1)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7008.4639999999999</v>
      </c>
      <c r="L1848" s="234" t="str">
        <f>CONCATENATE(Q1827,Q1828,Q1829,Q1830,Q1831,Q1832,Q1833,Q1834,Q1835,Q1836,Q1837,Q1838,Q1839,Q1840,Q1841,Q1842,Q1843,Q1844,Q1845,Q1846,)</f>
        <v>fire cabling from FIP.</v>
      </c>
      <c r="M1848" s="91" t="s">
        <v>369</v>
      </c>
      <c r="N1848" s="83" t="str">
        <f>N1826</f>
        <v>lobby relief system ( including on floor relief dampers)</v>
      </c>
      <c r="O1848" s="83" t="s">
        <v>367</v>
      </c>
      <c r="P1848" s="98">
        <f>P1847/M1826</f>
        <v>7008.4639999999999</v>
      </c>
      <c r="Q1848" s="84"/>
      <c r="R1848" s="84"/>
      <c r="S1848" s="83"/>
      <c r="T1848" s="84"/>
      <c r="U1848" s="327" t="s">
        <v>368</v>
      </c>
      <c r="V1848" s="327"/>
      <c r="W1848" s="85">
        <f>W1847/M1826</f>
        <v>29.5</v>
      </c>
      <c r="X1848" s="86"/>
      <c r="Y1848" s="325" t="s">
        <v>367</v>
      </c>
      <c r="Z1848" s="325"/>
      <c r="AA1848" s="87">
        <f>AA1847/M1826</f>
        <v>4323.9839999999995</v>
      </c>
      <c r="AB1848" s="84"/>
      <c r="AC1848" s="84"/>
      <c r="AD1848" s="84"/>
      <c r="AE1848" s="84"/>
      <c r="AF1848" s="325" t="s">
        <v>367</v>
      </c>
      <c r="AG1848" s="325"/>
      <c r="AH1848" s="87">
        <f>AH1847/M1826</f>
        <v>324.48</v>
      </c>
      <c r="AI1848" s="84"/>
      <c r="AJ1848" s="84"/>
      <c r="AK1848" s="84"/>
      <c r="AL1848" s="247"/>
      <c r="AM1848" s="257"/>
      <c r="AN1848" s="236">
        <f>K1848*1.25</f>
        <v>8760.58</v>
      </c>
      <c r="AO1848" s="286"/>
      <c r="AP1848" s="284">
        <f t="shared" si="834"/>
        <v>7008.4639999999999</v>
      </c>
      <c r="AQ1848" s="281">
        <f t="shared" si="835"/>
        <v>2360</v>
      </c>
      <c r="AR1848" s="284">
        <f t="shared" si="836"/>
        <v>4323.9839999999995</v>
      </c>
      <c r="AS1848" s="281">
        <f t="shared" si="837"/>
        <v>324.48</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454</v>
      </c>
      <c r="M1849" s="116" t="s">
        <v>107</v>
      </c>
      <c r="N1849" s="116" t="s">
        <v>108</v>
      </c>
      <c r="O1849" s="170" t="s">
        <v>388</v>
      </c>
      <c r="P1849" s="326" t="s">
        <v>377</v>
      </c>
      <c r="Q1849" s="326"/>
      <c r="R1849" s="101" t="s">
        <v>454</v>
      </c>
      <c r="S1849" s="116" t="s">
        <v>0</v>
      </c>
      <c r="T1849" s="118"/>
      <c r="U1849" s="116" t="s">
        <v>288</v>
      </c>
      <c r="V1849" s="116" t="s">
        <v>289</v>
      </c>
      <c r="W1849" s="116" t="s">
        <v>292</v>
      </c>
      <c r="X1849" s="140"/>
      <c r="Y1849" s="116" t="s">
        <v>290</v>
      </c>
      <c r="Z1849" s="116" t="s">
        <v>356</v>
      </c>
      <c r="AA1849" s="116" t="s">
        <v>357</v>
      </c>
      <c r="AB1849" s="116" t="s">
        <v>319</v>
      </c>
      <c r="AC1849" s="116" t="s">
        <v>320</v>
      </c>
      <c r="AD1849" s="116" t="s">
        <v>318</v>
      </c>
      <c r="AE1849" s="140"/>
      <c r="AF1849" s="116" t="s">
        <v>294</v>
      </c>
      <c r="AG1849" s="116" t="s">
        <v>356</v>
      </c>
      <c r="AH1849" s="116" t="s">
        <v>357</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one</v>
      </c>
      <c r="M1850" s="121">
        <f>I1872</f>
        <v>1</v>
      </c>
      <c r="N1850" s="132" t="s">
        <v>488</v>
      </c>
      <c r="O1850" s="121" t="s">
        <v>349</v>
      </c>
      <c r="P1850" s="169" t="s">
        <v>381</v>
      </c>
      <c r="Q1850" s="169" t="s">
        <v>377</v>
      </c>
      <c r="R1850" s="169"/>
      <c r="S1850" s="133">
        <f>M1850</f>
        <v>1</v>
      </c>
      <c r="T1850" s="119"/>
      <c r="U1850" s="153" t="s">
        <v>293</v>
      </c>
      <c r="V1850" s="133">
        <f>S1850</f>
        <v>1</v>
      </c>
      <c r="W1850" s="133">
        <f>VLOOKUP(U1850,Sheet1!$B$6:$C$45,2,FALSE)*V1850</f>
        <v>0</v>
      </c>
      <c r="X1850" s="141"/>
      <c r="Y1850" s="121" t="s">
        <v>293</v>
      </c>
      <c r="Z1850" s="146">
        <f>VLOOKUP(Takeoffs!Y1850,Sheet1!$B$6:$C$124,2,FALSE)</f>
        <v>0</v>
      </c>
      <c r="AA1850" s="146">
        <f>Z1850*AB1850</f>
        <v>0</v>
      </c>
      <c r="AB1850" s="143">
        <f>AD1850*AC1850</f>
        <v>1</v>
      </c>
      <c r="AC1850" s="133">
        <f>S1850</f>
        <v>1</v>
      </c>
      <c r="AD1850" s="142">
        <v>1</v>
      </c>
      <c r="AE1850" s="141"/>
      <c r="AF1850" s="121" t="s">
        <v>293</v>
      </c>
      <c r="AG1850" s="146">
        <f>VLOOKUP(Takeoffs!AF1850,Sheet1!$B$6:$C$124,2,FALSE)</f>
        <v>0</v>
      </c>
      <c r="AH1850" s="146">
        <f>AG1850*AI1850</f>
        <v>0</v>
      </c>
      <c r="AI1850" s="143">
        <f>AK1850*AJ1850</f>
        <v>0</v>
      </c>
      <c r="AJ1850" s="133">
        <f>S1850</f>
        <v>1</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1</v>
      </c>
      <c r="T1851" s="120"/>
      <c r="U1851" s="121" t="s">
        <v>293</v>
      </c>
      <c r="V1851" s="133">
        <f t="shared" ref="V1851:V1870" si="849">S1851</f>
        <v>1</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1</v>
      </c>
      <c r="AC1851" s="133">
        <f>S1851</f>
        <v>1</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1</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1</v>
      </c>
      <c r="T1852" s="120"/>
      <c r="U1852" s="121" t="s">
        <v>293</v>
      </c>
      <c r="V1852" s="133">
        <f t="shared" si="849"/>
        <v>1</v>
      </c>
      <c r="W1852" s="133">
        <f>VLOOKUP(U1852,Sheet1!$B$6:$C$45,2,FALSE)*V1852</f>
        <v>0</v>
      </c>
      <c r="X1852" s="141"/>
      <c r="Y1852" s="121" t="s">
        <v>293</v>
      </c>
      <c r="Z1852" s="146">
        <f>VLOOKUP(Takeoffs!Y1852,Sheet1!$B$6:$C$124,2,FALSE)</f>
        <v>0</v>
      </c>
      <c r="AA1852" s="146">
        <f t="shared" si="850"/>
        <v>0</v>
      </c>
      <c r="AB1852" s="143">
        <f t="shared" si="851"/>
        <v>1</v>
      </c>
      <c r="AC1852" s="133">
        <f>S1852</f>
        <v>1</v>
      </c>
      <c r="AD1852" s="142">
        <v>1</v>
      </c>
      <c r="AE1852" s="141"/>
      <c r="AF1852" s="121" t="s">
        <v>293</v>
      </c>
      <c r="AG1852" s="146">
        <f>VLOOKUP(Takeoffs!AF1852,Sheet1!$B$6:$C$124,2,FALSE)</f>
        <v>0</v>
      </c>
      <c r="AH1852" s="146">
        <f t="shared" si="852"/>
        <v>0</v>
      </c>
      <c r="AI1852" s="143">
        <f t="shared" si="853"/>
        <v>0</v>
      </c>
      <c r="AJ1852" s="133">
        <f t="shared" si="854"/>
        <v>1</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1</v>
      </c>
      <c r="T1853" s="120"/>
      <c r="U1853" s="121" t="s">
        <v>293</v>
      </c>
      <c r="V1853" s="133">
        <f t="shared" si="849"/>
        <v>1</v>
      </c>
      <c r="W1853" s="133">
        <f>VLOOKUP(U1853,Sheet1!$B$6:$C$45,2,FALSE)*V1853</f>
        <v>0</v>
      </c>
      <c r="X1853" s="141"/>
      <c r="Y1853" s="121" t="s">
        <v>293</v>
      </c>
      <c r="Z1853" s="146">
        <f>VLOOKUP(Takeoffs!Y1853,Sheet1!$B$6:$C$124,2,FALSE)</f>
        <v>0</v>
      </c>
      <c r="AA1853" s="146">
        <f t="shared" si="850"/>
        <v>0</v>
      </c>
      <c r="AB1853" s="143">
        <f t="shared" si="851"/>
        <v>1</v>
      </c>
      <c r="AC1853" s="133">
        <f t="shared" ref="AC1853:AC1870" si="857">S1853</f>
        <v>1</v>
      </c>
      <c r="AD1853" s="142">
        <v>1</v>
      </c>
      <c r="AE1853" s="141"/>
      <c r="AF1853" s="121" t="s">
        <v>293</v>
      </c>
      <c r="AG1853" s="146">
        <f>VLOOKUP(Takeoffs!AF1853,Sheet1!$B$6:$C$124,2,FALSE)</f>
        <v>0</v>
      </c>
      <c r="AH1853" s="146">
        <f t="shared" si="852"/>
        <v>0</v>
      </c>
      <c r="AI1853" s="143">
        <f t="shared" si="853"/>
        <v>0</v>
      </c>
      <c r="AJ1853" s="133">
        <f t="shared" si="854"/>
        <v>1</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1</v>
      </c>
      <c r="T1854" s="120"/>
      <c r="U1854" s="121" t="s">
        <v>293</v>
      </c>
      <c r="V1854" s="133">
        <f t="shared" si="849"/>
        <v>1</v>
      </c>
      <c r="W1854" s="133">
        <f>VLOOKUP(U1854,Sheet1!$B$6:$C$45,2,FALSE)*V1854</f>
        <v>0</v>
      </c>
      <c r="X1854" s="141"/>
      <c r="Y1854" s="121" t="s">
        <v>293</v>
      </c>
      <c r="Z1854" s="146">
        <f>VLOOKUP(Takeoffs!Y1854,Sheet1!$B$6:$C$124,2,FALSE)</f>
        <v>0</v>
      </c>
      <c r="AA1854" s="146">
        <f t="shared" si="850"/>
        <v>0</v>
      </c>
      <c r="AB1854" s="143">
        <f t="shared" si="851"/>
        <v>1</v>
      </c>
      <c r="AC1854" s="133">
        <f t="shared" si="857"/>
        <v>1</v>
      </c>
      <c r="AD1854" s="142">
        <v>1</v>
      </c>
      <c r="AE1854" s="141"/>
      <c r="AF1854" s="121" t="s">
        <v>293</v>
      </c>
      <c r="AG1854" s="146">
        <f>VLOOKUP(Takeoffs!AF1854,Sheet1!$B$6:$C$124,2,FALSE)</f>
        <v>0</v>
      </c>
      <c r="AH1854" s="146">
        <f t="shared" si="852"/>
        <v>0</v>
      </c>
      <c r="AI1854" s="143">
        <f t="shared" si="853"/>
        <v>0</v>
      </c>
      <c r="AJ1854" s="133">
        <f t="shared" si="854"/>
        <v>1</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1</v>
      </c>
      <c r="T1855" s="120"/>
      <c r="U1855" s="121" t="s">
        <v>293</v>
      </c>
      <c r="V1855" s="133">
        <f t="shared" si="849"/>
        <v>1</v>
      </c>
      <c r="W1855" s="133">
        <f>VLOOKUP(U1855,Sheet1!$B$6:$C$45,2,FALSE)*V1855</f>
        <v>0</v>
      </c>
      <c r="X1855" s="141"/>
      <c r="Y1855" s="121" t="s">
        <v>293</v>
      </c>
      <c r="Z1855" s="146">
        <f>VLOOKUP(Takeoffs!Y1855,Sheet1!$B$6:$C$124,2,FALSE)</f>
        <v>0</v>
      </c>
      <c r="AA1855" s="146">
        <f t="shared" si="850"/>
        <v>0</v>
      </c>
      <c r="AB1855" s="143">
        <f t="shared" si="851"/>
        <v>1</v>
      </c>
      <c r="AC1855" s="133">
        <f t="shared" si="857"/>
        <v>1</v>
      </c>
      <c r="AD1855" s="142">
        <v>1</v>
      </c>
      <c r="AE1855" s="141"/>
      <c r="AF1855" s="121" t="s">
        <v>293</v>
      </c>
      <c r="AG1855" s="146">
        <f>VLOOKUP(Takeoffs!AF1855,Sheet1!$B$6:$C$124,2,FALSE)</f>
        <v>0</v>
      </c>
      <c r="AH1855" s="146">
        <f t="shared" si="852"/>
        <v>0</v>
      </c>
      <c r="AI1855" s="143">
        <f t="shared" si="853"/>
        <v>0</v>
      </c>
      <c r="AJ1855" s="133">
        <f t="shared" si="854"/>
        <v>1</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1</v>
      </c>
      <c r="T1856" s="120"/>
      <c r="U1856" s="121" t="s">
        <v>293</v>
      </c>
      <c r="V1856" s="133">
        <f t="shared" si="849"/>
        <v>1</v>
      </c>
      <c r="W1856" s="133">
        <f>VLOOKUP(U1856,Sheet1!$B$6:$C$45,2,FALSE)*V1856</f>
        <v>0</v>
      </c>
      <c r="X1856" s="141"/>
      <c r="Y1856" s="121" t="s">
        <v>293</v>
      </c>
      <c r="Z1856" s="146">
        <f>VLOOKUP(Takeoffs!Y1856,Sheet1!$B$6:$C$124,2,FALSE)</f>
        <v>0</v>
      </c>
      <c r="AA1856" s="146">
        <f t="shared" si="850"/>
        <v>0</v>
      </c>
      <c r="AB1856" s="143">
        <f t="shared" si="851"/>
        <v>1</v>
      </c>
      <c r="AC1856" s="133">
        <f t="shared" si="857"/>
        <v>1</v>
      </c>
      <c r="AD1856" s="142">
        <v>1</v>
      </c>
      <c r="AE1856" s="141"/>
      <c r="AF1856" s="121" t="s">
        <v>293</v>
      </c>
      <c r="AG1856" s="146">
        <f>VLOOKUP(Takeoffs!AF1856,Sheet1!$B$6:$C$124,2,FALSE)</f>
        <v>0</v>
      </c>
      <c r="AH1856" s="146">
        <f t="shared" si="852"/>
        <v>0</v>
      </c>
      <c r="AI1856" s="143">
        <f t="shared" si="853"/>
        <v>0</v>
      </c>
      <c r="AJ1856" s="133">
        <f t="shared" si="854"/>
        <v>1</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1</v>
      </c>
      <c r="T1857" s="120"/>
      <c r="U1857" s="121" t="s">
        <v>293</v>
      </c>
      <c r="V1857" s="133">
        <f t="shared" si="849"/>
        <v>1</v>
      </c>
      <c r="W1857" s="133">
        <f>VLOOKUP(U1857,Sheet1!$B$6:$C$45,2,FALSE)*V1857</f>
        <v>0</v>
      </c>
      <c r="X1857" s="141"/>
      <c r="Y1857" s="121" t="s">
        <v>293</v>
      </c>
      <c r="Z1857" s="146">
        <f>VLOOKUP(Takeoffs!Y1857,Sheet1!$B$6:$C$124,2,FALSE)</f>
        <v>0</v>
      </c>
      <c r="AA1857" s="146">
        <f t="shared" si="850"/>
        <v>0</v>
      </c>
      <c r="AB1857" s="143">
        <f t="shared" si="851"/>
        <v>1</v>
      </c>
      <c r="AC1857" s="133">
        <f t="shared" si="857"/>
        <v>1</v>
      </c>
      <c r="AD1857" s="142">
        <v>1</v>
      </c>
      <c r="AE1857" s="141"/>
      <c r="AF1857" s="121" t="s">
        <v>293</v>
      </c>
      <c r="AG1857" s="146">
        <f>VLOOKUP(Takeoffs!AF1857,Sheet1!$B$6:$C$124,2,FALSE)</f>
        <v>0</v>
      </c>
      <c r="AH1857" s="146">
        <f t="shared" si="852"/>
        <v>0</v>
      </c>
      <c r="AI1857" s="143">
        <f t="shared" si="853"/>
        <v>0</v>
      </c>
      <c r="AJ1857" s="133">
        <f t="shared" si="854"/>
        <v>1</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1</v>
      </c>
      <c r="T1858" s="120"/>
      <c r="U1858" s="121" t="s">
        <v>293</v>
      </c>
      <c r="V1858" s="133">
        <f t="shared" si="849"/>
        <v>1</v>
      </c>
      <c r="W1858" s="133">
        <f>VLOOKUP(U1858,Sheet1!$B$6:$C$45,2,FALSE)*V1858</f>
        <v>0</v>
      </c>
      <c r="X1858" s="141"/>
      <c r="Y1858" s="121" t="s">
        <v>293</v>
      </c>
      <c r="Z1858" s="146">
        <f>VLOOKUP(Takeoffs!Y1858,Sheet1!$B$6:$C$124,2,FALSE)</f>
        <v>0</v>
      </c>
      <c r="AA1858" s="146">
        <f t="shared" si="850"/>
        <v>0</v>
      </c>
      <c r="AB1858" s="143">
        <f t="shared" si="851"/>
        <v>1</v>
      </c>
      <c r="AC1858" s="133">
        <f t="shared" si="857"/>
        <v>1</v>
      </c>
      <c r="AD1858" s="142">
        <v>1</v>
      </c>
      <c r="AE1858" s="141"/>
      <c r="AF1858" s="121" t="s">
        <v>293</v>
      </c>
      <c r="AG1858" s="146">
        <f>VLOOKUP(Takeoffs!AF1858,Sheet1!$B$6:$C$124,2,FALSE)</f>
        <v>0</v>
      </c>
      <c r="AH1858" s="146">
        <f t="shared" si="852"/>
        <v>0</v>
      </c>
      <c r="AI1858" s="143">
        <f t="shared" si="853"/>
        <v>0</v>
      </c>
      <c r="AJ1858" s="133">
        <f t="shared" si="854"/>
        <v>1</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1</v>
      </c>
      <c r="T1859" s="120"/>
      <c r="U1859" s="121" t="s">
        <v>293</v>
      </c>
      <c r="V1859" s="133">
        <f t="shared" si="849"/>
        <v>1</v>
      </c>
      <c r="W1859" s="133">
        <f>VLOOKUP(U1859,Sheet1!$B$6:$C$45,2,FALSE)*V1859</f>
        <v>0</v>
      </c>
      <c r="X1859" s="141"/>
      <c r="Y1859" s="121" t="s">
        <v>293</v>
      </c>
      <c r="Z1859" s="146">
        <f>VLOOKUP(Takeoffs!Y1859,Sheet1!$B$6:$C$124,2,FALSE)</f>
        <v>0</v>
      </c>
      <c r="AA1859" s="146">
        <f t="shared" si="850"/>
        <v>0</v>
      </c>
      <c r="AB1859" s="143">
        <f t="shared" si="851"/>
        <v>1</v>
      </c>
      <c r="AC1859" s="133">
        <f t="shared" si="857"/>
        <v>1</v>
      </c>
      <c r="AD1859" s="142">
        <v>1</v>
      </c>
      <c r="AE1859" s="141"/>
      <c r="AF1859" s="121" t="s">
        <v>293</v>
      </c>
      <c r="AG1859" s="146">
        <f>VLOOKUP(Takeoffs!AF1859,Sheet1!$B$6:$C$124,2,FALSE)</f>
        <v>0</v>
      </c>
      <c r="AH1859" s="146">
        <f t="shared" si="852"/>
        <v>0</v>
      </c>
      <c r="AI1859" s="143">
        <f t="shared" si="853"/>
        <v>0</v>
      </c>
      <c r="AJ1859" s="133">
        <f t="shared" si="854"/>
        <v>1</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507</v>
      </c>
      <c r="P1860" s="121"/>
      <c r="Q1860" s="121"/>
      <c r="R1860" s="121"/>
      <c r="S1860" s="133">
        <f>M1850</f>
        <v>1</v>
      </c>
      <c r="T1860" s="120"/>
      <c r="U1860" s="121" t="s">
        <v>293</v>
      </c>
      <c r="V1860" s="133">
        <f t="shared" si="849"/>
        <v>1</v>
      </c>
      <c r="W1860" s="133">
        <f>VLOOKUP(U1860,Sheet1!$B$6:$C$45,2,FALSE)*V1860</f>
        <v>0</v>
      </c>
      <c r="X1860" s="141"/>
      <c r="Y1860" s="122" t="s">
        <v>327</v>
      </c>
      <c r="Z1860" s="146">
        <f>VLOOKUP(Takeoffs!Y1860,Sheet1!$B$6:$C$124,2,FALSE)</f>
        <v>240</v>
      </c>
      <c r="AA1860" s="146">
        <f t="shared" si="850"/>
        <v>240</v>
      </c>
      <c r="AB1860" s="143">
        <f t="shared" si="851"/>
        <v>1</v>
      </c>
      <c r="AC1860" s="133">
        <f t="shared" si="857"/>
        <v>1</v>
      </c>
      <c r="AD1860" s="142">
        <v>1</v>
      </c>
      <c r="AE1860" s="141"/>
      <c r="AF1860" s="121" t="s">
        <v>293</v>
      </c>
      <c r="AG1860" s="146">
        <f>VLOOKUP(Takeoffs!AF1860,Sheet1!$B$6:$C$124,2,FALSE)</f>
        <v>0</v>
      </c>
      <c r="AH1860" s="146">
        <f t="shared" si="852"/>
        <v>0</v>
      </c>
      <c r="AI1860" s="143">
        <f t="shared" si="853"/>
        <v>0</v>
      </c>
      <c r="AJ1860" s="133">
        <f t="shared" si="854"/>
        <v>1</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1</v>
      </c>
      <c r="T1861" s="120"/>
      <c r="U1861" s="121" t="s">
        <v>293</v>
      </c>
      <c r="V1861" s="133">
        <f t="shared" si="849"/>
        <v>1</v>
      </c>
      <c r="W1861" s="133">
        <f>VLOOKUP(U1861,Sheet1!$B$6:$C$45,2,FALSE)*V1861</f>
        <v>0</v>
      </c>
      <c r="X1861" s="141"/>
      <c r="Y1861" s="121" t="s">
        <v>293</v>
      </c>
      <c r="Z1861" s="146">
        <f>VLOOKUP(Takeoffs!Y1861,Sheet1!$B$6:$C$124,2,FALSE)</f>
        <v>0</v>
      </c>
      <c r="AA1861" s="146">
        <f t="shared" si="850"/>
        <v>0</v>
      </c>
      <c r="AB1861" s="143">
        <f t="shared" si="851"/>
        <v>1</v>
      </c>
      <c r="AC1861" s="133">
        <f t="shared" si="857"/>
        <v>1</v>
      </c>
      <c r="AD1861" s="142">
        <v>1</v>
      </c>
      <c r="AE1861" s="141"/>
      <c r="AF1861" s="121" t="s">
        <v>293</v>
      </c>
      <c r="AG1861" s="146">
        <f>VLOOKUP(Takeoffs!AF1861,Sheet1!$B$6:$C$124,2,FALSE)</f>
        <v>0</v>
      </c>
      <c r="AH1861" s="146">
        <f t="shared" si="852"/>
        <v>0</v>
      </c>
      <c r="AI1861" s="143">
        <f t="shared" si="853"/>
        <v>0</v>
      </c>
      <c r="AJ1861" s="133">
        <f t="shared" si="854"/>
        <v>1</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1</v>
      </c>
      <c r="T1862" s="120"/>
      <c r="U1862" s="117" t="s">
        <v>481</v>
      </c>
      <c r="V1862" s="133">
        <f t="shared" si="849"/>
        <v>1</v>
      </c>
      <c r="W1862" s="133">
        <f>VLOOKUP(U1862,Sheet1!$B$6:$C$45,2,FALSE)*V1862</f>
        <v>2</v>
      </c>
      <c r="X1862" s="141"/>
      <c r="Y1862" s="121" t="s">
        <v>293</v>
      </c>
      <c r="Z1862" s="146">
        <f>VLOOKUP(Takeoffs!Y1862,Sheet1!$B$6:$C$124,2,FALSE)</f>
        <v>0</v>
      </c>
      <c r="AA1862" s="146">
        <f t="shared" si="850"/>
        <v>0</v>
      </c>
      <c r="AB1862" s="143">
        <f t="shared" si="851"/>
        <v>1</v>
      </c>
      <c r="AC1862" s="133">
        <f t="shared" si="857"/>
        <v>1</v>
      </c>
      <c r="AD1862" s="142">
        <v>1</v>
      </c>
      <c r="AE1862" s="141"/>
      <c r="AF1862" s="144" t="s">
        <v>270</v>
      </c>
      <c r="AG1862" s="146">
        <f>VLOOKUP(Takeoffs!AF1862,Sheet1!$B$6:$C$124,2,FALSE)</f>
        <v>5.7960000000000003</v>
      </c>
      <c r="AH1862" s="146">
        <f t="shared" si="852"/>
        <v>115.92</v>
      </c>
      <c r="AI1862" s="143">
        <f t="shared" si="853"/>
        <v>20</v>
      </c>
      <c r="AJ1862" s="133">
        <f t="shared" si="854"/>
        <v>1</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1</v>
      </c>
      <c r="T1863" s="120"/>
      <c r="U1863" s="121" t="s">
        <v>293</v>
      </c>
      <c r="V1863" s="133">
        <f t="shared" si="849"/>
        <v>1</v>
      </c>
      <c r="W1863" s="133">
        <f>VLOOKUP(U1863,Sheet1!$B$6:$C$45,2,FALSE)*V1863</f>
        <v>0</v>
      </c>
      <c r="X1863" s="141"/>
      <c r="Y1863" s="121" t="s">
        <v>293</v>
      </c>
      <c r="Z1863" s="146">
        <f>VLOOKUP(Takeoffs!Y1863,Sheet1!$B$6:$C$124,2,FALSE)</f>
        <v>0</v>
      </c>
      <c r="AA1863" s="146">
        <f t="shared" si="850"/>
        <v>0</v>
      </c>
      <c r="AB1863" s="143">
        <f t="shared" si="851"/>
        <v>1</v>
      </c>
      <c r="AC1863" s="133">
        <f t="shared" si="857"/>
        <v>1</v>
      </c>
      <c r="AD1863" s="142">
        <v>1</v>
      </c>
      <c r="AE1863" s="141"/>
      <c r="AF1863" s="121" t="s">
        <v>293</v>
      </c>
      <c r="AG1863" s="146">
        <f>VLOOKUP(Takeoffs!AF1863,Sheet1!$B$6:$C$124,2,FALSE)</f>
        <v>0</v>
      </c>
      <c r="AH1863" s="146">
        <f t="shared" si="852"/>
        <v>0</v>
      </c>
      <c r="AI1863" s="143">
        <f t="shared" si="853"/>
        <v>0</v>
      </c>
      <c r="AJ1863" s="133">
        <f t="shared" si="854"/>
        <v>1</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1</v>
      </c>
      <c r="T1864" s="120"/>
      <c r="U1864" s="121" t="s">
        <v>293</v>
      </c>
      <c r="V1864" s="133">
        <f t="shared" si="849"/>
        <v>1</v>
      </c>
      <c r="W1864" s="133">
        <f>VLOOKUP(U1864,Sheet1!$B$6:$C$45,2,FALSE)*V1864</f>
        <v>0</v>
      </c>
      <c r="X1864" s="141"/>
      <c r="Y1864" s="121" t="s">
        <v>293</v>
      </c>
      <c r="Z1864" s="146">
        <f>VLOOKUP(Takeoffs!Y1864,Sheet1!$B$6:$C$124,2,FALSE)</f>
        <v>0</v>
      </c>
      <c r="AA1864" s="146">
        <f t="shared" si="850"/>
        <v>0</v>
      </c>
      <c r="AB1864" s="143">
        <f t="shared" si="851"/>
        <v>1</v>
      </c>
      <c r="AC1864" s="133">
        <f t="shared" si="857"/>
        <v>1</v>
      </c>
      <c r="AD1864" s="142">
        <v>1</v>
      </c>
      <c r="AE1864" s="141"/>
      <c r="AF1864" s="121" t="s">
        <v>293</v>
      </c>
      <c r="AG1864" s="146">
        <f>VLOOKUP(Takeoffs!AF1864,Sheet1!$B$6:$C$124,2,FALSE)</f>
        <v>0</v>
      </c>
      <c r="AH1864" s="146">
        <f t="shared" si="852"/>
        <v>0</v>
      </c>
      <c r="AI1864" s="143">
        <f t="shared" si="853"/>
        <v>0</v>
      </c>
      <c r="AJ1864" s="133">
        <f t="shared" si="854"/>
        <v>1</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1</v>
      </c>
      <c r="T1865" s="120"/>
      <c r="U1865" s="121" t="s">
        <v>293</v>
      </c>
      <c r="V1865" s="133">
        <f t="shared" si="849"/>
        <v>1</v>
      </c>
      <c r="W1865" s="133">
        <f>VLOOKUP(U1865,Sheet1!$B$6:$C$45,2,FALSE)*V1865</f>
        <v>0</v>
      </c>
      <c r="X1865" s="141"/>
      <c r="Y1865" s="121" t="s">
        <v>293</v>
      </c>
      <c r="Z1865" s="146">
        <f>VLOOKUP(Takeoffs!Y1865,Sheet1!$B$6:$C$124,2,FALSE)</f>
        <v>0</v>
      </c>
      <c r="AA1865" s="146">
        <f t="shared" si="850"/>
        <v>0</v>
      </c>
      <c r="AB1865" s="143">
        <f t="shared" si="851"/>
        <v>1</v>
      </c>
      <c r="AC1865" s="133">
        <f t="shared" si="857"/>
        <v>1</v>
      </c>
      <c r="AD1865" s="142">
        <v>1</v>
      </c>
      <c r="AE1865" s="141"/>
      <c r="AF1865" s="121" t="s">
        <v>293</v>
      </c>
      <c r="AG1865" s="146">
        <f>VLOOKUP(Takeoffs!AF1865,Sheet1!$B$6:$C$124,2,FALSE)</f>
        <v>0</v>
      </c>
      <c r="AH1865" s="146">
        <f t="shared" si="852"/>
        <v>0</v>
      </c>
      <c r="AI1865" s="143">
        <f t="shared" si="853"/>
        <v>0</v>
      </c>
      <c r="AJ1865" s="133">
        <f t="shared" si="854"/>
        <v>1</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1</v>
      </c>
      <c r="T1866" s="120"/>
      <c r="U1866" s="121" t="s">
        <v>293</v>
      </c>
      <c r="V1866" s="133">
        <f t="shared" si="849"/>
        <v>1</v>
      </c>
      <c r="W1866" s="133">
        <f>VLOOKUP(U1866,Sheet1!$B$6:$C$45,2,FALSE)*V1866</f>
        <v>0</v>
      </c>
      <c r="X1866" s="141"/>
      <c r="Y1866" s="121" t="s">
        <v>293</v>
      </c>
      <c r="Z1866" s="146">
        <f>VLOOKUP(Takeoffs!Y1866,Sheet1!$B$6:$C$124,2,FALSE)</f>
        <v>0</v>
      </c>
      <c r="AA1866" s="146">
        <f t="shared" si="850"/>
        <v>0</v>
      </c>
      <c r="AB1866" s="143">
        <f t="shared" si="851"/>
        <v>1</v>
      </c>
      <c r="AC1866" s="133">
        <f t="shared" si="857"/>
        <v>1</v>
      </c>
      <c r="AD1866" s="142">
        <v>1</v>
      </c>
      <c r="AE1866" s="141"/>
      <c r="AF1866" s="121" t="s">
        <v>293</v>
      </c>
      <c r="AG1866" s="146">
        <f>VLOOKUP(Takeoffs!AF1866,Sheet1!$B$6:$C$124,2,FALSE)</f>
        <v>0</v>
      </c>
      <c r="AH1866" s="146">
        <f t="shared" si="852"/>
        <v>0</v>
      </c>
      <c r="AI1866" s="143">
        <f t="shared" si="853"/>
        <v>0</v>
      </c>
      <c r="AJ1866" s="133">
        <f t="shared" si="854"/>
        <v>1</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1</v>
      </c>
      <c r="T1867" s="120"/>
      <c r="U1867" s="121" t="s">
        <v>293</v>
      </c>
      <c r="V1867" s="133">
        <f t="shared" si="849"/>
        <v>1</v>
      </c>
      <c r="W1867" s="133">
        <f>VLOOKUP(U1867,Sheet1!$B$6:$C$45,2,FALSE)*V1867</f>
        <v>0</v>
      </c>
      <c r="X1867" s="141"/>
      <c r="Y1867" s="121" t="s">
        <v>293</v>
      </c>
      <c r="Z1867" s="146">
        <f>VLOOKUP(Takeoffs!Y1867,Sheet1!$B$6:$C$124,2,FALSE)</f>
        <v>0</v>
      </c>
      <c r="AA1867" s="146">
        <f t="shared" si="850"/>
        <v>0</v>
      </c>
      <c r="AB1867" s="143">
        <f t="shared" si="851"/>
        <v>1</v>
      </c>
      <c r="AC1867" s="133">
        <f t="shared" si="857"/>
        <v>1</v>
      </c>
      <c r="AD1867" s="142">
        <v>1</v>
      </c>
      <c r="AE1867" s="141"/>
      <c r="AF1867" s="121" t="s">
        <v>293</v>
      </c>
      <c r="AG1867" s="146">
        <f>VLOOKUP(Takeoffs!AF1867,Sheet1!$B$6:$C$124,2,FALSE)</f>
        <v>0</v>
      </c>
      <c r="AH1867" s="146">
        <f t="shared" si="852"/>
        <v>0</v>
      </c>
      <c r="AI1867" s="143">
        <f t="shared" si="853"/>
        <v>0</v>
      </c>
      <c r="AJ1867" s="133">
        <f t="shared" si="854"/>
        <v>1</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1</v>
      </c>
      <c r="T1868" s="120"/>
      <c r="U1868" s="121" t="s">
        <v>293</v>
      </c>
      <c r="V1868" s="133">
        <f t="shared" si="849"/>
        <v>1</v>
      </c>
      <c r="W1868" s="133">
        <f>VLOOKUP(U1868,Sheet1!$B$6:$C$45,2,FALSE)*V1868</f>
        <v>0</v>
      </c>
      <c r="X1868" s="141"/>
      <c r="Y1868" s="121" t="s">
        <v>293</v>
      </c>
      <c r="Z1868" s="146">
        <f>VLOOKUP(Takeoffs!Y1868,Sheet1!$B$6:$C$124,2,FALSE)</f>
        <v>0</v>
      </c>
      <c r="AA1868" s="146">
        <f t="shared" si="850"/>
        <v>0</v>
      </c>
      <c r="AB1868" s="143">
        <f t="shared" si="851"/>
        <v>1</v>
      </c>
      <c r="AC1868" s="133">
        <f t="shared" si="857"/>
        <v>1</v>
      </c>
      <c r="AD1868" s="142">
        <v>1</v>
      </c>
      <c r="AE1868" s="141"/>
      <c r="AF1868" s="121" t="s">
        <v>293</v>
      </c>
      <c r="AG1868" s="146">
        <f>VLOOKUP(Takeoffs!AF1868,Sheet1!$B$6:$C$124,2,FALSE)</f>
        <v>0</v>
      </c>
      <c r="AH1868" s="146">
        <f t="shared" si="852"/>
        <v>0</v>
      </c>
      <c r="AI1868" s="143">
        <f t="shared" si="853"/>
        <v>0</v>
      </c>
      <c r="AJ1868" s="133">
        <f t="shared" si="854"/>
        <v>1</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414</v>
      </c>
      <c r="P1869" s="121" t="s">
        <v>382</v>
      </c>
      <c r="Q1869" s="121" t="s">
        <v>386</v>
      </c>
      <c r="R1869" s="121"/>
      <c r="S1869" s="133">
        <f>M1850</f>
        <v>1</v>
      </c>
      <c r="T1869" s="120"/>
      <c r="U1869" s="121" t="s">
        <v>293</v>
      </c>
      <c r="V1869" s="133">
        <f t="shared" si="849"/>
        <v>1</v>
      </c>
      <c r="W1869" s="133">
        <f>VLOOKUP(U1869,Sheet1!$B$6:$C$45,2,FALSE)*V1869</f>
        <v>0</v>
      </c>
      <c r="X1869" s="141"/>
      <c r="Y1869" s="122" t="s">
        <v>324</v>
      </c>
      <c r="Z1869" s="146">
        <f>VLOOKUP(Takeoffs!Y1869,Sheet1!$B$6:$C$124,2,FALSE)</f>
        <v>48</v>
      </c>
      <c r="AA1869" s="146">
        <f t="shared" si="850"/>
        <v>48</v>
      </c>
      <c r="AB1869" s="143">
        <f t="shared" si="851"/>
        <v>1</v>
      </c>
      <c r="AC1869" s="133">
        <f t="shared" si="857"/>
        <v>1</v>
      </c>
      <c r="AD1869" s="142">
        <v>1</v>
      </c>
      <c r="AE1869" s="141"/>
      <c r="AF1869" s="121" t="s">
        <v>293</v>
      </c>
      <c r="AG1869" s="146">
        <f>VLOOKUP(Takeoffs!AF1869,Sheet1!$B$6:$C$124,2,FALSE)</f>
        <v>0</v>
      </c>
      <c r="AH1869" s="146">
        <f t="shared" si="852"/>
        <v>0</v>
      </c>
      <c r="AI1869" s="143">
        <f t="shared" si="853"/>
        <v>0</v>
      </c>
      <c r="AJ1869" s="133">
        <f t="shared" si="854"/>
        <v>1</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410</v>
      </c>
      <c r="P1870" s="121"/>
      <c r="Q1870" s="121"/>
      <c r="R1870" s="121"/>
      <c r="S1870" s="133">
        <f>M1850</f>
        <v>1</v>
      </c>
      <c r="T1870" s="120"/>
      <c r="U1870" s="121" t="s">
        <v>365</v>
      </c>
      <c r="V1870" s="133">
        <f t="shared" si="849"/>
        <v>1</v>
      </c>
      <c r="W1870" s="133">
        <f>VLOOKUP(U1870,Sheet1!$B$6:$C$45,2,FALSE)*V1870</f>
        <v>1</v>
      </c>
      <c r="X1870" s="141"/>
      <c r="Y1870" s="121" t="s">
        <v>293</v>
      </c>
      <c r="Z1870" s="146">
        <f>VLOOKUP(Takeoffs!Y1870,Sheet1!$B$6:$C$124,2,FALSE)</f>
        <v>0</v>
      </c>
      <c r="AA1870" s="146">
        <f t="shared" si="850"/>
        <v>0</v>
      </c>
      <c r="AB1870" s="143">
        <f t="shared" si="851"/>
        <v>1</v>
      </c>
      <c r="AC1870" s="133">
        <f t="shared" si="857"/>
        <v>1</v>
      </c>
      <c r="AD1870" s="142">
        <v>1</v>
      </c>
      <c r="AE1870" s="141"/>
      <c r="AF1870" s="121" t="s">
        <v>293</v>
      </c>
      <c r="AG1870" s="146">
        <f>VLOOKUP(Takeoffs!AF1870,Sheet1!$B$6:$C$124,2,FALSE)</f>
        <v>0</v>
      </c>
      <c r="AH1870" s="146">
        <f t="shared" si="852"/>
        <v>0</v>
      </c>
      <c r="AI1870" s="143">
        <f t="shared" si="853"/>
        <v>0</v>
      </c>
      <c r="AJ1870" s="133">
        <f t="shared" si="854"/>
        <v>1</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379</v>
      </c>
      <c r="L1871" s="128" t="s">
        <v>380</v>
      </c>
      <c r="N1871" s="129"/>
      <c r="O1871" s="130" t="s">
        <v>359</v>
      </c>
      <c r="P1871" s="131">
        <f>V1871+AA1871+AH1871</f>
        <v>643.91999999999996</v>
      </c>
      <c r="Q1871" s="131"/>
      <c r="R1871" s="131"/>
      <c r="S1871" s="130"/>
      <c r="T1871" s="127"/>
      <c r="U1871" s="126" t="s">
        <v>353</v>
      </c>
      <c r="V1871" s="127">
        <f>W1871*80</f>
        <v>240</v>
      </c>
      <c r="W1871" s="147">
        <f>SUM(W1850:W1870)</f>
        <v>3</v>
      </c>
      <c r="X1871" s="148"/>
      <c r="Y1871" s="127" t="s">
        <v>354</v>
      </c>
      <c r="Z1871" s="116"/>
      <c r="AA1871" s="116">
        <f>SUM(AA1850:AA1870)</f>
        <v>288</v>
      </c>
      <c r="AB1871" s="149"/>
      <c r="AC1871" s="149"/>
      <c r="AD1871" s="149"/>
      <c r="AE1871" s="149"/>
      <c r="AF1871" s="127" t="s">
        <v>358</v>
      </c>
      <c r="AG1871" s="116"/>
      <c r="AH1871" s="116">
        <f>SUM(AH1850:AH1870)</f>
        <v>115.92</v>
      </c>
      <c r="AI1871" s="149"/>
      <c r="AJ1871" s="149"/>
      <c r="AK1871" s="149"/>
      <c r="AL1871" s="149"/>
      <c r="AM1871" s="150">
        <f>P1871</f>
        <v>643.91999999999996</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494</v>
      </c>
      <c r="C1872" s="217" t="str">
        <f>N1850</f>
        <v>Fire essential spring return damper actuator</v>
      </c>
      <c r="D1872" s="260" t="s">
        <v>680</v>
      </c>
      <c r="E1872" s="238"/>
      <c r="F1872" s="217"/>
      <c r="G1872" s="217"/>
      <c r="H1872" s="245"/>
      <c r="I1872" s="270">
        <v>1</v>
      </c>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one (1)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643.91999999999996</v>
      </c>
      <c r="L1872" s="235" t="str">
        <f>CONCATENATE(Q1851,Q1852,Q1853,Q1854,Q1855,Q1856,Q1857,Q1858,Q1859,Q1860,Q1861,Q1862,Q1863,Q1864,Q1865,Q1866,Q1867,Q1868,Q1869,Q1870,)</f>
        <v>fire cabling from FIP.</v>
      </c>
      <c r="M1872" s="166" t="s">
        <v>369</v>
      </c>
      <c r="N1872" s="160" t="str">
        <f>N1850</f>
        <v>Fire essential spring return damper actuator</v>
      </c>
      <c r="O1872" s="160" t="s">
        <v>367</v>
      </c>
      <c r="P1872" s="64">
        <f>P1871/M1850</f>
        <v>643.91999999999996</v>
      </c>
      <c r="Q1872" s="161"/>
      <c r="R1872" s="161"/>
      <c r="S1872" s="160"/>
      <c r="T1872" s="161"/>
      <c r="U1872" s="327" t="s">
        <v>368</v>
      </c>
      <c r="V1872" s="327"/>
      <c r="W1872" s="162">
        <f>W1871/M1850</f>
        <v>3</v>
      </c>
      <c r="X1872" s="163"/>
      <c r="Y1872" s="325" t="s">
        <v>367</v>
      </c>
      <c r="Z1872" s="325"/>
      <c r="AA1872" s="164">
        <f>AA1871/M1850</f>
        <v>288</v>
      </c>
      <c r="AB1872" s="161"/>
      <c r="AC1872" s="161"/>
      <c r="AD1872" s="161"/>
      <c r="AE1872" s="161"/>
      <c r="AF1872" s="325" t="s">
        <v>367</v>
      </c>
      <c r="AG1872" s="325"/>
      <c r="AH1872" s="164">
        <f>AH1871/M1850</f>
        <v>115.92</v>
      </c>
      <c r="AI1872" s="161"/>
      <c r="AJ1872" s="161"/>
      <c r="AK1872" s="161"/>
      <c r="AL1872" s="247"/>
      <c r="AM1872" s="257"/>
      <c r="AN1872" s="230">
        <f>K1872*1.25</f>
        <v>804.9</v>
      </c>
      <c r="AO1872" s="286"/>
      <c r="AP1872" s="284">
        <f t="shared" si="834"/>
        <v>643.91999999999996</v>
      </c>
      <c r="AQ1872" s="281">
        <f t="shared" si="835"/>
        <v>240</v>
      </c>
      <c r="AR1872" s="284">
        <f t="shared" si="836"/>
        <v>288</v>
      </c>
      <c r="AS1872" s="281">
        <f t="shared" si="837"/>
        <v>115.92</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454</v>
      </c>
      <c r="M1873" s="116" t="s">
        <v>107</v>
      </c>
      <c r="N1873" s="116" t="s">
        <v>108</v>
      </c>
      <c r="O1873" s="170" t="s">
        <v>388</v>
      </c>
      <c r="P1873" s="326" t="s">
        <v>377</v>
      </c>
      <c r="Q1873" s="326"/>
      <c r="R1873" s="101" t="s">
        <v>454</v>
      </c>
      <c r="S1873" s="116" t="s">
        <v>0</v>
      </c>
      <c r="T1873" s="118"/>
      <c r="U1873" s="116" t="s">
        <v>288</v>
      </c>
      <c r="V1873" s="116" t="s">
        <v>289</v>
      </c>
      <c r="W1873" s="116" t="s">
        <v>292</v>
      </c>
      <c r="X1873" s="140"/>
      <c r="Y1873" s="116" t="s">
        <v>290</v>
      </c>
      <c r="Z1873" s="116" t="s">
        <v>356</v>
      </c>
      <c r="AA1873" s="116" t="s">
        <v>357</v>
      </c>
      <c r="AB1873" s="116" t="s">
        <v>319</v>
      </c>
      <c r="AC1873" s="116" t="s">
        <v>320</v>
      </c>
      <c r="AD1873" s="116" t="s">
        <v>318</v>
      </c>
      <c r="AE1873" s="140"/>
      <c r="AF1873" s="116" t="s">
        <v>294</v>
      </c>
      <c r="AG1873" s="116" t="s">
        <v>356</v>
      </c>
      <c r="AH1873" s="116" t="s">
        <v>357</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one</v>
      </c>
      <c r="M1874" s="121">
        <f>I1896</f>
        <v>1</v>
      </c>
      <c r="N1874" s="165" t="s">
        <v>489</v>
      </c>
      <c r="O1874" s="121" t="s">
        <v>349</v>
      </c>
      <c r="P1874" s="169" t="s">
        <v>381</v>
      </c>
      <c r="Q1874" s="169" t="s">
        <v>377</v>
      </c>
      <c r="R1874" s="169"/>
      <c r="S1874" s="133">
        <f>M1874</f>
        <v>1</v>
      </c>
      <c r="T1874" s="119"/>
      <c r="U1874" s="153" t="s">
        <v>293</v>
      </c>
      <c r="V1874" s="133">
        <f>S1874</f>
        <v>1</v>
      </c>
      <c r="W1874" s="133">
        <f>VLOOKUP(U1874,Sheet1!$B$6:$C$45,2,FALSE)*V1874</f>
        <v>0</v>
      </c>
      <c r="X1874" s="141"/>
      <c r="Y1874" s="121" t="s">
        <v>293</v>
      </c>
      <c r="Z1874" s="146" t="s">
        <v>356</v>
      </c>
      <c r="AA1874" s="146" t="s">
        <v>357</v>
      </c>
      <c r="AB1874" s="143">
        <f>AD1874*AC1874</f>
        <v>1</v>
      </c>
      <c r="AC1874" s="133">
        <f>S1874</f>
        <v>1</v>
      </c>
      <c r="AD1874" s="142">
        <v>1</v>
      </c>
      <c r="AE1874" s="141"/>
      <c r="AF1874" s="121" t="s">
        <v>293</v>
      </c>
      <c r="AG1874" s="146" t="s">
        <v>356</v>
      </c>
      <c r="AH1874" s="146" t="s">
        <v>357</v>
      </c>
      <c r="AI1874" s="143">
        <f>AK1874*AJ1874</f>
        <v>0</v>
      </c>
      <c r="AJ1874" s="133">
        <f>S1874</f>
        <v>1</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342</v>
      </c>
      <c r="P1875" s="121"/>
      <c r="Q1875" s="121"/>
      <c r="R1875" s="121"/>
      <c r="S1875" s="133">
        <f>M1874</f>
        <v>1</v>
      </c>
      <c r="T1875" s="120"/>
      <c r="U1875" s="121" t="s">
        <v>235</v>
      </c>
      <c r="V1875" s="133">
        <f t="shared" ref="V1875:V1883" si="859">S1875</f>
        <v>1</v>
      </c>
      <c r="W1875" s="133">
        <f>VLOOKUP(U1875,Sheet1!$B$6:$C$45,2,FALSE)*V1875</f>
        <v>1.5</v>
      </c>
      <c r="X1875" s="141"/>
      <c r="Y1875" s="121" t="s">
        <v>293</v>
      </c>
      <c r="Z1875" s="146">
        <f>VLOOKUP(Takeoffs!Y1875,Sheet1!$B$6:$C$124,2,FALSE)</f>
        <v>0</v>
      </c>
      <c r="AA1875" s="146">
        <f>Z1875*AB1875</f>
        <v>0</v>
      </c>
      <c r="AB1875" s="143">
        <f t="shared" ref="AB1875:AB1894" si="860">AD1875*AC1875</f>
        <v>1</v>
      </c>
      <c r="AC1875" s="133">
        <f>S1875</f>
        <v>1</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1</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1</v>
      </c>
      <c r="T1876" s="120"/>
      <c r="U1876" s="121" t="s">
        <v>293</v>
      </c>
      <c r="V1876" s="133">
        <f t="shared" si="859"/>
        <v>1</v>
      </c>
      <c r="W1876" s="133">
        <f>VLOOKUP(U1876,Sheet1!$B$6:$C$45,2,FALSE)*V1876</f>
        <v>0</v>
      </c>
      <c r="X1876" s="141"/>
      <c r="Y1876" s="122" t="s">
        <v>252</v>
      </c>
      <c r="Z1876" s="146">
        <f>VLOOKUP(Takeoffs!Y1876,Sheet1!$B$6:$C$124,2,FALSE)</f>
        <v>43.440000000000005</v>
      </c>
      <c r="AA1876" s="146">
        <f t="shared" ref="AA1876:AA1894" si="864">Z1876*AB1876</f>
        <v>43.440000000000005</v>
      </c>
      <c r="AB1876" s="143">
        <f t="shared" si="860"/>
        <v>1</v>
      </c>
      <c r="AC1876" s="133">
        <f>S1876</f>
        <v>1</v>
      </c>
      <c r="AD1876" s="142">
        <v>1</v>
      </c>
      <c r="AE1876" s="141"/>
      <c r="AF1876" s="121" t="s">
        <v>293</v>
      </c>
      <c r="AG1876" s="146">
        <f>VLOOKUP(Takeoffs!AF1876,Sheet1!$B$6:$C$124,2,FALSE)</f>
        <v>0</v>
      </c>
      <c r="AH1876" s="146">
        <f t="shared" ref="AH1876:AH1894" si="865">AG1876*AI1876</f>
        <v>0</v>
      </c>
      <c r="AI1876" s="143">
        <f t="shared" si="861"/>
        <v>0</v>
      </c>
      <c r="AJ1876" s="133">
        <f t="shared" si="862"/>
        <v>1</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1</v>
      </c>
      <c r="T1877" s="120"/>
      <c r="U1877" s="121" t="s">
        <v>363</v>
      </c>
      <c r="V1877" s="133">
        <f t="shared" si="859"/>
        <v>1</v>
      </c>
      <c r="W1877" s="133">
        <f>VLOOKUP(U1877,Sheet1!$B$6:$C$45,2,FALSE)*V1877</f>
        <v>1</v>
      </c>
      <c r="X1877" s="141"/>
      <c r="Y1877" s="121" t="s">
        <v>293</v>
      </c>
      <c r="Z1877" s="146">
        <f>VLOOKUP(Takeoffs!Y1877,Sheet1!$B$6:$C$124,2,FALSE)</f>
        <v>0</v>
      </c>
      <c r="AA1877" s="146">
        <f t="shared" si="864"/>
        <v>0</v>
      </c>
      <c r="AB1877" s="143">
        <f t="shared" si="860"/>
        <v>1</v>
      </c>
      <c r="AC1877" s="133">
        <f t="shared" ref="AC1877:AC1894" si="871">S1877</f>
        <v>1</v>
      </c>
      <c r="AD1877" s="142">
        <v>1</v>
      </c>
      <c r="AE1877" s="141"/>
      <c r="AF1877" s="122" t="s">
        <v>267</v>
      </c>
      <c r="AG1877" s="146">
        <f>VLOOKUP(Takeoffs!AF1877,Sheet1!$B$6:$C$124,2,FALSE)</f>
        <v>3.48</v>
      </c>
      <c r="AH1877" s="146">
        <f t="shared" si="865"/>
        <v>5.22</v>
      </c>
      <c r="AI1877" s="143">
        <f t="shared" si="861"/>
        <v>1.5</v>
      </c>
      <c r="AJ1877" s="133">
        <f t="shared" si="862"/>
        <v>1</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325</v>
      </c>
      <c r="P1878" s="121"/>
      <c r="Q1878" s="121"/>
      <c r="R1878" s="121"/>
      <c r="S1878" s="133">
        <f>M1874</f>
        <v>1</v>
      </c>
      <c r="T1878" s="120"/>
      <c r="U1878" s="121" t="s">
        <v>293</v>
      </c>
      <c r="V1878" s="133">
        <f t="shared" si="859"/>
        <v>1</v>
      </c>
      <c r="W1878" s="133">
        <f>VLOOKUP(U1878,Sheet1!$B$6:$C$45,2,FALSE)*V1878</f>
        <v>0</v>
      </c>
      <c r="X1878" s="141"/>
      <c r="Y1878" s="122" t="s">
        <v>265</v>
      </c>
      <c r="Z1878" s="146">
        <f>VLOOKUP(Takeoffs!Y1878,Sheet1!$B$6:$C$124,2,FALSE)</f>
        <v>971.52</v>
      </c>
      <c r="AA1878" s="146">
        <f t="shared" si="864"/>
        <v>971.52</v>
      </c>
      <c r="AB1878" s="143">
        <f t="shared" si="860"/>
        <v>1</v>
      </c>
      <c r="AC1878" s="133">
        <f t="shared" si="871"/>
        <v>1</v>
      </c>
      <c r="AD1878" s="142">
        <v>1</v>
      </c>
      <c r="AE1878" s="141"/>
      <c r="AF1878" s="121" t="s">
        <v>293</v>
      </c>
      <c r="AG1878" s="146">
        <f>VLOOKUP(Takeoffs!AF1878,Sheet1!$B$6:$C$124,2,FALSE)</f>
        <v>0</v>
      </c>
      <c r="AH1878" s="146">
        <f t="shared" si="865"/>
        <v>0</v>
      </c>
      <c r="AI1878" s="143">
        <f t="shared" si="861"/>
        <v>0</v>
      </c>
      <c r="AJ1878" s="133">
        <f t="shared" si="862"/>
        <v>1</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392</v>
      </c>
      <c r="P1879" s="121"/>
      <c r="Q1879" s="121"/>
      <c r="R1879" s="121"/>
      <c r="S1879" s="133">
        <f>M1874</f>
        <v>1</v>
      </c>
      <c r="T1879" s="120"/>
      <c r="U1879" s="121" t="s">
        <v>293</v>
      </c>
      <c r="V1879" s="133">
        <f t="shared" si="859"/>
        <v>1</v>
      </c>
      <c r="W1879" s="133">
        <f>VLOOKUP(U1879,Sheet1!$B$6:$C$45,2,FALSE)*V1879</f>
        <v>0</v>
      </c>
      <c r="X1879" s="141"/>
      <c r="Y1879" s="121" t="s">
        <v>293</v>
      </c>
      <c r="Z1879" s="146">
        <f>VLOOKUP(Takeoffs!Y1879,Sheet1!$B$6:$C$124,2,FALSE)</f>
        <v>0</v>
      </c>
      <c r="AA1879" s="146">
        <f t="shared" si="864"/>
        <v>0</v>
      </c>
      <c r="AB1879" s="143">
        <f t="shared" si="860"/>
        <v>1</v>
      </c>
      <c r="AC1879" s="133">
        <f t="shared" si="871"/>
        <v>1</v>
      </c>
      <c r="AD1879" s="142">
        <v>1</v>
      </c>
      <c r="AE1879" s="141"/>
      <c r="AF1879" s="144" t="s">
        <v>270</v>
      </c>
      <c r="AG1879" s="146">
        <f>VLOOKUP(Takeoffs!AF1879,Sheet1!$B$6:$C$124,2,FALSE)</f>
        <v>5.7960000000000003</v>
      </c>
      <c r="AH1879" s="146">
        <f t="shared" si="865"/>
        <v>86.94</v>
      </c>
      <c r="AI1879" s="143">
        <f t="shared" si="861"/>
        <v>15</v>
      </c>
      <c r="AJ1879" s="133">
        <f t="shared" si="862"/>
        <v>1</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1</v>
      </c>
      <c r="T1880" s="120"/>
      <c r="U1880" s="121" t="s">
        <v>293</v>
      </c>
      <c r="V1880" s="133">
        <f t="shared" si="859"/>
        <v>1</v>
      </c>
      <c r="W1880" s="133">
        <f>VLOOKUP(U1880,Sheet1!$B$6:$C$45,2,FALSE)*V1880</f>
        <v>0</v>
      </c>
      <c r="X1880" s="141"/>
      <c r="Y1880" s="122" t="s">
        <v>245</v>
      </c>
      <c r="Z1880" s="146">
        <f>VLOOKUP(Takeoffs!Y1880,Sheet1!$B$6:$C$124,2,FALSE)</f>
        <v>46.463999999999999</v>
      </c>
      <c r="AA1880" s="146">
        <f t="shared" si="864"/>
        <v>46.463999999999999</v>
      </c>
      <c r="AB1880" s="143">
        <f t="shared" si="860"/>
        <v>1</v>
      </c>
      <c r="AC1880" s="133">
        <f t="shared" si="871"/>
        <v>1</v>
      </c>
      <c r="AD1880" s="142">
        <v>1</v>
      </c>
      <c r="AE1880" s="141"/>
      <c r="AF1880" s="121" t="s">
        <v>293</v>
      </c>
      <c r="AG1880" s="146">
        <f>VLOOKUP(Takeoffs!AF1880,Sheet1!$B$6:$C$124,2,FALSE)</f>
        <v>0</v>
      </c>
      <c r="AH1880" s="146">
        <f t="shared" si="865"/>
        <v>0</v>
      </c>
      <c r="AI1880" s="143">
        <f t="shared" si="861"/>
        <v>0</v>
      </c>
      <c r="AJ1880" s="133">
        <f t="shared" si="862"/>
        <v>1</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1</v>
      </c>
      <c r="T1881" s="120"/>
      <c r="U1881" s="121" t="s">
        <v>293</v>
      </c>
      <c r="V1881" s="133">
        <f t="shared" si="859"/>
        <v>1</v>
      </c>
      <c r="W1881" s="133">
        <f>VLOOKUP(U1881,Sheet1!$B$6:$C$45,2,FALSE)*V1881</f>
        <v>0</v>
      </c>
      <c r="X1881" s="141"/>
      <c r="Y1881" s="122" t="s">
        <v>278</v>
      </c>
      <c r="Z1881" s="146">
        <f>VLOOKUP(Takeoffs!Y1881,Sheet1!$B$6:$C$124,2,FALSE)</f>
        <v>36</v>
      </c>
      <c r="AA1881" s="146">
        <f t="shared" si="864"/>
        <v>36</v>
      </c>
      <c r="AB1881" s="143">
        <f t="shared" si="860"/>
        <v>1</v>
      </c>
      <c r="AC1881" s="133">
        <f t="shared" si="871"/>
        <v>1</v>
      </c>
      <c r="AD1881" s="142">
        <v>1</v>
      </c>
      <c r="AE1881" s="141"/>
      <c r="AF1881" s="121" t="s">
        <v>293</v>
      </c>
      <c r="AG1881" s="146">
        <f>VLOOKUP(Takeoffs!AF1881,Sheet1!$B$6:$C$124,2,FALSE)</f>
        <v>0</v>
      </c>
      <c r="AH1881" s="146">
        <f t="shared" si="865"/>
        <v>0</v>
      </c>
      <c r="AI1881" s="143">
        <f t="shared" si="861"/>
        <v>0</v>
      </c>
      <c r="AJ1881" s="133">
        <f t="shared" si="862"/>
        <v>1</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326</v>
      </c>
      <c r="P1882" s="121"/>
      <c r="Q1882" s="121"/>
      <c r="R1882" s="121"/>
      <c r="S1882" s="133">
        <f>M1874</f>
        <v>1</v>
      </c>
      <c r="T1882" s="120"/>
      <c r="U1882" s="121" t="s">
        <v>293</v>
      </c>
      <c r="V1882" s="133">
        <f t="shared" si="859"/>
        <v>1</v>
      </c>
      <c r="W1882" s="133">
        <f>VLOOKUP(U1882,Sheet1!$B$6:$C$45,2,FALSE)*V1882</f>
        <v>0</v>
      </c>
      <c r="X1882" s="141"/>
      <c r="Y1882" s="122" t="s">
        <v>274</v>
      </c>
      <c r="Z1882" s="146">
        <f>VLOOKUP(Takeoffs!Y1882,Sheet1!$B$6:$C$124,2,FALSE)</f>
        <v>360</v>
      </c>
      <c r="AA1882" s="146">
        <f t="shared" si="864"/>
        <v>360</v>
      </c>
      <c r="AB1882" s="143">
        <f t="shared" si="860"/>
        <v>1</v>
      </c>
      <c r="AC1882" s="133">
        <f t="shared" si="871"/>
        <v>1</v>
      </c>
      <c r="AD1882" s="142">
        <v>1</v>
      </c>
      <c r="AE1882" s="141"/>
      <c r="AF1882" s="121" t="s">
        <v>293</v>
      </c>
      <c r="AG1882" s="146">
        <f>VLOOKUP(Takeoffs!AF1882,Sheet1!$B$6:$C$124,2,FALSE)</f>
        <v>0</v>
      </c>
      <c r="AH1882" s="146">
        <f t="shared" si="865"/>
        <v>0</v>
      </c>
      <c r="AI1882" s="143">
        <f t="shared" si="861"/>
        <v>0</v>
      </c>
      <c r="AJ1882" s="133">
        <f t="shared" si="862"/>
        <v>1</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330</v>
      </c>
      <c r="P1883" s="121"/>
      <c r="Q1883" s="121"/>
      <c r="R1883" s="121"/>
      <c r="S1883" s="133">
        <f>M1874</f>
        <v>1</v>
      </c>
      <c r="T1883" s="120"/>
      <c r="U1883" s="121" t="s">
        <v>366</v>
      </c>
      <c r="V1883" s="133">
        <f t="shared" si="859"/>
        <v>1</v>
      </c>
      <c r="W1883" s="133">
        <f>VLOOKUP(U1883,Sheet1!$B$6:$C$45,2,FALSE)*V1883</f>
        <v>2</v>
      </c>
      <c r="X1883" s="141"/>
      <c r="Y1883" s="121" t="s">
        <v>293</v>
      </c>
      <c r="Z1883" s="146">
        <f>VLOOKUP(Takeoffs!Y1883,Sheet1!$B$6:$C$124,2,FALSE)</f>
        <v>0</v>
      </c>
      <c r="AA1883" s="146">
        <f t="shared" si="864"/>
        <v>0</v>
      </c>
      <c r="AB1883" s="143">
        <f t="shared" si="860"/>
        <v>1</v>
      </c>
      <c r="AC1883" s="133">
        <f t="shared" si="871"/>
        <v>1</v>
      </c>
      <c r="AD1883" s="142">
        <v>1</v>
      </c>
      <c r="AE1883" s="141"/>
      <c r="AF1883" s="144" t="s">
        <v>269</v>
      </c>
      <c r="AG1883" s="146">
        <f>VLOOKUP(Takeoffs!AF1883,Sheet1!$B$6:$C$124,2,FALSE)</f>
        <v>1.056</v>
      </c>
      <c r="AH1883" s="146">
        <f t="shared" si="865"/>
        <v>42.24</v>
      </c>
      <c r="AI1883" s="143">
        <f t="shared" si="861"/>
        <v>40</v>
      </c>
      <c r="AJ1883" s="133">
        <f t="shared" si="862"/>
        <v>1</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411</v>
      </c>
      <c r="P1884" s="121"/>
      <c r="Q1884" s="121"/>
      <c r="R1884" s="121"/>
      <c r="S1884" s="133">
        <f>M1874</f>
        <v>1</v>
      </c>
      <c r="T1884" s="120"/>
      <c r="U1884" s="121" t="s">
        <v>365</v>
      </c>
      <c r="V1884" s="133">
        <f>3*M1874</f>
        <v>3</v>
      </c>
      <c r="W1884" s="133">
        <f>VLOOKUP(U1884,Sheet1!$B$6:$C$45,2,FALSE)*V1884</f>
        <v>3</v>
      </c>
      <c r="X1884" s="141"/>
      <c r="Y1884" s="122" t="s">
        <v>328</v>
      </c>
      <c r="Z1884" s="146">
        <f>VLOOKUP(Takeoffs!Y1884,Sheet1!$B$6:$C$124,2,FALSE)</f>
        <v>29.04</v>
      </c>
      <c r="AA1884" s="146">
        <f t="shared" si="864"/>
        <v>116.16</v>
      </c>
      <c r="AB1884" s="143">
        <f t="shared" si="860"/>
        <v>4</v>
      </c>
      <c r="AC1884" s="133">
        <f t="shared" si="871"/>
        <v>1</v>
      </c>
      <c r="AD1884" s="142">
        <v>4</v>
      </c>
      <c r="AE1884" s="141"/>
      <c r="AF1884" s="121" t="s">
        <v>293</v>
      </c>
      <c r="AG1884" s="146">
        <f>VLOOKUP(Takeoffs!AF1884,Sheet1!$B$6:$C$124,2,FALSE)</f>
        <v>0</v>
      </c>
      <c r="AH1884" s="146">
        <f t="shared" si="865"/>
        <v>0</v>
      </c>
      <c r="AI1884" s="143">
        <f t="shared" si="861"/>
        <v>0</v>
      </c>
      <c r="AJ1884" s="133">
        <f t="shared" si="862"/>
        <v>1</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412</v>
      </c>
      <c r="P1885" s="121"/>
      <c r="Q1885" s="121"/>
      <c r="R1885" s="121"/>
      <c r="S1885" s="133">
        <f>M1874</f>
        <v>1</v>
      </c>
      <c r="T1885" s="120"/>
      <c r="U1885" s="121" t="s">
        <v>365</v>
      </c>
      <c r="V1885" s="133">
        <f>14*M1874</f>
        <v>14</v>
      </c>
      <c r="W1885" s="133">
        <f>VLOOKUP(U1885,Sheet1!$B$6:$C$45,2,FALSE)*V1885</f>
        <v>14</v>
      </c>
      <c r="X1885" s="141"/>
      <c r="Y1885" s="122" t="s">
        <v>327</v>
      </c>
      <c r="Z1885" s="146">
        <f>VLOOKUP(Takeoffs!Y1885,Sheet1!$B$6:$C$124,2,FALSE)</f>
        <v>240</v>
      </c>
      <c r="AA1885" s="146">
        <f t="shared" si="864"/>
        <v>960</v>
      </c>
      <c r="AB1885" s="143">
        <f t="shared" si="860"/>
        <v>4</v>
      </c>
      <c r="AC1885" s="133">
        <f t="shared" si="871"/>
        <v>1</v>
      </c>
      <c r="AD1885" s="142">
        <v>4</v>
      </c>
      <c r="AE1885" s="141"/>
      <c r="AF1885" s="144" t="s">
        <v>269</v>
      </c>
      <c r="AG1885" s="146">
        <f>VLOOKUP(Takeoffs!AF1885,Sheet1!$B$6:$C$124,2,FALSE)</f>
        <v>1.056</v>
      </c>
      <c r="AH1885" s="146">
        <f t="shared" si="865"/>
        <v>190.08</v>
      </c>
      <c r="AI1885" s="143">
        <f t="shared" si="861"/>
        <v>180</v>
      </c>
      <c r="AJ1885" s="133">
        <f t="shared" si="862"/>
        <v>1</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1</v>
      </c>
      <c r="T1886" s="120"/>
      <c r="U1886" s="121" t="s">
        <v>366</v>
      </c>
      <c r="V1886" s="133">
        <f t="shared" ref="V1886:V1893" si="872">S1886</f>
        <v>1</v>
      </c>
      <c r="W1886" s="133">
        <f>VLOOKUP(U1886,Sheet1!$B$6:$C$45,2,FALSE)*V1886</f>
        <v>2</v>
      </c>
      <c r="X1886" s="141"/>
      <c r="Y1886" s="121" t="s">
        <v>293</v>
      </c>
      <c r="Z1886" s="146">
        <f>VLOOKUP(Takeoffs!Y1886,Sheet1!$B$6:$C$124,2,FALSE)</f>
        <v>0</v>
      </c>
      <c r="AA1886" s="146">
        <f t="shared" si="864"/>
        <v>0</v>
      </c>
      <c r="AB1886" s="143">
        <f t="shared" si="860"/>
        <v>1</v>
      </c>
      <c r="AC1886" s="133">
        <f t="shared" si="871"/>
        <v>1</v>
      </c>
      <c r="AD1886" s="142">
        <v>1</v>
      </c>
      <c r="AE1886" s="141"/>
      <c r="AF1886" s="121" t="s">
        <v>293</v>
      </c>
      <c r="AG1886" s="146">
        <f>VLOOKUP(Takeoffs!AF1886,Sheet1!$B$6:$C$124,2,FALSE)</f>
        <v>0</v>
      </c>
      <c r="AH1886" s="146">
        <f t="shared" si="865"/>
        <v>0</v>
      </c>
      <c r="AI1886" s="143">
        <f t="shared" si="861"/>
        <v>0</v>
      </c>
      <c r="AJ1886" s="133">
        <f t="shared" si="862"/>
        <v>1</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1</v>
      </c>
      <c r="T1887" s="120"/>
      <c r="U1887" s="121" t="s">
        <v>232</v>
      </c>
      <c r="V1887" s="133">
        <f t="shared" si="872"/>
        <v>1</v>
      </c>
      <c r="W1887" s="133">
        <f>VLOOKUP(U1887,Sheet1!$B$6:$C$45,2,FALSE)*V1887</f>
        <v>1</v>
      </c>
      <c r="X1887" s="141"/>
      <c r="Y1887" s="122" t="s">
        <v>281</v>
      </c>
      <c r="Z1887" s="146">
        <f>VLOOKUP(Takeoffs!Y1887,Sheet1!$B$6:$C$124,2,FALSE)</f>
        <v>109.25999999999999</v>
      </c>
      <c r="AA1887" s="146">
        <f t="shared" si="864"/>
        <v>109.25999999999999</v>
      </c>
      <c r="AB1887" s="143">
        <f t="shared" si="860"/>
        <v>1</v>
      </c>
      <c r="AC1887" s="133">
        <f t="shared" si="871"/>
        <v>1</v>
      </c>
      <c r="AD1887" s="142">
        <v>1</v>
      </c>
      <c r="AE1887" s="141"/>
      <c r="AF1887" s="121" t="s">
        <v>293</v>
      </c>
      <c r="AG1887" s="146">
        <f>VLOOKUP(Takeoffs!AF1887,Sheet1!$B$6:$C$124,2,FALSE)</f>
        <v>0</v>
      </c>
      <c r="AH1887" s="146">
        <f t="shared" si="865"/>
        <v>0</v>
      </c>
      <c r="AI1887" s="143">
        <f t="shared" si="861"/>
        <v>0</v>
      </c>
      <c r="AJ1887" s="133">
        <f t="shared" si="862"/>
        <v>1</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1</v>
      </c>
      <c r="T1888" s="120"/>
      <c r="U1888" s="121" t="s">
        <v>365</v>
      </c>
      <c r="V1888" s="133">
        <f t="shared" si="872"/>
        <v>1</v>
      </c>
      <c r="W1888" s="133">
        <f>VLOOKUP(U1888,Sheet1!$B$6:$C$45,2,FALSE)*V1888</f>
        <v>1</v>
      </c>
      <c r="X1888" s="141"/>
      <c r="Y1888" s="122" t="s">
        <v>323</v>
      </c>
      <c r="Z1888" s="146">
        <f>VLOOKUP(Takeoffs!Y1888,Sheet1!$B$6:$C$124,2,FALSE)</f>
        <v>60</v>
      </c>
      <c r="AA1888" s="146">
        <f t="shared" si="864"/>
        <v>60</v>
      </c>
      <c r="AB1888" s="143">
        <f t="shared" si="860"/>
        <v>1</v>
      </c>
      <c r="AC1888" s="133">
        <f t="shared" si="871"/>
        <v>1</v>
      </c>
      <c r="AD1888" s="142">
        <v>1</v>
      </c>
      <c r="AE1888" s="141"/>
      <c r="AF1888" s="121" t="s">
        <v>293</v>
      </c>
      <c r="AG1888" s="146">
        <f>VLOOKUP(Takeoffs!AF1888,Sheet1!$B$6:$C$124,2,FALSE)</f>
        <v>0</v>
      </c>
      <c r="AH1888" s="146">
        <f t="shared" si="865"/>
        <v>0</v>
      </c>
      <c r="AI1888" s="143">
        <f t="shared" si="861"/>
        <v>0</v>
      </c>
      <c r="AJ1888" s="133">
        <f t="shared" si="862"/>
        <v>1</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426</v>
      </c>
      <c r="P1889" s="121"/>
      <c r="Q1889" s="121"/>
      <c r="R1889" s="121"/>
      <c r="S1889" s="133">
        <f>M1874</f>
        <v>1</v>
      </c>
      <c r="T1889" s="120"/>
      <c r="U1889" s="121" t="s">
        <v>293</v>
      </c>
      <c r="V1889" s="133">
        <f t="shared" si="872"/>
        <v>1</v>
      </c>
      <c r="W1889" s="133">
        <f>VLOOKUP(U1889,Sheet1!$B$6:$C$45,2,FALSE)*V1889</f>
        <v>0</v>
      </c>
      <c r="X1889" s="141"/>
      <c r="Y1889" s="122" t="s">
        <v>321</v>
      </c>
      <c r="Z1889" s="146">
        <f>VLOOKUP(Takeoffs!Y1889,Sheet1!$B$6:$C$124,2,FALSE)</f>
        <v>120</v>
      </c>
      <c r="AA1889" s="146">
        <f t="shared" si="864"/>
        <v>120</v>
      </c>
      <c r="AB1889" s="143">
        <f t="shared" si="860"/>
        <v>1</v>
      </c>
      <c r="AC1889" s="133">
        <f t="shared" si="871"/>
        <v>1</v>
      </c>
      <c r="AD1889" s="142">
        <v>1</v>
      </c>
      <c r="AE1889" s="141"/>
      <c r="AF1889" s="121" t="s">
        <v>293</v>
      </c>
      <c r="AG1889" s="146">
        <f>VLOOKUP(Takeoffs!AF1889,Sheet1!$B$6:$C$124,2,FALSE)</f>
        <v>0</v>
      </c>
      <c r="AH1889" s="146">
        <f t="shared" si="865"/>
        <v>0</v>
      </c>
      <c r="AI1889" s="143">
        <f t="shared" si="861"/>
        <v>0</v>
      </c>
      <c r="AJ1889" s="133">
        <f t="shared" si="862"/>
        <v>1</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425</v>
      </c>
      <c r="P1890" s="121"/>
      <c r="Q1890" s="121"/>
      <c r="R1890" s="121"/>
      <c r="S1890" s="133">
        <f>M1874</f>
        <v>1</v>
      </c>
      <c r="T1890" s="120"/>
      <c r="U1890" s="121" t="s">
        <v>293</v>
      </c>
      <c r="V1890" s="133">
        <f t="shared" si="872"/>
        <v>1</v>
      </c>
      <c r="W1890" s="133">
        <f>VLOOKUP(U1890,Sheet1!$B$6:$C$45,2,FALSE)*V1890</f>
        <v>0</v>
      </c>
      <c r="X1890" s="141"/>
      <c r="Y1890" s="122" t="s">
        <v>280</v>
      </c>
      <c r="Z1890" s="146">
        <f>VLOOKUP(Takeoffs!Y1890,Sheet1!$B$6:$C$124,2,FALSE)</f>
        <v>19.2</v>
      </c>
      <c r="AA1890" s="146">
        <f t="shared" si="864"/>
        <v>38.4</v>
      </c>
      <c r="AB1890" s="143">
        <f t="shared" si="860"/>
        <v>2</v>
      </c>
      <c r="AC1890" s="133">
        <f t="shared" si="871"/>
        <v>1</v>
      </c>
      <c r="AD1890" s="142">
        <v>2</v>
      </c>
      <c r="AE1890" s="141"/>
      <c r="AF1890" s="121" t="s">
        <v>293</v>
      </c>
      <c r="AG1890" s="146">
        <f>VLOOKUP(Takeoffs!AF1890,Sheet1!$B$6:$C$124,2,FALSE)</f>
        <v>0</v>
      </c>
      <c r="AH1890" s="146">
        <f t="shared" si="865"/>
        <v>0</v>
      </c>
      <c r="AI1890" s="143">
        <f t="shared" si="861"/>
        <v>0</v>
      </c>
      <c r="AJ1890" s="133">
        <f t="shared" si="862"/>
        <v>1</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427</v>
      </c>
      <c r="P1891" s="121"/>
      <c r="Q1891" s="121"/>
      <c r="R1891" s="121"/>
      <c r="S1891" s="133">
        <f>M1874</f>
        <v>1</v>
      </c>
      <c r="T1891" s="120"/>
      <c r="U1891" s="121" t="s">
        <v>293</v>
      </c>
      <c r="V1891" s="133">
        <f t="shared" si="872"/>
        <v>1</v>
      </c>
      <c r="W1891" s="133">
        <f>VLOOKUP(U1891,Sheet1!$B$6:$C$45,2,FALSE)*V1891</f>
        <v>0</v>
      </c>
      <c r="X1891" s="141"/>
      <c r="Y1891" s="122" t="s">
        <v>277</v>
      </c>
      <c r="Z1891" s="146">
        <f>VLOOKUP(Takeoffs!Y1891,Sheet1!$B$6:$C$124,2,FALSE)</f>
        <v>69.540000000000006</v>
      </c>
      <c r="AA1891" s="146">
        <f t="shared" si="864"/>
        <v>69.540000000000006</v>
      </c>
      <c r="AB1891" s="143">
        <f t="shared" si="860"/>
        <v>1</v>
      </c>
      <c r="AC1891" s="133">
        <f t="shared" si="871"/>
        <v>1</v>
      </c>
      <c r="AD1891" s="142">
        <v>1</v>
      </c>
      <c r="AE1891" s="141"/>
      <c r="AF1891" s="121" t="s">
        <v>293</v>
      </c>
      <c r="AG1891" s="146">
        <f>VLOOKUP(Takeoffs!AF1891,Sheet1!$B$6:$C$124,2,FALSE)</f>
        <v>0</v>
      </c>
      <c r="AH1891" s="146">
        <f t="shared" si="865"/>
        <v>0</v>
      </c>
      <c r="AI1891" s="143">
        <f t="shared" si="861"/>
        <v>0</v>
      </c>
      <c r="AJ1891" s="133">
        <f t="shared" si="862"/>
        <v>1</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1</v>
      </c>
      <c r="T1892" s="120"/>
      <c r="U1892" s="121" t="s">
        <v>293</v>
      </c>
      <c r="V1892" s="133">
        <f t="shared" si="872"/>
        <v>1</v>
      </c>
      <c r="W1892" s="133">
        <f>VLOOKUP(U1892,Sheet1!$B$6:$C$45,2,FALSE)*V1892</f>
        <v>0</v>
      </c>
      <c r="X1892" s="141"/>
      <c r="Y1892" s="121" t="s">
        <v>293</v>
      </c>
      <c r="Z1892" s="146">
        <f>VLOOKUP(Takeoffs!Y1892,Sheet1!$B$6:$C$124,2,FALSE)</f>
        <v>0</v>
      </c>
      <c r="AA1892" s="146">
        <f t="shared" si="864"/>
        <v>0</v>
      </c>
      <c r="AB1892" s="143">
        <f t="shared" si="860"/>
        <v>1</v>
      </c>
      <c r="AC1892" s="133">
        <f t="shared" si="871"/>
        <v>1</v>
      </c>
      <c r="AD1892" s="142">
        <v>1</v>
      </c>
      <c r="AE1892" s="141"/>
      <c r="AF1892" s="121" t="s">
        <v>293</v>
      </c>
      <c r="AG1892" s="146">
        <f>VLOOKUP(Takeoffs!AF1892,Sheet1!$B$6:$C$124,2,FALSE)</f>
        <v>0</v>
      </c>
      <c r="AH1892" s="146">
        <f t="shared" si="865"/>
        <v>0</v>
      </c>
      <c r="AI1892" s="143">
        <f t="shared" si="861"/>
        <v>0</v>
      </c>
      <c r="AJ1892" s="133">
        <f t="shared" si="862"/>
        <v>1</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414</v>
      </c>
      <c r="P1893" s="121" t="s">
        <v>382</v>
      </c>
      <c r="Q1893" s="121" t="s">
        <v>386</v>
      </c>
      <c r="R1893" s="121"/>
      <c r="S1893" s="133">
        <f>M1874</f>
        <v>1</v>
      </c>
      <c r="T1893" s="120"/>
      <c r="U1893" s="121" t="s">
        <v>293</v>
      </c>
      <c r="V1893" s="133">
        <f t="shared" si="872"/>
        <v>1</v>
      </c>
      <c r="W1893" s="133">
        <f>VLOOKUP(U1893,Sheet1!$B$6:$C$45,2,FALSE)*V1893</f>
        <v>0</v>
      </c>
      <c r="X1893" s="141"/>
      <c r="Y1893" s="122" t="s">
        <v>324</v>
      </c>
      <c r="Z1893" s="146">
        <f>VLOOKUP(Takeoffs!Y1893,Sheet1!$B$6:$C$124,2,FALSE)</f>
        <v>48</v>
      </c>
      <c r="AA1893" s="146">
        <f t="shared" si="864"/>
        <v>48</v>
      </c>
      <c r="AB1893" s="143">
        <f t="shared" si="860"/>
        <v>1</v>
      </c>
      <c r="AC1893" s="133">
        <f t="shared" si="871"/>
        <v>1</v>
      </c>
      <c r="AD1893" s="142">
        <v>1</v>
      </c>
      <c r="AE1893" s="141"/>
      <c r="AF1893" s="121" t="s">
        <v>293</v>
      </c>
      <c r="AG1893" s="146">
        <f>VLOOKUP(Takeoffs!AF1893,Sheet1!$B$6:$C$124,2,FALSE)</f>
        <v>0</v>
      </c>
      <c r="AH1893" s="146">
        <f t="shared" si="865"/>
        <v>0</v>
      </c>
      <c r="AI1893" s="143">
        <f t="shared" si="861"/>
        <v>0</v>
      </c>
      <c r="AJ1893" s="133">
        <f t="shared" si="862"/>
        <v>1</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410</v>
      </c>
      <c r="P1894" s="121"/>
      <c r="Q1894" s="121"/>
      <c r="R1894" s="121"/>
      <c r="S1894" s="133">
        <f>M1874</f>
        <v>1</v>
      </c>
      <c r="T1894" s="120"/>
      <c r="U1894" s="121" t="s">
        <v>365</v>
      </c>
      <c r="V1894" s="133">
        <f>4*M1874</f>
        <v>4</v>
      </c>
      <c r="W1894" s="133">
        <f>VLOOKUP(U1894,Sheet1!$B$6:$C$45,2,FALSE)*V1894</f>
        <v>4</v>
      </c>
      <c r="X1894" s="141"/>
      <c r="Y1894" s="121" t="s">
        <v>293</v>
      </c>
      <c r="Z1894" s="146">
        <f>VLOOKUP(Takeoffs!Y1894,Sheet1!$B$6:$C$124,2,FALSE)</f>
        <v>0</v>
      </c>
      <c r="AA1894" s="146">
        <f t="shared" si="864"/>
        <v>0</v>
      </c>
      <c r="AB1894" s="143">
        <f t="shared" si="860"/>
        <v>1</v>
      </c>
      <c r="AC1894" s="133">
        <f t="shared" si="871"/>
        <v>1</v>
      </c>
      <c r="AD1894" s="142">
        <v>1</v>
      </c>
      <c r="AE1894" s="141"/>
      <c r="AF1894" s="121" t="s">
        <v>293</v>
      </c>
      <c r="AG1894" s="146">
        <f>VLOOKUP(Takeoffs!AF1894,Sheet1!$B$6:$C$124,2,FALSE)</f>
        <v>0</v>
      </c>
      <c r="AH1894" s="146">
        <f t="shared" si="865"/>
        <v>0</v>
      </c>
      <c r="AI1894" s="143">
        <f t="shared" si="861"/>
        <v>0</v>
      </c>
      <c r="AJ1894" s="133">
        <f t="shared" si="862"/>
        <v>1</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379</v>
      </c>
      <c r="L1895" s="128" t="s">
        <v>380</v>
      </c>
      <c r="N1895" s="129"/>
      <c r="O1895" s="130" t="s">
        <v>359</v>
      </c>
      <c r="P1895" s="131">
        <f>V1895+AA1895+AH1895</f>
        <v>5663.2639999999992</v>
      </c>
      <c r="Q1895" s="131"/>
      <c r="R1895" s="131"/>
      <c r="S1895" s="130"/>
      <c r="T1895" s="127"/>
      <c r="U1895" s="126" t="s">
        <v>353</v>
      </c>
      <c r="V1895" s="127">
        <f>W1895*80</f>
        <v>2360</v>
      </c>
      <c r="W1895" s="147">
        <f>SUM(W1874:W1894)</f>
        <v>29.5</v>
      </c>
      <c r="X1895" s="148"/>
      <c r="Y1895" s="127" t="s">
        <v>354</v>
      </c>
      <c r="Z1895" s="116"/>
      <c r="AA1895" s="116">
        <f>SUM(AA1874:AA1894)</f>
        <v>2978.7840000000001</v>
      </c>
      <c r="AB1895" s="149"/>
      <c r="AC1895" s="149"/>
      <c r="AD1895" s="149"/>
      <c r="AE1895" s="149"/>
      <c r="AF1895" s="127" t="s">
        <v>358</v>
      </c>
      <c r="AG1895" s="116"/>
      <c r="AH1895" s="116">
        <f>SUM(AH1874:AH1894)</f>
        <v>324.48</v>
      </c>
      <c r="AI1895" s="149"/>
      <c r="AJ1895" s="149"/>
      <c r="AK1895" s="149"/>
      <c r="AL1895" s="149"/>
      <c r="AM1895" s="150">
        <f>P1895</f>
        <v>5663.2639999999992</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494</v>
      </c>
      <c r="C1896" s="217" t="str">
        <f>N1874</f>
        <v>Smoke Exhaust system ( including on floor dampers)</v>
      </c>
      <c r="D1896" s="260" t="s">
        <v>680</v>
      </c>
      <c r="E1896" s="238"/>
      <c r="F1896" s="217"/>
      <c r="G1896" s="217"/>
      <c r="H1896" s="245"/>
      <c r="I1896" s="270">
        <v>1</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one (1)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5663.2639999999992</v>
      </c>
      <c r="L1896" s="234" t="str">
        <f>CONCATENATE(Q1875,Q1876,Q1877,Q1878,Q1879,Q1880,Q1881,Q1882,Q1883,Q1884,Q1885,Q1886,Q1887,Q1888,Q1889,Q1890,Q1891,Q1892,Q1893,Q1894,)</f>
        <v>fire cabling from FIP.</v>
      </c>
      <c r="M1896" s="166" t="s">
        <v>369</v>
      </c>
      <c r="N1896" s="160" t="str">
        <f>N1874</f>
        <v>Smoke Exhaust system ( including on floor dampers)</v>
      </c>
      <c r="O1896" s="160" t="s">
        <v>367</v>
      </c>
      <c r="P1896" s="183">
        <f>P1895/M1874</f>
        <v>5663.2639999999992</v>
      </c>
      <c r="Q1896" s="191"/>
      <c r="R1896" s="161"/>
      <c r="S1896" s="160"/>
      <c r="T1896" s="161"/>
      <c r="U1896" s="327" t="s">
        <v>368</v>
      </c>
      <c r="V1896" s="327"/>
      <c r="W1896" s="162">
        <f>W1895/M1874</f>
        <v>29.5</v>
      </c>
      <c r="X1896" s="163"/>
      <c r="Y1896" s="325" t="s">
        <v>367</v>
      </c>
      <c r="Z1896" s="325"/>
      <c r="AA1896" s="164">
        <f>AA1895/M1874</f>
        <v>2978.7840000000001</v>
      </c>
      <c r="AB1896" s="161"/>
      <c r="AC1896" s="161"/>
      <c r="AD1896" s="161"/>
      <c r="AE1896" s="161"/>
      <c r="AF1896" s="325" t="s">
        <v>367</v>
      </c>
      <c r="AG1896" s="325"/>
      <c r="AH1896" s="164">
        <f>AH1895/M1874</f>
        <v>324.48</v>
      </c>
      <c r="AI1896" s="161"/>
      <c r="AJ1896" s="161"/>
      <c r="AK1896" s="161"/>
      <c r="AL1896" s="247"/>
      <c r="AM1896" s="257"/>
      <c r="AN1896" s="236">
        <f>K1896*1.25</f>
        <v>7079.079999999999</v>
      </c>
      <c r="AO1896" s="286"/>
      <c r="AP1896" s="284">
        <f t="shared" si="866"/>
        <v>5663.2639999999992</v>
      </c>
      <c r="AQ1896" s="281">
        <f t="shared" si="867"/>
        <v>2360</v>
      </c>
      <c r="AR1896" s="284">
        <f t="shared" si="868"/>
        <v>2978.7840000000001</v>
      </c>
      <c r="AS1896" s="281">
        <f t="shared" si="869"/>
        <v>324.48</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494</v>
      </c>
      <c r="D1897" s="261" t="str">
        <f>IF(B1897="Shopping List",IF(ISNUMBER(SEARCH("MSSB",C1897)),"MSSB",IF(ISNUMBER(SEARCH("local",C1897)),"LOCAL","")))</f>
        <v/>
      </c>
      <c r="I1897" s="269">
        <v>1</v>
      </c>
      <c r="J1897" s="261" t="s">
        <v>500</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454</v>
      </c>
      <c r="M1899" s="116" t="s">
        <v>107</v>
      </c>
      <c r="N1899" s="116" t="s">
        <v>108</v>
      </c>
      <c r="O1899" s="170" t="s">
        <v>388</v>
      </c>
      <c r="P1899" s="326" t="s">
        <v>377</v>
      </c>
      <c r="Q1899" s="326"/>
      <c r="R1899" s="101" t="s">
        <v>454</v>
      </c>
      <c r="S1899" s="116" t="s">
        <v>0</v>
      </c>
      <c r="T1899" s="118"/>
      <c r="U1899" s="116" t="s">
        <v>288</v>
      </c>
      <c r="V1899" s="116" t="s">
        <v>289</v>
      </c>
      <c r="W1899" s="116" t="s">
        <v>292</v>
      </c>
      <c r="X1899" s="140"/>
      <c r="Y1899" s="116" t="s">
        <v>290</v>
      </c>
      <c r="Z1899" s="116" t="s">
        <v>356</v>
      </c>
      <c r="AA1899" s="116" t="s">
        <v>357</v>
      </c>
      <c r="AB1899" s="116" t="s">
        <v>319</v>
      </c>
      <c r="AC1899" s="116" t="s">
        <v>320</v>
      </c>
      <c r="AD1899" s="116" t="s">
        <v>318</v>
      </c>
      <c r="AE1899" s="140"/>
      <c r="AF1899" s="116" t="s">
        <v>294</v>
      </c>
      <c r="AG1899" s="116" t="s">
        <v>356</v>
      </c>
      <c r="AH1899" s="116" t="s">
        <v>357</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one</v>
      </c>
      <c r="M1900" s="121">
        <f>I1922</f>
        <v>1</v>
      </c>
      <c r="N1900" s="132" t="s">
        <v>468</v>
      </c>
      <c r="O1900" s="121" t="s">
        <v>349</v>
      </c>
      <c r="P1900" s="169" t="s">
        <v>381</v>
      </c>
      <c r="Q1900" s="169" t="s">
        <v>377</v>
      </c>
      <c r="R1900" s="169"/>
      <c r="S1900" s="133">
        <f>M1900</f>
        <v>1</v>
      </c>
      <c r="T1900" s="119"/>
      <c r="U1900" s="121" t="s">
        <v>293</v>
      </c>
      <c r="V1900" s="133">
        <f>S1900</f>
        <v>1</v>
      </c>
      <c r="W1900" s="133">
        <f>VLOOKUP(U1900,Sheet1!$B$6:$C$45,2,FALSE)*V1900</f>
        <v>0</v>
      </c>
      <c r="X1900" s="141"/>
      <c r="Y1900" s="121" t="s">
        <v>293</v>
      </c>
      <c r="Z1900" s="146">
        <f>VLOOKUP(Takeoffs!Y1900,Sheet1!$B$6:$C$124,2,FALSE)</f>
        <v>0</v>
      </c>
      <c r="AA1900" s="146">
        <f>Z1900*AB1900</f>
        <v>0</v>
      </c>
      <c r="AB1900" s="143">
        <f>AD1900*AC1900</f>
        <v>1</v>
      </c>
      <c r="AC1900" s="133">
        <f>S1900</f>
        <v>1</v>
      </c>
      <c r="AD1900" s="142">
        <v>1</v>
      </c>
      <c r="AE1900" s="141"/>
      <c r="AF1900" s="121" t="s">
        <v>293</v>
      </c>
      <c r="AG1900" s="146">
        <f>VLOOKUP(Takeoffs!AF1900,Sheet1!$B$6:$C$124,2,FALSE)</f>
        <v>0</v>
      </c>
      <c r="AH1900" s="146">
        <f>AG1900*AI1900</f>
        <v>0</v>
      </c>
      <c r="AI1900" s="143">
        <f>AK1900*AJ1900</f>
        <v>0</v>
      </c>
      <c r="AJ1900" s="133">
        <f>S1900</f>
        <v>1</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413</v>
      </c>
      <c r="P1901" s="121"/>
      <c r="Q1901" s="121"/>
      <c r="R1901" s="121"/>
      <c r="S1901" s="133">
        <f>M1900</f>
        <v>1</v>
      </c>
      <c r="T1901" s="120"/>
      <c r="U1901" s="121" t="s">
        <v>235</v>
      </c>
      <c r="V1901" s="133">
        <f t="shared" ref="V1901:V1920" si="874">S1901</f>
        <v>1</v>
      </c>
      <c r="W1901" s="133">
        <f>VLOOKUP(U1901,Sheet1!$B$6:$C$45,2,FALSE)*V1901</f>
        <v>1.5</v>
      </c>
      <c r="X1901" s="141"/>
      <c r="Y1901" s="121" t="s">
        <v>293</v>
      </c>
      <c r="Z1901" s="146">
        <f>VLOOKUP(Takeoffs!Y1901,Sheet1!$B$6:$C$124,2,FALSE)</f>
        <v>0</v>
      </c>
      <c r="AA1901" s="146">
        <f t="shared" ref="AA1901:AA1920" si="875">Z1901*AB1901</f>
        <v>0</v>
      </c>
      <c r="AB1901" s="143">
        <f t="shared" ref="AB1901:AB1920" si="876">AD1901*AC1901</f>
        <v>1</v>
      </c>
      <c r="AC1901" s="133">
        <f>S1901</f>
        <v>1</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1</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1</v>
      </c>
      <c r="T1902" s="120"/>
      <c r="U1902" s="121" t="s">
        <v>293</v>
      </c>
      <c r="V1902" s="133">
        <f t="shared" si="874"/>
        <v>1</v>
      </c>
      <c r="W1902" s="133">
        <f>VLOOKUP(U1902,Sheet1!$B$6:$C$45,2,FALSE)*V1902</f>
        <v>0</v>
      </c>
      <c r="X1902" s="141"/>
      <c r="Y1902" s="121" t="s">
        <v>293</v>
      </c>
      <c r="Z1902" s="146">
        <f>VLOOKUP(Takeoffs!Y1902,Sheet1!$B$6:$C$124,2,FALSE)</f>
        <v>0</v>
      </c>
      <c r="AA1902" s="146">
        <f t="shared" si="875"/>
        <v>0</v>
      </c>
      <c r="AB1902" s="143">
        <f t="shared" si="876"/>
        <v>1</v>
      </c>
      <c r="AC1902" s="133">
        <f>S1902</f>
        <v>1</v>
      </c>
      <c r="AD1902" s="142">
        <v>1</v>
      </c>
      <c r="AE1902" s="141"/>
      <c r="AF1902" s="121" t="s">
        <v>293</v>
      </c>
      <c r="AG1902" s="146">
        <f>VLOOKUP(Takeoffs!AF1902,Sheet1!$B$6:$C$124,2,FALSE)</f>
        <v>0</v>
      </c>
      <c r="AH1902" s="146">
        <f t="shared" si="877"/>
        <v>0</v>
      </c>
      <c r="AI1902" s="143">
        <f t="shared" si="878"/>
        <v>0</v>
      </c>
      <c r="AJ1902" s="133">
        <f t="shared" si="879"/>
        <v>1</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513</v>
      </c>
      <c r="P1903" s="121" t="s">
        <v>466</v>
      </c>
      <c r="Q1903" s="121" t="s">
        <v>467</v>
      </c>
      <c r="R1903" s="121"/>
      <c r="S1903" s="133">
        <f>M1900</f>
        <v>1</v>
      </c>
      <c r="T1903" s="120"/>
      <c r="U1903" s="121" t="s">
        <v>363</v>
      </c>
      <c r="V1903" s="133">
        <f t="shared" si="874"/>
        <v>1</v>
      </c>
      <c r="W1903" s="133">
        <f>VLOOKUP(U1903,Sheet1!$B$6:$C$45,2,FALSE)*V1903</f>
        <v>1</v>
      </c>
      <c r="X1903" s="141"/>
      <c r="Y1903" s="121" t="s">
        <v>293</v>
      </c>
      <c r="Z1903" s="146">
        <f>VLOOKUP(Takeoffs!Y1903,Sheet1!$B$6:$C$124,2,FALSE)</f>
        <v>0</v>
      </c>
      <c r="AA1903" s="146">
        <f t="shared" si="875"/>
        <v>0</v>
      </c>
      <c r="AB1903" s="143">
        <f t="shared" si="876"/>
        <v>1</v>
      </c>
      <c r="AC1903" s="133">
        <f t="shared" ref="AC1903:AC1920" si="881">S1903</f>
        <v>1</v>
      </c>
      <c r="AD1903" s="142">
        <v>1</v>
      </c>
      <c r="AE1903" s="141"/>
      <c r="AF1903" s="122" t="s">
        <v>267</v>
      </c>
      <c r="AG1903" s="146">
        <f>VLOOKUP(Takeoffs!AF1903,Sheet1!$B$6:$C$124,2,FALSE)</f>
        <v>3.48</v>
      </c>
      <c r="AH1903" s="146">
        <f t="shared" si="877"/>
        <v>5.22</v>
      </c>
      <c r="AI1903" s="143">
        <f t="shared" si="878"/>
        <v>1.5</v>
      </c>
      <c r="AJ1903" s="133">
        <f t="shared" si="879"/>
        <v>1</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514</v>
      </c>
      <c r="P1904" s="121"/>
      <c r="Q1904" s="121"/>
      <c r="R1904" s="121"/>
      <c r="S1904" s="133">
        <f>M1900</f>
        <v>1</v>
      </c>
      <c r="T1904" s="120"/>
      <c r="U1904" s="121" t="s">
        <v>293</v>
      </c>
      <c r="V1904" s="133">
        <f t="shared" si="874"/>
        <v>1</v>
      </c>
      <c r="W1904" s="133">
        <f>VLOOKUP(U1904,Sheet1!$B$6:$C$45,2,FALSE)*V1904</f>
        <v>0</v>
      </c>
      <c r="X1904" s="141"/>
      <c r="Y1904" s="152" t="s">
        <v>264</v>
      </c>
      <c r="Z1904" s="146">
        <f>VLOOKUP(Takeoffs!Y1904,Sheet1!$B$6:$C$124,2,FALSE)</f>
        <v>751.07999999999993</v>
      </c>
      <c r="AA1904" s="146">
        <f t="shared" si="875"/>
        <v>751.07999999999993</v>
      </c>
      <c r="AB1904" s="143">
        <f t="shared" si="876"/>
        <v>1</v>
      </c>
      <c r="AC1904" s="133">
        <f t="shared" si="881"/>
        <v>1</v>
      </c>
      <c r="AD1904" s="142">
        <v>1</v>
      </c>
      <c r="AE1904" s="141"/>
      <c r="AF1904" s="121" t="s">
        <v>293</v>
      </c>
      <c r="AG1904" s="146">
        <f>VLOOKUP(Takeoffs!AF1904,Sheet1!$B$6:$C$124,2,FALSE)</f>
        <v>0</v>
      </c>
      <c r="AH1904" s="146">
        <f t="shared" si="877"/>
        <v>0</v>
      </c>
      <c r="AI1904" s="143">
        <f t="shared" si="878"/>
        <v>0</v>
      </c>
      <c r="AJ1904" s="133">
        <f t="shared" si="879"/>
        <v>1</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392</v>
      </c>
      <c r="P1905" s="121"/>
      <c r="Q1905" s="121"/>
      <c r="R1905" s="121"/>
      <c r="S1905" s="133">
        <f>M1900</f>
        <v>1</v>
      </c>
      <c r="T1905" s="120"/>
      <c r="U1905" s="121" t="s">
        <v>293</v>
      </c>
      <c r="V1905" s="133">
        <f t="shared" si="874"/>
        <v>1</v>
      </c>
      <c r="W1905" s="133">
        <f>VLOOKUP(U1905,Sheet1!$B$6:$C$45,2,FALSE)*V1905</f>
        <v>0</v>
      </c>
      <c r="X1905" s="141"/>
      <c r="Y1905" s="121" t="s">
        <v>293</v>
      </c>
      <c r="Z1905" s="146">
        <f>VLOOKUP(Takeoffs!Y1905,Sheet1!$B$6:$C$124,2,FALSE)</f>
        <v>0</v>
      </c>
      <c r="AA1905" s="146">
        <f t="shared" si="875"/>
        <v>0</v>
      </c>
      <c r="AB1905" s="143">
        <f t="shared" si="876"/>
        <v>1</v>
      </c>
      <c r="AC1905" s="133">
        <f t="shared" si="881"/>
        <v>1</v>
      </c>
      <c r="AD1905" s="142">
        <v>1</v>
      </c>
      <c r="AE1905" s="141"/>
      <c r="AF1905" s="122" t="s">
        <v>267</v>
      </c>
      <c r="AG1905" s="146">
        <f>VLOOKUP(Takeoffs!AF1905,Sheet1!$B$6:$C$124,2,FALSE)</f>
        <v>3.48</v>
      </c>
      <c r="AH1905" s="146">
        <f t="shared" si="877"/>
        <v>52.2</v>
      </c>
      <c r="AI1905" s="143">
        <f t="shared" si="878"/>
        <v>15</v>
      </c>
      <c r="AJ1905" s="133">
        <f t="shared" si="879"/>
        <v>1</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1</v>
      </c>
      <c r="T1906" s="120"/>
      <c r="U1906" s="121" t="s">
        <v>293</v>
      </c>
      <c r="V1906" s="133">
        <f t="shared" si="874"/>
        <v>1</v>
      </c>
      <c r="W1906" s="133">
        <f>VLOOKUP(U1906,Sheet1!$B$6:$C$45,2,FALSE)*V1906</f>
        <v>0</v>
      </c>
      <c r="X1906" s="141"/>
      <c r="Y1906" s="122" t="s">
        <v>245</v>
      </c>
      <c r="Z1906" s="146">
        <f>VLOOKUP(Takeoffs!Y1906,Sheet1!$B$6:$C$124,2,FALSE)</f>
        <v>46.463999999999999</v>
      </c>
      <c r="AA1906" s="146">
        <f t="shared" si="875"/>
        <v>46.463999999999999</v>
      </c>
      <c r="AB1906" s="143">
        <f t="shared" si="876"/>
        <v>1</v>
      </c>
      <c r="AC1906" s="133">
        <f t="shared" si="881"/>
        <v>1</v>
      </c>
      <c r="AD1906" s="142">
        <v>1</v>
      </c>
      <c r="AE1906" s="141"/>
      <c r="AF1906" s="121" t="s">
        <v>293</v>
      </c>
      <c r="AG1906" s="146">
        <f>VLOOKUP(Takeoffs!AF1906,Sheet1!$B$6:$C$124,2,FALSE)</f>
        <v>0</v>
      </c>
      <c r="AH1906" s="146">
        <f t="shared" si="877"/>
        <v>0</v>
      </c>
      <c r="AI1906" s="143">
        <f t="shared" si="878"/>
        <v>0</v>
      </c>
      <c r="AJ1906" s="133">
        <f t="shared" si="879"/>
        <v>1</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1</v>
      </c>
      <c r="T1907" s="120"/>
      <c r="U1907" s="121" t="s">
        <v>293</v>
      </c>
      <c r="V1907" s="133">
        <f t="shared" si="874"/>
        <v>1</v>
      </c>
      <c r="W1907" s="133">
        <f>VLOOKUP(U1907,Sheet1!$B$6:$C$45,2,FALSE)*V1907</f>
        <v>0</v>
      </c>
      <c r="X1907" s="141"/>
      <c r="Y1907" s="121" t="s">
        <v>293</v>
      </c>
      <c r="Z1907" s="146">
        <f>VLOOKUP(Takeoffs!Y1907,Sheet1!$B$6:$C$124,2,FALSE)</f>
        <v>0</v>
      </c>
      <c r="AA1907" s="146">
        <f t="shared" si="875"/>
        <v>0</v>
      </c>
      <c r="AB1907" s="143">
        <f t="shared" si="876"/>
        <v>1</v>
      </c>
      <c r="AC1907" s="133">
        <f t="shared" si="881"/>
        <v>1</v>
      </c>
      <c r="AD1907" s="142">
        <v>1</v>
      </c>
      <c r="AE1907" s="141"/>
      <c r="AF1907" s="121" t="s">
        <v>293</v>
      </c>
      <c r="AG1907" s="146">
        <f>VLOOKUP(Takeoffs!AF1907,Sheet1!$B$6:$C$124,2,FALSE)</f>
        <v>0</v>
      </c>
      <c r="AH1907" s="146">
        <f t="shared" si="877"/>
        <v>0</v>
      </c>
      <c r="AI1907" s="143">
        <f t="shared" si="878"/>
        <v>0</v>
      </c>
      <c r="AJ1907" s="133">
        <f t="shared" si="879"/>
        <v>1</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1</v>
      </c>
      <c r="T1908" s="120"/>
      <c r="U1908" s="121" t="s">
        <v>293</v>
      </c>
      <c r="V1908" s="133">
        <f t="shared" si="874"/>
        <v>1</v>
      </c>
      <c r="W1908" s="133">
        <f>VLOOKUP(U1908,Sheet1!$B$6:$C$45,2,FALSE)*V1908</f>
        <v>0</v>
      </c>
      <c r="X1908" s="141"/>
      <c r="Y1908" s="121" t="s">
        <v>293</v>
      </c>
      <c r="Z1908" s="146">
        <f>VLOOKUP(Takeoffs!Y1908,Sheet1!$B$6:$C$124,2,FALSE)</f>
        <v>0</v>
      </c>
      <c r="AA1908" s="146">
        <f t="shared" si="875"/>
        <v>0</v>
      </c>
      <c r="AB1908" s="143">
        <f t="shared" si="876"/>
        <v>1</v>
      </c>
      <c r="AC1908" s="133">
        <f t="shared" si="881"/>
        <v>1</v>
      </c>
      <c r="AD1908" s="142">
        <v>1</v>
      </c>
      <c r="AE1908" s="141"/>
      <c r="AF1908" s="121" t="s">
        <v>293</v>
      </c>
      <c r="AG1908" s="146">
        <f>VLOOKUP(Takeoffs!AF1908,Sheet1!$B$6:$C$124,2,FALSE)</f>
        <v>0</v>
      </c>
      <c r="AH1908" s="146">
        <f t="shared" si="877"/>
        <v>0</v>
      </c>
      <c r="AI1908" s="143">
        <f t="shared" si="878"/>
        <v>0</v>
      </c>
      <c r="AJ1908" s="133">
        <f t="shared" si="879"/>
        <v>1</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1</v>
      </c>
      <c r="T1909" s="120"/>
      <c r="U1909" s="121" t="s">
        <v>293</v>
      </c>
      <c r="V1909" s="133">
        <f t="shared" si="874"/>
        <v>1</v>
      </c>
      <c r="W1909" s="133">
        <f>VLOOKUP(U1909,Sheet1!$B$6:$C$45,2,FALSE)*V1909</f>
        <v>0</v>
      </c>
      <c r="X1909" s="141"/>
      <c r="Y1909" s="121" t="s">
        <v>293</v>
      </c>
      <c r="Z1909" s="146">
        <f>VLOOKUP(Takeoffs!Y1909,Sheet1!$B$6:$C$124,2,FALSE)</f>
        <v>0</v>
      </c>
      <c r="AA1909" s="146">
        <f t="shared" si="875"/>
        <v>0</v>
      </c>
      <c r="AB1909" s="143">
        <f t="shared" si="876"/>
        <v>1</v>
      </c>
      <c r="AC1909" s="133">
        <f t="shared" si="881"/>
        <v>1</v>
      </c>
      <c r="AD1909" s="142">
        <v>1</v>
      </c>
      <c r="AE1909" s="141"/>
      <c r="AF1909" s="121" t="s">
        <v>293</v>
      </c>
      <c r="AG1909" s="146">
        <f>VLOOKUP(Takeoffs!AF1909,Sheet1!$B$6:$C$124,2,FALSE)</f>
        <v>0</v>
      </c>
      <c r="AH1909" s="146">
        <f t="shared" si="877"/>
        <v>0</v>
      </c>
      <c r="AI1909" s="143">
        <f t="shared" si="878"/>
        <v>0</v>
      </c>
      <c r="AJ1909" s="133">
        <f t="shared" si="879"/>
        <v>1</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515</v>
      </c>
      <c r="P1910" s="121"/>
      <c r="Q1910" s="121"/>
      <c r="R1910" s="121"/>
      <c r="S1910" s="133">
        <f>M1900</f>
        <v>1</v>
      </c>
      <c r="T1910" s="120"/>
      <c r="U1910" s="121" t="s">
        <v>365</v>
      </c>
      <c r="V1910" s="133">
        <f t="shared" si="874"/>
        <v>1</v>
      </c>
      <c r="W1910" s="133">
        <f>VLOOKUP(U1910,Sheet1!$B$6:$C$45,2,FALSE)*V1910</f>
        <v>1</v>
      </c>
      <c r="X1910" s="141"/>
      <c r="Y1910" s="122" t="s">
        <v>323</v>
      </c>
      <c r="Z1910" s="146">
        <f>VLOOKUP(Takeoffs!Y1910,Sheet1!$B$6:$C$124,2,FALSE)</f>
        <v>60</v>
      </c>
      <c r="AA1910" s="146">
        <f t="shared" si="875"/>
        <v>60</v>
      </c>
      <c r="AB1910" s="143">
        <f t="shared" si="876"/>
        <v>1</v>
      </c>
      <c r="AC1910" s="133">
        <f t="shared" si="881"/>
        <v>1</v>
      </c>
      <c r="AD1910" s="142">
        <v>1</v>
      </c>
      <c r="AE1910" s="141"/>
      <c r="AF1910" s="121" t="s">
        <v>293</v>
      </c>
      <c r="AG1910" s="146">
        <f>VLOOKUP(Takeoffs!AF1910,Sheet1!$B$6:$C$124,2,FALSE)</f>
        <v>0</v>
      </c>
      <c r="AH1910" s="146">
        <f t="shared" si="877"/>
        <v>0</v>
      </c>
      <c r="AI1910" s="143">
        <f t="shared" si="878"/>
        <v>0</v>
      </c>
      <c r="AJ1910" s="133">
        <f t="shared" si="879"/>
        <v>1</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470</v>
      </c>
      <c r="P1911" s="121"/>
      <c r="Q1911" s="121"/>
      <c r="R1911" s="121"/>
      <c r="S1911" s="133">
        <f>M1900</f>
        <v>1</v>
      </c>
      <c r="T1911" s="120"/>
      <c r="U1911" s="121" t="s">
        <v>293</v>
      </c>
      <c r="V1911" s="133">
        <f t="shared" si="874"/>
        <v>1</v>
      </c>
      <c r="W1911" s="133">
        <f>VLOOKUP(U1911,Sheet1!$B$6:$C$45,2,FALSE)*V1911</f>
        <v>0</v>
      </c>
      <c r="X1911" s="141"/>
      <c r="Y1911" s="122" t="s">
        <v>274</v>
      </c>
      <c r="Z1911" s="146">
        <f>VLOOKUP(Takeoffs!Y1911,Sheet1!$B$6:$C$124,2,FALSE)</f>
        <v>360</v>
      </c>
      <c r="AA1911" s="146">
        <f t="shared" si="875"/>
        <v>360</v>
      </c>
      <c r="AB1911" s="143">
        <f t="shared" si="876"/>
        <v>1</v>
      </c>
      <c r="AC1911" s="133">
        <f t="shared" si="881"/>
        <v>1</v>
      </c>
      <c r="AD1911" s="142">
        <v>1</v>
      </c>
      <c r="AE1911" s="141"/>
      <c r="AF1911" s="121" t="s">
        <v>293</v>
      </c>
      <c r="AG1911" s="146">
        <f>VLOOKUP(Takeoffs!AF1911,Sheet1!$B$6:$C$124,2,FALSE)</f>
        <v>0</v>
      </c>
      <c r="AH1911" s="146">
        <f t="shared" si="877"/>
        <v>0</v>
      </c>
      <c r="AI1911" s="143">
        <f t="shared" si="878"/>
        <v>0</v>
      </c>
      <c r="AJ1911" s="133">
        <f t="shared" si="879"/>
        <v>1</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1</v>
      </c>
      <c r="T1912" s="120"/>
      <c r="U1912" s="121" t="s">
        <v>365</v>
      </c>
      <c r="V1912" s="133">
        <f t="shared" si="874"/>
        <v>1</v>
      </c>
      <c r="W1912" s="133">
        <f>VLOOKUP(U1912,Sheet1!$B$6:$C$45,2,FALSE)*V1912</f>
        <v>1</v>
      </c>
      <c r="X1912" s="141"/>
      <c r="Y1912" s="121" t="s">
        <v>293</v>
      </c>
      <c r="Z1912" s="146">
        <f>VLOOKUP(Takeoffs!Y1912,Sheet1!$B$6:$C$124,2,FALSE)</f>
        <v>0</v>
      </c>
      <c r="AA1912" s="146">
        <f t="shared" si="875"/>
        <v>0</v>
      </c>
      <c r="AB1912" s="143">
        <f t="shared" si="876"/>
        <v>1</v>
      </c>
      <c r="AC1912" s="133">
        <f t="shared" si="881"/>
        <v>1</v>
      </c>
      <c r="AD1912" s="142">
        <v>1</v>
      </c>
      <c r="AE1912" s="141"/>
      <c r="AF1912" s="144" t="s">
        <v>269</v>
      </c>
      <c r="AG1912" s="146">
        <f>VLOOKUP(Takeoffs!AF1912,Sheet1!$B$6:$C$124,2,FALSE)</f>
        <v>1.056</v>
      </c>
      <c r="AH1912" s="146">
        <f t="shared" si="877"/>
        <v>42.24</v>
      </c>
      <c r="AI1912" s="143">
        <f t="shared" si="878"/>
        <v>40</v>
      </c>
      <c r="AJ1912" s="133">
        <f t="shared" si="879"/>
        <v>1</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1</v>
      </c>
      <c r="T1913" s="120"/>
      <c r="U1913" s="121" t="s">
        <v>232</v>
      </c>
      <c r="V1913" s="133">
        <f t="shared" si="874"/>
        <v>1</v>
      </c>
      <c r="W1913" s="133">
        <f>VLOOKUP(U1913,Sheet1!$B$6:$C$45,2,FALSE)*V1913</f>
        <v>1</v>
      </c>
      <c r="X1913" s="141"/>
      <c r="Y1913" s="122" t="s">
        <v>281</v>
      </c>
      <c r="Z1913" s="146">
        <f>VLOOKUP(Takeoffs!Y1913,Sheet1!$B$6:$C$124,2,FALSE)</f>
        <v>109.25999999999999</v>
      </c>
      <c r="AA1913" s="146">
        <f t="shared" si="875"/>
        <v>109.25999999999999</v>
      </c>
      <c r="AB1913" s="143">
        <f t="shared" si="876"/>
        <v>1</v>
      </c>
      <c r="AC1913" s="133">
        <f t="shared" si="881"/>
        <v>1</v>
      </c>
      <c r="AD1913" s="142">
        <v>1</v>
      </c>
      <c r="AE1913" s="141"/>
      <c r="AF1913" s="121" t="s">
        <v>293</v>
      </c>
      <c r="AG1913" s="146">
        <f>VLOOKUP(Takeoffs!AF1913,Sheet1!$B$6:$C$124,2,FALSE)</f>
        <v>0</v>
      </c>
      <c r="AH1913" s="146">
        <f t="shared" si="877"/>
        <v>0</v>
      </c>
      <c r="AI1913" s="143">
        <f t="shared" si="878"/>
        <v>0</v>
      </c>
      <c r="AJ1913" s="133">
        <f t="shared" si="879"/>
        <v>1</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1</v>
      </c>
      <c r="T1914" s="120"/>
      <c r="U1914" s="121" t="s">
        <v>293</v>
      </c>
      <c r="V1914" s="133">
        <f t="shared" si="874"/>
        <v>1</v>
      </c>
      <c r="W1914" s="133">
        <f>VLOOKUP(U1914,Sheet1!$B$6:$C$45,2,FALSE)*V1914</f>
        <v>0</v>
      </c>
      <c r="X1914" s="141"/>
      <c r="Y1914" s="121" t="s">
        <v>293</v>
      </c>
      <c r="Z1914" s="146">
        <f>VLOOKUP(Takeoffs!Y1914,Sheet1!$B$6:$C$124,2,FALSE)</f>
        <v>0</v>
      </c>
      <c r="AA1914" s="146">
        <f t="shared" si="875"/>
        <v>0</v>
      </c>
      <c r="AB1914" s="143">
        <f t="shared" si="876"/>
        <v>2</v>
      </c>
      <c r="AC1914" s="133">
        <f t="shared" si="881"/>
        <v>1</v>
      </c>
      <c r="AD1914" s="142">
        <v>2</v>
      </c>
      <c r="AE1914" s="141"/>
      <c r="AF1914" s="121" t="s">
        <v>293</v>
      </c>
      <c r="AG1914" s="146">
        <f>VLOOKUP(Takeoffs!AF1914,Sheet1!$B$6:$C$124,2,FALSE)</f>
        <v>0</v>
      </c>
      <c r="AH1914" s="146">
        <f t="shared" si="877"/>
        <v>0</v>
      </c>
      <c r="AI1914" s="143">
        <f t="shared" si="878"/>
        <v>0</v>
      </c>
      <c r="AJ1914" s="133">
        <f t="shared" si="879"/>
        <v>1</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1</v>
      </c>
      <c r="T1915" s="120"/>
      <c r="U1915" s="121" t="s">
        <v>293</v>
      </c>
      <c r="V1915" s="133">
        <f t="shared" si="874"/>
        <v>1</v>
      </c>
      <c r="W1915" s="133">
        <f>VLOOKUP(U1915,Sheet1!$B$6:$C$45,2,FALSE)*V1915</f>
        <v>0</v>
      </c>
      <c r="X1915" s="141"/>
      <c r="Y1915" s="121" t="s">
        <v>293</v>
      </c>
      <c r="Z1915" s="146">
        <f>VLOOKUP(Takeoffs!Y1915,Sheet1!$B$6:$C$124,2,FALSE)</f>
        <v>0</v>
      </c>
      <c r="AA1915" s="146">
        <f t="shared" si="875"/>
        <v>0</v>
      </c>
      <c r="AB1915" s="143">
        <f t="shared" si="876"/>
        <v>4</v>
      </c>
      <c r="AC1915" s="133">
        <f t="shared" si="881"/>
        <v>1</v>
      </c>
      <c r="AD1915" s="142">
        <v>4</v>
      </c>
      <c r="AE1915" s="141"/>
      <c r="AF1915" s="121" t="s">
        <v>293</v>
      </c>
      <c r="AG1915" s="146">
        <f>VLOOKUP(Takeoffs!AF1915,Sheet1!$B$6:$C$124,2,FALSE)</f>
        <v>0</v>
      </c>
      <c r="AH1915" s="146">
        <f t="shared" si="877"/>
        <v>0</v>
      </c>
      <c r="AI1915" s="143">
        <f t="shared" si="878"/>
        <v>0</v>
      </c>
      <c r="AJ1915" s="133">
        <f t="shared" si="879"/>
        <v>1</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1</v>
      </c>
      <c r="T1916" s="120"/>
      <c r="U1916" s="121" t="s">
        <v>293</v>
      </c>
      <c r="V1916" s="133">
        <f t="shared" si="874"/>
        <v>1</v>
      </c>
      <c r="W1916" s="133">
        <f>VLOOKUP(U1916,Sheet1!$B$6:$C$45,2,FALSE)*V1916</f>
        <v>0</v>
      </c>
      <c r="X1916" s="141"/>
      <c r="Y1916" s="121" t="s">
        <v>293</v>
      </c>
      <c r="Z1916" s="146">
        <f>VLOOKUP(Takeoffs!Y1916,Sheet1!$B$6:$C$124,2,FALSE)</f>
        <v>0</v>
      </c>
      <c r="AA1916" s="146">
        <f t="shared" si="875"/>
        <v>0</v>
      </c>
      <c r="AB1916" s="143">
        <f t="shared" si="876"/>
        <v>2</v>
      </c>
      <c r="AC1916" s="133">
        <f t="shared" si="881"/>
        <v>1</v>
      </c>
      <c r="AD1916" s="142">
        <v>2</v>
      </c>
      <c r="AE1916" s="141"/>
      <c r="AF1916" s="121" t="s">
        <v>293</v>
      </c>
      <c r="AG1916" s="146">
        <f>VLOOKUP(Takeoffs!AF1916,Sheet1!$B$6:$C$124,2,FALSE)</f>
        <v>0</v>
      </c>
      <c r="AH1916" s="146">
        <f t="shared" si="877"/>
        <v>0</v>
      </c>
      <c r="AI1916" s="143">
        <f t="shared" si="878"/>
        <v>0</v>
      </c>
      <c r="AJ1916" s="133">
        <f t="shared" si="879"/>
        <v>1</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1</v>
      </c>
      <c r="T1917" s="120"/>
      <c r="U1917" s="121" t="s">
        <v>293</v>
      </c>
      <c r="V1917" s="133">
        <f t="shared" si="874"/>
        <v>1</v>
      </c>
      <c r="W1917" s="133">
        <f>VLOOKUP(U1917,Sheet1!$B$6:$C$45,2,FALSE)*V1917</f>
        <v>0</v>
      </c>
      <c r="X1917" s="141"/>
      <c r="Y1917" s="121" t="s">
        <v>293</v>
      </c>
      <c r="Z1917" s="146">
        <f>VLOOKUP(Takeoffs!Y1917,Sheet1!$B$6:$C$124,2,FALSE)</f>
        <v>0</v>
      </c>
      <c r="AA1917" s="146">
        <f t="shared" si="875"/>
        <v>0</v>
      </c>
      <c r="AB1917" s="143">
        <f t="shared" si="876"/>
        <v>1</v>
      </c>
      <c r="AC1917" s="133">
        <f t="shared" si="881"/>
        <v>1</v>
      </c>
      <c r="AD1917" s="142">
        <v>1</v>
      </c>
      <c r="AE1917" s="141"/>
      <c r="AF1917" s="121" t="s">
        <v>293</v>
      </c>
      <c r="AG1917" s="146">
        <f>VLOOKUP(Takeoffs!AF1917,Sheet1!$B$6:$C$124,2,FALSE)</f>
        <v>0</v>
      </c>
      <c r="AH1917" s="146">
        <f t="shared" si="877"/>
        <v>0</v>
      </c>
      <c r="AI1917" s="143">
        <f t="shared" si="878"/>
        <v>0</v>
      </c>
      <c r="AJ1917" s="133">
        <f t="shared" si="879"/>
        <v>1</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1</v>
      </c>
      <c r="T1918" s="120"/>
      <c r="U1918" s="121" t="s">
        <v>293</v>
      </c>
      <c r="V1918" s="133">
        <f t="shared" si="874"/>
        <v>1</v>
      </c>
      <c r="W1918" s="133">
        <f>VLOOKUP(U1918,Sheet1!$B$6:$C$45,2,FALSE)*V1918</f>
        <v>0</v>
      </c>
      <c r="X1918" s="141"/>
      <c r="Y1918" s="121" t="s">
        <v>293</v>
      </c>
      <c r="Z1918" s="146">
        <f>VLOOKUP(Takeoffs!Y1918,Sheet1!$B$6:$C$124,2,FALSE)</f>
        <v>0</v>
      </c>
      <c r="AA1918" s="146">
        <f t="shared" si="875"/>
        <v>0</v>
      </c>
      <c r="AB1918" s="143">
        <f t="shared" si="876"/>
        <v>1</v>
      </c>
      <c r="AC1918" s="133">
        <f t="shared" si="881"/>
        <v>1</v>
      </c>
      <c r="AD1918" s="142">
        <v>1</v>
      </c>
      <c r="AE1918" s="141"/>
      <c r="AF1918" s="121" t="s">
        <v>293</v>
      </c>
      <c r="AG1918" s="146">
        <f>VLOOKUP(Takeoffs!AF1918,Sheet1!$B$6:$C$124,2,FALSE)</f>
        <v>0</v>
      </c>
      <c r="AH1918" s="146">
        <f t="shared" si="877"/>
        <v>0</v>
      </c>
      <c r="AI1918" s="143">
        <f t="shared" si="878"/>
        <v>0</v>
      </c>
      <c r="AJ1918" s="133">
        <f t="shared" si="879"/>
        <v>1</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516</v>
      </c>
      <c r="P1919" s="121" t="s">
        <v>382</v>
      </c>
      <c r="Q1919" s="121" t="s">
        <v>469</v>
      </c>
      <c r="R1919" s="121"/>
      <c r="S1919" s="133">
        <f>M1900</f>
        <v>1</v>
      </c>
      <c r="T1919" s="120"/>
      <c r="U1919" s="121" t="s">
        <v>293</v>
      </c>
      <c r="V1919" s="133">
        <f t="shared" si="874"/>
        <v>1</v>
      </c>
      <c r="W1919" s="133">
        <f>VLOOKUP(U1919,Sheet1!$B$6:$C$45,2,FALSE)*V1919</f>
        <v>0</v>
      </c>
      <c r="X1919" s="141"/>
      <c r="Y1919" s="121" t="s">
        <v>293</v>
      </c>
      <c r="Z1919" s="146">
        <f>VLOOKUP(Takeoffs!Y1919,Sheet1!$B$6:$C$124,2,FALSE)</f>
        <v>0</v>
      </c>
      <c r="AA1919" s="146">
        <f t="shared" si="875"/>
        <v>0</v>
      </c>
      <c r="AB1919" s="143">
        <f t="shared" si="876"/>
        <v>1</v>
      </c>
      <c r="AC1919" s="133">
        <f t="shared" si="881"/>
        <v>1</v>
      </c>
      <c r="AD1919" s="142">
        <v>1</v>
      </c>
      <c r="AE1919" s="141"/>
      <c r="AF1919" s="121" t="s">
        <v>293</v>
      </c>
      <c r="AG1919" s="146">
        <f>VLOOKUP(Takeoffs!AF1919,Sheet1!$B$6:$C$124,2,FALSE)</f>
        <v>0</v>
      </c>
      <c r="AH1919" s="146">
        <f t="shared" si="877"/>
        <v>0</v>
      </c>
      <c r="AI1919" s="143">
        <f t="shared" si="878"/>
        <v>0</v>
      </c>
      <c r="AJ1919" s="133">
        <f t="shared" si="879"/>
        <v>1</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410</v>
      </c>
      <c r="P1920" s="121"/>
      <c r="Q1920" s="121"/>
      <c r="R1920" s="121"/>
      <c r="S1920" s="133">
        <f>M1900</f>
        <v>1</v>
      </c>
      <c r="T1920" s="120"/>
      <c r="U1920" s="121" t="s">
        <v>365</v>
      </c>
      <c r="V1920" s="133">
        <f t="shared" si="874"/>
        <v>1</v>
      </c>
      <c r="W1920" s="133">
        <f>VLOOKUP(U1920,Sheet1!$B$6:$C$45,2,FALSE)*V1920</f>
        <v>1</v>
      </c>
      <c r="X1920" s="141"/>
      <c r="Y1920" s="121" t="s">
        <v>293</v>
      </c>
      <c r="Z1920" s="146">
        <f>VLOOKUP(Takeoffs!Y1920,Sheet1!$B$6:$C$124,2,FALSE)</f>
        <v>0</v>
      </c>
      <c r="AA1920" s="146">
        <f t="shared" si="875"/>
        <v>0</v>
      </c>
      <c r="AB1920" s="143">
        <f t="shared" si="876"/>
        <v>1</v>
      </c>
      <c r="AC1920" s="133">
        <f t="shared" si="881"/>
        <v>1</v>
      </c>
      <c r="AD1920" s="142">
        <v>1</v>
      </c>
      <c r="AE1920" s="141"/>
      <c r="AF1920" s="121" t="s">
        <v>293</v>
      </c>
      <c r="AG1920" s="146">
        <f>VLOOKUP(Takeoffs!AF1920,Sheet1!$B$6:$C$124,2,FALSE)</f>
        <v>0</v>
      </c>
      <c r="AH1920" s="146">
        <f t="shared" si="877"/>
        <v>0</v>
      </c>
      <c r="AI1920" s="143">
        <f t="shared" si="878"/>
        <v>0</v>
      </c>
      <c r="AJ1920" s="133">
        <f t="shared" si="879"/>
        <v>1</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379</v>
      </c>
      <c r="L1921" s="128" t="s">
        <v>380</v>
      </c>
      <c r="N1921" s="129"/>
      <c r="O1921" s="130" t="s">
        <v>359</v>
      </c>
      <c r="P1921" s="171">
        <f>V1921+AA1921+AH1921</f>
        <v>1946.4639999999999</v>
      </c>
      <c r="Q1921" s="144"/>
      <c r="R1921" s="144"/>
      <c r="S1921" s="130"/>
      <c r="T1921" s="127"/>
      <c r="U1921" s="126" t="s">
        <v>353</v>
      </c>
      <c r="V1921" s="127">
        <f>W1921*80</f>
        <v>520</v>
      </c>
      <c r="W1921" s="147">
        <f>SUM(W1900:W1920)</f>
        <v>6.5</v>
      </c>
      <c r="X1921" s="148"/>
      <c r="Y1921" s="127" t="s">
        <v>354</v>
      </c>
      <c r="Z1921" s="116"/>
      <c r="AA1921" s="116">
        <f>SUM(AA1900:AA1920)</f>
        <v>1326.8039999999999</v>
      </c>
      <c r="AB1921" s="149"/>
      <c r="AC1921" s="149"/>
      <c r="AD1921" s="149"/>
      <c r="AE1921" s="149"/>
      <c r="AF1921" s="127" t="s">
        <v>358</v>
      </c>
      <c r="AG1921" s="116"/>
      <c r="AH1921" s="116">
        <f>SUM(AH1900:AH1920)</f>
        <v>99.66</v>
      </c>
      <c r="AI1921" s="149"/>
      <c r="AJ1921" s="149"/>
      <c r="AK1921" s="149"/>
      <c r="AL1921" s="149"/>
      <c r="AM1921" s="150">
        <f>P1921</f>
        <v>1946.4639999999999</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494</v>
      </c>
      <c r="C1922" s="217" t="str">
        <f>N1900</f>
        <v>Kitchen Hood Make Up Supply Sytem ( from local power supply)</v>
      </c>
      <c r="D1922" s="260" t="str">
        <f>IF(B1922="Shopping List",IF(ISNUMBER(SEARCH("MSSB",C1922)),"MSSB",IF(ISNUMBER(SEARCH("local",C1922)),"LOCAL","")))</f>
        <v>LOCAL</v>
      </c>
      <c r="E1922" s="238"/>
      <c r="F1922" s="217"/>
      <c r="G1922" s="217"/>
      <c r="H1922" s="245"/>
      <c r="I1922" s="270">
        <v>1</v>
      </c>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one (1)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1946.4639999999999</v>
      </c>
      <c r="L1922" s="234" t="str">
        <f>CONCATENATE(Q1901,Q1902,Q1903,Q1904,Q1905,Q1906,Q1907,Q1908,Q1909,Q1910,Q1911,Q1912,Q1913,Q1914,Q1915,Q1916,Q1917,Q1918,Q1919,Q1920,)</f>
        <v>Power suply adjacent fanfire cabling from FIP to VSD</v>
      </c>
      <c r="M1922" s="166" t="s">
        <v>369</v>
      </c>
      <c r="N1922" s="160" t="str">
        <f>N1900</f>
        <v>Kitchen Hood Make Up Supply Sytem ( from local power supply)</v>
      </c>
      <c r="O1922" s="160" t="s">
        <v>367</v>
      </c>
      <c r="P1922" s="64">
        <f>P1921/M1900</f>
        <v>1946.4639999999999</v>
      </c>
      <c r="Q1922" s="161"/>
      <c r="R1922" s="161"/>
      <c r="S1922" s="160"/>
      <c r="T1922" s="161"/>
      <c r="U1922" s="327" t="s">
        <v>368</v>
      </c>
      <c r="V1922" s="327"/>
      <c r="W1922" s="162">
        <f>W1921/M1900</f>
        <v>6.5</v>
      </c>
      <c r="X1922" s="163"/>
      <c r="Y1922" s="325" t="s">
        <v>367</v>
      </c>
      <c r="Z1922" s="325"/>
      <c r="AA1922" s="164">
        <f>AA1921/M1900</f>
        <v>1326.8039999999999</v>
      </c>
      <c r="AB1922" s="161"/>
      <c r="AC1922" s="161"/>
      <c r="AD1922" s="161"/>
      <c r="AE1922" s="161"/>
      <c r="AF1922" s="325" t="s">
        <v>367</v>
      </c>
      <c r="AG1922" s="325"/>
      <c r="AH1922" s="164">
        <f>AH1921/M1900</f>
        <v>99.66</v>
      </c>
      <c r="AI1922" s="161"/>
      <c r="AJ1922" s="161"/>
      <c r="AK1922" s="161"/>
      <c r="AL1922" s="247"/>
      <c r="AM1922" s="257"/>
      <c r="AN1922" s="236">
        <f>K1922*1.25</f>
        <v>2433.08</v>
      </c>
      <c r="AO1922" s="286"/>
      <c r="AP1922" s="284">
        <f t="shared" si="866"/>
        <v>1946.4639999999999</v>
      </c>
      <c r="AQ1922" s="281">
        <f t="shared" si="867"/>
        <v>520</v>
      </c>
      <c r="AR1922" s="284">
        <f t="shared" si="868"/>
        <v>1326.8039999999999</v>
      </c>
      <c r="AS1922" s="281">
        <f t="shared" si="869"/>
        <v>99.66</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454</v>
      </c>
      <c r="M1923" s="116" t="s">
        <v>107</v>
      </c>
      <c r="N1923" s="116" t="s">
        <v>108</v>
      </c>
      <c r="O1923" s="170" t="s">
        <v>388</v>
      </c>
      <c r="P1923" s="326" t="s">
        <v>377</v>
      </c>
      <c r="Q1923" s="326"/>
      <c r="R1923" s="101" t="s">
        <v>454</v>
      </c>
      <c r="S1923" s="116" t="s">
        <v>0</v>
      </c>
      <c r="T1923" s="118"/>
      <c r="U1923" s="116" t="s">
        <v>288</v>
      </c>
      <c r="V1923" s="116" t="s">
        <v>289</v>
      </c>
      <c r="W1923" s="116" t="s">
        <v>292</v>
      </c>
      <c r="X1923" s="140"/>
      <c r="Y1923" s="116" t="s">
        <v>290</v>
      </c>
      <c r="Z1923" s="116" t="s">
        <v>356</v>
      </c>
      <c r="AA1923" s="116" t="s">
        <v>357</v>
      </c>
      <c r="AB1923" s="116" t="s">
        <v>319</v>
      </c>
      <c r="AC1923" s="116" t="s">
        <v>320</v>
      </c>
      <c r="AD1923" s="116" t="s">
        <v>318</v>
      </c>
      <c r="AE1923" s="140"/>
      <c r="AF1923" s="116" t="s">
        <v>294</v>
      </c>
      <c r="AG1923" s="116" t="s">
        <v>356</v>
      </c>
      <c r="AH1923" s="116" t="s">
        <v>357</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one</v>
      </c>
      <c r="M1924" s="121">
        <f>I1946</f>
        <v>1</v>
      </c>
      <c r="N1924" s="132" t="s">
        <v>713</v>
      </c>
      <c r="O1924" s="121" t="s">
        <v>349</v>
      </c>
      <c r="P1924" s="169" t="s">
        <v>381</v>
      </c>
      <c r="Q1924" s="169" t="s">
        <v>377</v>
      </c>
      <c r="R1924" s="169"/>
      <c r="S1924" s="133">
        <f>M1924</f>
        <v>1</v>
      </c>
      <c r="T1924" s="119"/>
      <c r="U1924" s="121" t="s">
        <v>293</v>
      </c>
      <c r="V1924" s="133">
        <f>S1924</f>
        <v>1</v>
      </c>
      <c r="W1924" s="133">
        <f>VLOOKUP(U1924,Sheet1!$B$6:$C$45,2,FALSE)*V1924</f>
        <v>0</v>
      </c>
      <c r="X1924" s="141"/>
      <c r="Y1924" s="121" t="s">
        <v>293</v>
      </c>
      <c r="Z1924" s="146">
        <f>VLOOKUP(Takeoffs!Y1924,Sheet1!$B$6:$C$124,2,FALSE)</f>
        <v>0</v>
      </c>
      <c r="AA1924" s="146">
        <f>Z1924*AB1924</f>
        <v>0</v>
      </c>
      <c r="AB1924" s="143">
        <f>AD1924*AC1924</f>
        <v>1</v>
      </c>
      <c r="AC1924" s="133">
        <f>S1924</f>
        <v>1</v>
      </c>
      <c r="AD1924" s="142">
        <v>1</v>
      </c>
      <c r="AE1924" s="141"/>
      <c r="AF1924" s="121" t="s">
        <v>293</v>
      </c>
      <c r="AG1924" s="146">
        <f>VLOOKUP(Takeoffs!AF1924,Sheet1!$B$6:$C$124,2,FALSE)</f>
        <v>0</v>
      </c>
      <c r="AH1924" s="146">
        <f>AG1924*AI1924</f>
        <v>0</v>
      </c>
      <c r="AI1924" s="143">
        <f>AK1924*AJ1924</f>
        <v>0</v>
      </c>
      <c r="AJ1924" s="133">
        <f>S1924</f>
        <v>1</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413</v>
      </c>
      <c r="P1925" s="121"/>
      <c r="Q1925" s="121"/>
      <c r="R1925" s="121"/>
      <c r="S1925" s="133">
        <f>M1924</f>
        <v>1</v>
      </c>
      <c r="T1925" s="120"/>
      <c r="U1925" s="121" t="s">
        <v>235</v>
      </c>
      <c r="V1925" s="133">
        <f t="shared" ref="V1925:V1944" si="882">S1925</f>
        <v>1</v>
      </c>
      <c r="W1925" s="133">
        <f>VLOOKUP(U1925,Sheet1!$B$6:$C$45,2,FALSE)*V1925</f>
        <v>1.5</v>
      </c>
      <c r="X1925" s="141"/>
      <c r="Y1925" s="121" t="s">
        <v>293</v>
      </c>
      <c r="Z1925" s="146">
        <f>VLOOKUP(Takeoffs!Y1925,Sheet1!$B$6:$C$124,2,FALSE)</f>
        <v>0</v>
      </c>
      <c r="AA1925" s="146">
        <f t="shared" ref="AA1925:AA1944" si="883">Z1925*AB1925</f>
        <v>0</v>
      </c>
      <c r="AB1925" s="143">
        <f t="shared" ref="AB1925:AB1944" si="884">AD1925*AC1925</f>
        <v>1</v>
      </c>
      <c r="AC1925" s="133">
        <f>S1925</f>
        <v>1</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1</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1</v>
      </c>
      <c r="T1926" s="120"/>
      <c r="U1926" s="121" t="s">
        <v>293</v>
      </c>
      <c r="V1926" s="133">
        <f t="shared" si="882"/>
        <v>1</v>
      </c>
      <c r="W1926" s="133">
        <f>VLOOKUP(U1926,Sheet1!$B$6:$C$45,2,FALSE)*V1926</f>
        <v>0</v>
      </c>
      <c r="X1926" s="141"/>
      <c r="Y1926" s="121" t="s">
        <v>293</v>
      </c>
      <c r="Z1926" s="146">
        <f>VLOOKUP(Takeoffs!Y1926,Sheet1!$B$6:$C$124,2,FALSE)</f>
        <v>0</v>
      </c>
      <c r="AA1926" s="146">
        <f t="shared" si="883"/>
        <v>0</v>
      </c>
      <c r="AB1926" s="143">
        <f t="shared" si="884"/>
        <v>1</v>
      </c>
      <c r="AC1926" s="133">
        <f>S1926</f>
        <v>1</v>
      </c>
      <c r="AD1926" s="142">
        <v>1</v>
      </c>
      <c r="AE1926" s="141"/>
      <c r="AF1926" s="121" t="s">
        <v>293</v>
      </c>
      <c r="AG1926" s="146">
        <f>VLOOKUP(Takeoffs!AF1926,Sheet1!$B$6:$C$124,2,FALSE)</f>
        <v>0</v>
      </c>
      <c r="AH1926" s="146">
        <f t="shared" si="885"/>
        <v>0</v>
      </c>
      <c r="AI1926" s="143">
        <f t="shared" si="886"/>
        <v>0</v>
      </c>
      <c r="AJ1926" s="133">
        <f t="shared" si="887"/>
        <v>1</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1</v>
      </c>
      <c r="T1927" s="120"/>
      <c r="U1927" s="117" t="s">
        <v>481</v>
      </c>
      <c r="V1927" s="133">
        <f t="shared" si="882"/>
        <v>1</v>
      </c>
      <c r="W1927" s="133">
        <f>VLOOKUP(U1927,Sheet1!$B$6:$C$45,2,FALSE)*V1927</f>
        <v>2</v>
      </c>
      <c r="X1927" s="141"/>
      <c r="Y1927" s="121" t="s">
        <v>293</v>
      </c>
      <c r="Z1927" s="146">
        <f>VLOOKUP(Takeoffs!Y1927,Sheet1!$B$6:$C$124,2,FALSE)</f>
        <v>0</v>
      </c>
      <c r="AA1927" s="146">
        <f t="shared" si="883"/>
        <v>0</v>
      </c>
      <c r="AB1927" s="143">
        <f t="shared" si="884"/>
        <v>1</v>
      </c>
      <c r="AC1927" s="133">
        <f t="shared" ref="AC1927:AC1944" si="889">S1927</f>
        <v>1</v>
      </c>
      <c r="AD1927" s="142">
        <v>1</v>
      </c>
      <c r="AE1927" s="141"/>
      <c r="AF1927" s="122" t="s">
        <v>267</v>
      </c>
      <c r="AG1927" s="146">
        <f>VLOOKUP(Takeoffs!AF1927,Sheet1!$B$6:$C$124,2,FALSE)</f>
        <v>3.48</v>
      </c>
      <c r="AH1927" s="146">
        <f t="shared" si="885"/>
        <v>5.22</v>
      </c>
      <c r="AI1927" s="143">
        <f t="shared" si="886"/>
        <v>1.5</v>
      </c>
      <c r="AJ1927" s="133">
        <f t="shared" si="887"/>
        <v>1</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514</v>
      </c>
      <c r="P1928" s="121"/>
      <c r="Q1928" s="121"/>
      <c r="R1928" s="121"/>
      <c r="S1928" s="133">
        <f>M1924</f>
        <v>1</v>
      </c>
      <c r="T1928" s="120"/>
      <c r="U1928" s="121" t="s">
        <v>293</v>
      </c>
      <c r="V1928" s="133">
        <f t="shared" si="882"/>
        <v>1</v>
      </c>
      <c r="W1928" s="133">
        <f>VLOOKUP(U1928,Sheet1!$B$6:$C$45,2,FALSE)*V1928</f>
        <v>0</v>
      </c>
      <c r="X1928" s="141"/>
      <c r="Y1928" s="152" t="s">
        <v>264</v>
      </c>
      <c r="Z1928" s="146">
        <f>VLOOKUP(Takeoffs!Y1928,Sheet1!$B$6:$C$124,2,FALSE)</f>
        <v>751.07999999999993</v>
      </c>
      <c r="AA1928" s="146">
        <f t="shared" si="883"/>
        <v>751.07999999999993</v>
      </c>
      <c r="AB1928" s="143">
        <f t="shared" si="884"/>
        <v>1</v>
      </c>
      <c r="AC1928" s="133">
        <f t="shared" si="889"/>
        <v>1</v>
      </c>
      <c r="AD1928" s="142">
        <v>1</v>
      </c>
      <c r="AE1928" s="141"/>
      <c r="AF1928" s="121" t="s">
        <v>293</v>
      </c>
      <c r="AG1928" s="146">
        <f>VLOOKUP(Takeoffs!AF1928,Sheet1!$B$6:$C$124,2,FALSE)</f>
        <v>0</v>
      </c>
      <c r="AH1928" s="146">
        <f t="shared" si="885"/>
        <v>0</v>
      </c>
      <c r="AI1928" s="143">
        <f t="shared" si="886"/>
        <v>0</v>
      </c>
      <c r="AJ1928" s="133">
        <f t="shared" si="887"/>
        <v>1</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392</v>
      </c>
      <c r="P1929" s="121"/>
      <c r="Q1929" s="121"/>
      <c r="R1929" s="121"/>
      <c r="S1929" s="133">
        <f>M1924</f>
        <v>1</v>
      </c>
      <c r="T1929" s="120"/>
      <c r="U1929" s="121" t="s">
        <v>293</v>
      </c>
      <c r="V1929" s="133">
        <f t="shared" si="882"/>
        <v>1</v>
      </c>
      <c r="W1929" s="133">
        <f>VLOOKUP(U1929,Sheet1!$B$6:$C$45,2,FALSE)*V1929</f>
        <v>0</v>
      </c>
      <c r="X1929" s="141"/>
      <c r="Y1929" s="121" t="s">
        <v>293</v>
      </c>
      <c r="Z1929" s="146">
        <f>VLOOKUP(Takeoffs!Y1929,Sheet1!$B$6:$C$124,2,FALSE)</f>
        <v>0</v>
      </c>
      <c r="AA1929" s="146">
        <f t="shared" si="883"/>
        <v>0</v>
      </c>
      <c r="AB1929" s="143">
        <f t="shared" si="884"/>
        <v>1</v>
      </c>
      <c r="AC1929" s="133">
        <f t="shared" si="889"/>
        <v>1</v>
      </c>
      <c r="AD1929" s="142">
        <v>1</v>
      </c>
      <c r="AE1929" s="141"/>
      <c r="AF1929" s="122" t="s">
        <v>267</v>
      </c>
      <c r="AG1929" s="146">
        <f>VLOOKUP(Takeoffs!AF1929,Sheet1!$B$6:$C$124,2,FALSE)</f>
        <v>3.48</v>
      </c>
      <c r="AH1929" s="146">
        <f t="shared" si="885"/>
        <v>69.599999999999994</v>
      </c>
      <c r="AI1929" s="143">
        <f t="shared" si="886"/>
        <v>20</v>
      </c>
      <c r="AJ1929" s="133">
        <f t="shared" si="887"/>
        <v>1</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1</v>
      </c>
      <c r="T1930" s="120"/>
      <c r="U1930" s="121" t="s">
        <v>293</v>
      </c>
      <c r="V1930" s="133">
        <f t="shared" si="882"/>
        <v>1</v>
      </c>
      <c r="W1930" s="133">
        <f>VLOOKUP(U1930,Sheet1!$B$6:$C$45,2,FALSE)*V1930</f>
        <v>0</v>
      </c>
      <c r="X1930" s="141"/>
      <c r="Y1930" s="122" t="s">
        <v>245</v>
      </c>
      <c r="Z1930" s="146">
        <f>VLOOKUP(Takeoffs!Y1930,Sheet1!$B$6:$C$124,2,FALSE)</f>
        <v>46.463999999999999</v>
      </c>
      <c r="AA1930" s="146">
        <f t="shared" si="883"/>
        <v>46.463999999999999</v>
      </c>
      <c r="AB1930" s="143">
        <f t="shared" si="884"/>
        <v>1</v>
      </c>
      <c r="AC1930" s="133">
        <f t="shared" si="889"/>
        <v>1</v>
      </c>
      <c r="AD1930" s="142">
        <v>1</v>
      </c>
      <c r="AE1930" s="141"/>
      <c r="AF1930" s="121" t="s">
        <v>293</v>
      </c>
      <c r="AG1930" s="146">
        <f>VLOOKUP(Takeoffs!AF1930,Sheet1!$B$6:$C$124,2,FALSE)</f>
        <v>0</v>
      </c>
      <c r="AH1930" s="146">
        <f t="shared" si="885"/>
        <v>0</v>
      </c>
      <c r="AI1930" s="143">
        <f t="shared" si="886"/>
        <v>0</v>
      </c>
      <c r="AJ1930" s="133">
        <f t="shared" si="887"/>
        <v>1</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1</v>
      </c>
      <c r="T1931" s="120"/>
      <c r="U1931" s="121" t="s">
        <v>293</v>
      </c>
      <c r="V1931" s="133">
        <f t="shared" si="882"/>
        <v>1</v>
      </c>
      <c r="W1931" s="133">
        <f>VLOOKUP(U1931,Sheet1!$B$6:$C$45,2,FALSE)*V1931</f>
        <v>0</v>
      </c>
      <c r="X1931" s="141"/>
      <c r="Y1931" s="121" t="s">
        <v>293</v>
      </c>
      <c r="Z1931" s="146">
        <f>VLOOKUP(Takeoffs!Y1931,Sheet1!$B$6:$C$124,2,FALSE)</f>
        <v>0</v>
      </c>
      <c r="AA1931" s="146">
        <f t="shared" si="883"/>
        <v>0</v>
      </c>
      <c r="AB1931" s="143">
        <f t="shared" si="884"/>
        <v>1</v>
      </c>
      <c r="AC1931" s="133">
        <f t="shared" si="889"/>
        <v>1</v>
      </c>
      <c r="AD1931" s="142">
        <v>1</v>
      </c>
      <c r="AE1931" s="141"/>
      <c r="AF1931" s="121" t="s">
        <v>293</v>
      </c>
      <c r="AG1931" s="146">
        <f>VLOOKUP(Takeoffs!AF1931,Sheet1!$B$6:$C$124,2,FALSE)</f>
        <v>0</v>
      </c>
      <c r="AH1931" s="146">
        <f t="shared" si="885"/>
        <v>0</v>
      </c>
      <c r="AI1931" s="143">
        <f t="shared" si="886"/>
        <v>0</v>
      </c>
      <c r="AJ1931" s="133">
        <f t="shared" si="887"/>
        <v>1</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1</v>
      </c>
      <c r="T1932" s="120"/>
      <c r="U1932" s="121" t="s">
        <v>293</v>
      </c>
      <c r="V1932" s="133">
        <f t="shared" si="882"/>
        <v>1</v>
      </c>
      <c r="W1932" s="133">
        <f>VLOOKUP(U1932,Sheet1!$B$6:$C$45,2,FALSE)*V1932</f>
        <v>0</v>
      </c>
      <c r="X1932" s="141"/>
      <c r="Y1932" s="121" t="s">
        <v>293</v>
      </c>
      <c r="Z1932" s="146">
        <f>VLOOKUP(Takeoffs!Y1932,Sheet1!$B$6:$C$124,2,FALSE)</f>
        <v>0</v>
      </c>
      <c r="AA1932" s="146">
        <f t="shared" si="883"/>
        <v>0</v>
      </c>
      <c r="AB1932" s="143">
        <f t="shared" si="884"/>
        <v>1</v>
      </c>
      <c r="AC1932" s="133">
        <f t="shared" si="889"/>
        <v>1</v>
      </c>
      <c r="AD1932" s="142">
        <v>1</v>
      </c>
      <c r="AE1932" s="141"/>
      <c r="AF1932" s="121" t="s">
        <v>293</v>
      </c>
      <c r="AG1932" s="146">
        <f>VLOOKUP(Takeoffs!AF1932,Sheet1!$B$6:$C$124,2,FALSE)</f>
        <v>0</v>
      </c>
      <c r="AH1932" s="146">
        <f t="shared" si="885"/>
        <v>0</v>
      </c>
      <c r="AI1932" s="143">
        <f t="shared" si="886"/>
        <v>0</v>
      </c>
      <c r="AJ1932" s="133">
        <f t="shared" si="887"/>
        <v>1</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1</v>
      </c>
      <c r="T1933" s="120"/>
      <c r="U1933" s="121" t="s">
        <v>293</v>
      </c>
      <c r="V1933" s="133">
        <f t="shared" si="882"/>
        <v>1</v>
      </c>
      <c r="W1933" s="133">
        <f>VLOOKUP(U1933,Sheet1!$B$6:$C$45,2,FALSE)*V1933</f>
        <v>0</v>
      </c>
      <c r="X1933" s="141"/>
      <c r="Y1933" s="121" t="s">
        <v>293</v>
      </c>
      <c r="Z1933" s="146">
        <f>VLOOKUP(Takeoffs!Y1933,Sheet1!$B$6:$C$124,2,FALSE)</f>
        <v>0</v>
      </c>
      <c r="AA1933" s="146">
        <f t="shared" si="883"/>
        <v>0</v>
      </c>
      <c r="AB1933" s="143">
        <f t="shared" si="884"/>
        <v>1</v>
      </c>
      <c r="AC1933" s="133">
        <f t="shared" si="889"/>
        <v>1</v>
      </c>
      <c r="AD1933" s="142">
        <v>1</v>
      </c>
      <c r="AE1933" s="141"/>
      <c r="AF1933" s="121" t="s">
        <v>293</v>
      </c>
      <c r="AG1933" s="146">
        <f>VLOOKUP(Takeoffs!AF1933,Sheet1!$B$6:$C$124,2,FALSE)</f>
        <v>0</v>
      </c>
      <c r="AH1933" s="146">
        <f t="shared" si="885"/>
        <v>0</v>
      </c>
      <c r="AI1933" s="143">
        <f t="shared" si="886"/>
        <v>0</v>
      </c>
      <c r="AJ1933" s="133">
        <f t="shared" si="887"/>
        <v>1</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515</v>
      </c>
      <c r="P1934" s="121"/>
      <c r="Q1934" s="121"/>
      <c r="R1934" s="121"/>
      <c r="S1934" s="133">
        <f>M1924</f>
        <v>1</v>
      </c>
      <c r="T1934" s="120"/>
      <c r="U1934" s="121" t="s">
        <v>365</v>
      </c>
      <c r="V1934" s="133">
        <f t="shared" si="882"/>
        <v>1</v>
      </c>
      <c r="W1934" s="133">
        <f>VLOOKUP(U1934,Sheet1!$B$6:$C$45,2,FALSE)*V1934</f>
        <v>1</v>
      </c>
      <c r="X1934" s="141"/>
      <c r="Y1934" s="122" t="s">
        <v>323</v>
      </c>
      <c r="Z1934" s="146">
        <f>VLOOKUP(Takeoffs!Y1934,Sheet1!$B$6:$C$124,2,FALSE)</f>
        <v>60</v>
      </c>
      <c r="AA1934" s="146">
        <f t="shared" si="883"/>
        <v>60</v>
      </c>
      <c r="AB1934" s="143">
        <f t="shared" si="884"/>
        <v>1</v>
      </c>
      <c r="AC1934" s="133">
        <f t="shared" si="889"/>
        <v>1</v>
      </c>
      <c r="AD1934" s="142">
        <v>1</v>
      </c>
      <c r="AE1934" s="141"/>
      <c r="AF1934" s="121" t="s">
        <v>293</v>
      </c>
      <c r="AG1934" s="146">
        <f>VLOOKUP(Takeoffs!AF1934,Sheet1!$B$6:$C$124,2,FALSE)</f>
        <v>0</v>
      </c>
      <c r="AH1934" s="146">
        <f t="shared" si="885"/>
        <v>0</v>
      </c>
      <c r="AI1934" s="143">
        <f t="shared" si="886"/>
        <v>0</v>
      </c>
      <c r="AJ1934" s="133">
        <f t="shared" si="887"/>
        <v>1</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470</v>
      </c>
      <c r="P1935" s="121"/>
      <c r="Q1935" s="121"/>
      <c r="R1935" s="121"/>
      <c r="S1935" s="133">
        <f>M1924</f>
        <v>1</v>
      </c>
      <c r="T1935" s="120"/>
      <c r="U1935" s="121" t="s">
        <v>293</v>
      </c>
      <c r="V1935" s="133">
        <f t="shared" si="882"/>
        <v>1</v>
      </c>
      <c r="W1935" s="133">
        <f>VLOOKUP(U1935,Sheet1!$B$6:$C$45,2,FALSE)*V1935</f>
        <v>0</v>
      </c>
      <c r="X1935" s="141"/>
      <c r="Y1935" s="122" t="s">
        <v>274</v>
      </c>
      <c r="Z1935" s="146">
        <f>VLOOKUP(Takeoffs!Y1935,Sheet1!$B$6:$C$124,2,FALSE)</f>
        <v>360</v>
      </c>
      <c r="AA1935" s="146">
        <f t="shared" si="883"/>
        <v>360</v>
      </c>
      <c r="AB1935" s="143">
        <f t="shared" si="884"/>
        <v>1</v>
      </c>
      <c r="AC1935" s="133">
        <f t="shared" si="889"/>
        <v>1</v>
      </c>
      <c r="AD1935" s="142">
        <v>1</v>
      </c>
      <c r="AE1935" s="141"/>
      <c r="AF1935" s="121" t="s">
        <v>293</v>
      </c>
      <c r="AG1935" s="146">
        <f>VLOOKUP(Takeoffs!AF1935,Sheet1!$B$6:$C$124,2,FALSE)</f>
        <v>0</v>
      </c>
      <c r="AH1935" s="146">
        <f t="shared" si="885"/>
        <v>0</v>
      </c>
      <c r="AI1935" s="143">
        <f t="shared" si="886"/>
        <v>0</v>
      </c>
      <c r="AJ1935" s="133">
        <f t="shared" si="887"/>
        <v>1</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1</v>
      </c>
      <c r="T1936" s="120"/>
      <c r="U1936" s="121" t="s">
        <v>365</v>
      </c>
      <c r="V1936" s="133">
        <f t="shared" si="882"/>
        <v>1</v>
      </c>
      <c r="W1936" s="133">
        <f>VLOOKUP(U1936,Sheet1!$B$6:$C$45,2,FALSE)*V1936</f>
        <v>1</v>
      </c>
      <c r="X1936" s="141"/>
      <c r="Y1936" s="121" t="s">
        <v>293</v>
      </c>
      <c r="Z1936" s="146">
        <f>VLOOKUP(Takeoffs!Y1936,Sheet1!$B$6:$C$124,2,FALSE)</f>
        <v>0</v>
      </c>
      <c r="AA1936" s="146">
        <f t="shared" si="883"/>
        <v>0</v>
      </c>
      <c r="AB1936" s="143">
        <f t="shared" si="884"/>
        <v>1</v>
      </c>
      <c r="AC1936" s="133">
        <f t="shared" si="889"/>
        <v>1</v>
      </c>
      <c r="AD1936" s="142">
        <v>1</v>
      </c>
      <c r="AE1936" s="141"/>
      <c r="AF1936" s="144" t="s">
        <v>269</v>
      </c>
      <c r="AG1936" s="146">
        <f>VLOOKUP(Takeoffs!AF1936,Sheet1!$B$6:$C$124,2,FALSE)</f>
        <v>1.056</v>
      </c>
      <c r="AH1936" s="146">
        <f t="shared" si="885"/>
        <v>42.24</v>
      </c>
      <c r="AI1936" s="143">
        <f t="shared" si="886"/>
        <v>40</v>
      </c>
      <c r="AJ1936" s="133">
        <f t="shared" si="887"/>
        <v>1</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1</v>
      </c>
      <c r="T1937" s="120"/>
      <c r="U1937" s="121" t="s">
        <v>232</v>
      </c>
      <c r="V1937" s="133">
        <f t="shared" si="882"/>
        <v>1</v>
      </c>
      <c r="W1937" s="133">
        <f>VLOOKUP(U1937,Sheet1!$B$6:$C$45,2,FALSE)*V1937</f>
        <v>1</v>
      </c>
      <c r="X1937" s="141"/>
      <c r="Y1937" s="122" t="s">
        <v>281</v>
      </c>
      <c r="Z1937" s="146">
        <f>VLOOKUP(Takeoffs!Y1937,Sheet1!$B$6:$C$124,2,FALSE)</f>
        <v>109.25999999999999</v>
      </c>
      <c r="AA1937" s="146">
        <f t="shared" si="883"/>
        <v>109.25999999999999</v>
      </c>
      <c r="AB1937" s="143">
        <f t="shared" si="884"/>
        <v>1</v>
      </c>
      <c r="AC1937" s="133">
        <f t="shared" si="889"/>
        <v>1</v>
      </c>
      <c r="AD1937" s="142">
        <v>1</v>
      </c>
      <c r="AE1937" s="141"/>
      <c r="AF1937" s="121" t="s">
        <v>293</v>
      </c>
      <c r="AG1937" s="146">
        <f>VLOOKUP(Takeoffs!AF1937,Sheet1!$B$6:$C$124,2,FALSE)</f>
        <v>0</v>
      </c>
      <c r="AH1937" s="146">
        <f t="shared" si="885"/>
        <v>0</v>
      </c>
      <c r="AI1937" s="143">
        <f t="shared" si="886"/>
        <v>0</v>
      </c>
      <c r="AJ1937" s="133">
        <f t="shared" si="887"/>
        <v>1</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1</v>
      </c>
      <c r="T1938" s="120"/>
      <c r="U1938" s="121" t="s">
        <v>293</v>
      </c>
      <c r="V1938" s="133">
        <f t="shared" si="882"/>
        <v>1</v>
      </c>
      <c r="W1938" s="133">
        <f>VLOOKUP(U1938,Sheet1!$B$6:$C$45,2,FALSE)*V1938</f>
        <v>0</v>
      </c>
      <c r="X1938" s="141"/>
      <c r="Y1938" s="121" t="s">
        <v>293</v>
      </c>
      <c r="Z1938" s="146">
        <f>VLOOKUP(Takeoffs!Y1938,Sheet1!$B$6:$C$124,2,FALSE)</f>
        <v>0</v>
      </c>
      <c r="AA1938" s="146">
        <f t="shared" si="883"/>
        <v>0</v>
      </c>
      <c r="AB1938" s="143">
        <f t="shared" si="884"/>
        <v>2</v>
      </c>
      <c r="AC1938" s="133">
        <f t="shared" si="889"/>
        <v>1</v>
      </c>
      <c r="AD1938" s="142">
        <v>2</v>
      </c>
      <c r="AE1938" s="141"/>
      <c r="AF1938" s="121" t="s">
        <v>293</v>
      </c>
      <c r="AG1938" s="146">
        <f>VLOOKUP(Takeoffs!AF1938,Sheet1!$B$6:$C$124,2,FALSE)</f>
        <v>0</v>
      </c>
      <c r="AH1938" s="146">
        <f t="shared" si="885"/>
        <v>0</v>
      </c>
      <c r="AI1938" s="143">
        <f t="shared" si="886"/>
        <v>0</v>
      </c>
      <c r="AJ1938" s="133">
        <f t="shared" si="887"/>
        <v>1</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1</v>
      </c>
      <c r="T1939" s="120"/>
      <c r="U1939" s="121" t="s">
        <v>293</v>
      </c>
      <c r="V1939" s="133">
        <f t="shared" si="882"/>
        <v>1</v>
      </c>
      <c r="W1939" s="133">
        <f>VLOOKUP(U1939,Sheet1!$B$6:$C$45,2,FALSE)*V1939</f>
        <v>0</v>
      </c>
      <c r="X1939" s="141"/>
      <c r="Y1939" s="121" t="s">
        <v>293</v>
      </c>
      <c r="Z1939" s="146">
        <f>VLOOKUP(Takeoffs!Y1939,Sheet1!$B$6:$C$124,2,FALSE)</f>
        <v>0</v>
      </c>
      <c r="AA1939" s="146">
        <f t="shared" si="883"/>
        <v>0</v>
      </c>
      <c r="AB1939" s="143">
        <f t="shared" si="884"/>
        <v>4</v>
      </c>
      <c r="AC1939" s="133">
        <f t="shared" si="889"/>
        <v>1</v>
      </c>
      <c r="AD1939" s="142">
        <v>4</v>
      </c>
      <c r="AE1939" s="141"/>
      <c r="AF1939" s="121" t="s">
        <v>293</v>
      </c>
      <c r="AG1939" s="146">
        <f>VLOOKUP(Takeoffs!AF1939,Sheet1!$B$6:$C$124,2,FALSE)</f>
        <v>0</v>
      </c>
      <c r="AH1939" s="146">
        <f t="shared" si="885"/>
        <v>0</v>
      </c>
      <c r="AI1939" s="143">
        <f t="shared" si="886"/>
        <v>0</v>
      </c>
      <c r="AJ1939" s="133">
        <f t="shared" si="887"/>
        <v>1</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1</v>
      </c>
      <c r="T1940" s="120"/>
      <c r="U1940" s="121" t="s">
        <v>293</v>
      </c>
      <c r="V1940" s="133">
        <f t="shared" si="882"/>
        <v>1</v>
      </c>
      <c r="W1940" s="133">
        <f>VLOOKUP(U1940,Sheet1!$B$6:$C$45,2,FALSE)*V1940</f>
        <v>0</v>
      </c>
      <c r="X1940" s="141"/>
      <c r="Y1940" s="121" t="s">
        <v>293</v>
      </c>
      <c r="Z1940" s="146">
        <f>VLOOKUP(Takeoffs!Y1940,Sheet1!$B$6:$C$124,2,FALSE)</f>
        <v>0</v>
      </c>
      <c r="AA1940" s="146">
        <f t="shared" si="883"/>
        <v>0</v>
      </c>
      <c r="AB1940" s="143">
        <f t="shared" si="884"/>
        <v>2</v>
      </c>
      <c r="AC1940" s="133">
        <f t="shared" si="889"/>
        <v>1</v>
      </c>
      <c r="AD1940" s="142">
        <v>2</v>
      </c>
      <c r="AE1940" s="141"/>
      <c r="AF1940" s="121" t="s">
        <v>293</v>
      </c>
      <c r="AG1940" s="146">
        <f>VLOOKUP(Takeoffs!AF1940,Sheet1!$B$6:$C$124,2,FALSE)</f>
        <v>0</v>
      </c>
      <c r="AH1940" s="146">
        <f t="shared" si="885"/>
        <v>0</v>
      </c>
      <c r="AI1940" s="143">
        <f t="shared" si="886"/>
        <v>0</v>
      </c>
      <c r="AJ1940" s="133">
        <f t="shared" si="887"/>
        <v>1</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1</v>
      </c>
      <c r="T1941" s="120"/>
      <c r="U1941" s="121" t="s">
        <v>293</v>
      </c>
      <c r="V1941" s="133">
        <f t="shared" si="882"/>
        <v>1</v>
      </c>
      <c r="W1941" s="133">
        <f>VLOOKUP(U1941,Sheet1!$B$6:$C$45,2,FALSE)*V1941</f>
        <v>0</v>
      </c>
      <c r="X1941" s="141"/>
      <c r="Y1941" s="121" t="s">
        <v>293</v>
      </c>
      <c r="Z1941" s="146">
        <f>VLOOKUP(Takeoffs!Y1941,Sheet1!$B$6:$C$124,2,FALSE)</f>
        <v>0</v>
      </c>
      <c r="AA1941" s="146">
        <f t="shared" si="883"/>
        <v>0</v>
      </c>
      <c r="AB1941" s="143">
        <f t="shared" si="884"/>
        <v>1</v>
      </c>
      <c r="AC1941" s="133">
        <f t="shared" si="889"/>
        <v>1</v>
      </c>
      <c r="AD1941" s="142">
        <v>1</v>
      </c>
      <c r="AE1941" s="141"/>
      <c r="AF1941" s="121" t="s">
        <v>293</v>
      </c>
      <c r="AG1941" s="146">
        <f>VLOOKUP(Takeoffs!AF1941,Sheet1!$B$6:$C$124,2,FALSE)</f>
        <v>0</v>
      </c>
      <c r="AH1941" s="146">
        <f t="shared" si="885"/>
        <v>0</v>
      </c>
      <c r="AI1941" s="143">
        <f t="shared" si="886"/>
        <v>0</v>
      </c>
      <c r="AJ1941" s="133">
        <f t="shared" si="887"/>
        <v>1</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1</v>
      </c>
      <c r="T1942" s="120"/>
      <c r="U1942" s="121" t="s">
        <v>293</v>
      </c>
      <c r="V1942" s="133">
        <f t="shared" si="882"/>
        <v>1</v>
      </c>
      <c r="W1942" s="133">
        <f>VLOOKUP(U1942,Sheet1!$B$6:$C$45,2,FALSE)*V1942</f>
        <v>0</v>
      </c>
      <c r="X1942" s="141"/>
      <c r="Y1942" s="121" t="s">
        <v>293</v>
      </c>
      <c r="Z1942" s="146">
        <f>VLOOKUP(Takeoffs!Y1942,Sheet1!$B$6:$C$124,2,FALSE)</f>
        <v>0</v>
      </c>
      <c r="AA1942" s="146">
        <f t="shared" si="883"/>
        <v>0</v>
      </c>
      <c r="AB1942" s="143">
        <f t="shared" si="884"/>
        <v>1</v>
      </c>
      <c r="AC1942" s="133">
        <f t="shared" si="889"/>
        <v>1</v>
      </c>
      <c r="AD1942" s="142">
        <v>1</v>
      </c>
      <c r="AE1942" s="141"/>
      <c r="AF1942" s="121" t="s">
        <v>293</v>
      </c>
      <c r="AG1942" s="146">
        <f>VLOOKUP(Takeoffs!AF1942,Sheet1!$B$6:$C$124,2,FALSE)</f>
        <v>0</v>
      </c>
      <c r="AH1942" s="146">
        <f t="shared" si="885"/>
        <v>0</v>
      </c>
      <c r="AI1942" s="143">
        <f t="shared" si="886"/>
        <v>0</v>
      </c>
      <c r="AJ1942" s="133">
        <f t="shared" si="887"/>
        <v>1</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714</v>
      </c>
      <c r="P1943" s="121" t="s">
        <v>382</v>
      </c>
      <c r="Q1943" s="121" t="s">
        <v>715</v>
      </c>
      <c r="R1943" s="121"/>
      <c r="S1943" s="133">
        <f>M1924</f>
        <v>1</v>
      </c>
      <c r="T1943" s="120"/>
      <c r="U1943" s="121" t="s">
        <v>293</v>
      </c>
      <c r="V1943" s="133">
        <f t="shared" si="882"/>
        <v>1</v>
      </c>
      <c r="W1943" s="133">
        <f>VLOOKUP(U1943,Sheet1!$B$6:$C$45,2,FALSE)*V1943</f>
        <v>0</v>
      </c>
      <c r="X1943" s="141"/>
      <c r="Y1943" s="121" t="s">
        <v>293</v>
      </c>
      <c r="Z1943" s="146">
        <f>VLOOKUP(Takeoffs!Y1943,Sheet1!$B$6:$C$124,2,FALSE)</f>
        <v>0</v>
      </c>
      <c r="AA1943" s="146">
        <f t="shared" si="883"/>
        <v>0</v>
      </c>
      <c r="AB1943" s="143">
        <f t="shared" si="884"/>
        <v>1</v>
      </c>
      <c r="AC1943" s="133">
        <f t="shared" si="889"/>
        <v>1</v>
      </c>
      <c r="AD1943" s="142">
        <v>1</v>
      </c>
      <c r="AE1943" s="141"/>
      <c r="AF1943" s="121" t="s">
        <v>293</v>
      </c>
      <c r="AG1943" s="146">
        <f>VLOOKUP(Takeoffs!AF1943,Sheet1!$B$6:$C$124,2,FALSE)</f>
        <v>0</v>
      </c>
      <c r="AH1943" s="146">
        <f t="shared" si="885"/>
        <v>0</v>
      </c>
      <c r="AI1943" s="143">
        <f t="shared" si="886"/>
        <v>0</v>
      </c>
      <c r="AJ1943" s="133">
        <f t="shared" si="887"/>
        <v>1</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410</v>
      </c>
      <c r="P1944" s="121"/>
      <c r="Q1944" s="121"/>
      <c r="R1944" s="121"/>
      <c r="S1944" s="133">
        <f>M1924</f>
        <v>1</v>
      </c>
      <c r="T1944" s="120"/>
      <c r="U1944" s="121" t="s">
        <v>365</v>
      </c>
      <c r="V1944" s="133">
        <f t="shared" si="882"/>
        <v>1</v>
      </c>
      <c r="W1944" s="133">
        <f>VLOOKUP(U1944,Sheet1!$B$6:$C$45,2,FALSE)*V1944</f>
        <v>1</v>
      </c>
      <c r="X1944" s="141"/>
      <c r="Y1944" s="121" t="s">
        <v>293</v>
      </c>
      <c r="Z1944" s="146">
        <f>VLOOKUP(Takeoffs!Y1944,Sheet1!$B$6:$C$124,2,FALSE)</f>
        <v>0</v>
      </c>
      <c r="AA1944" s="146">
        <f t="shared" si="883"/>
        <v>0</v>
      </c>
      <c r="AB1944" s="143">
        <f t="shared" si="884"/>
        <v>1</v>
      </c>
      <c r="AC1944" s="133">
        <f t="shared" si="889"/>
        <v>1</v>
      </c>
      <c r="AD1944" s="142">
        <v>1</v>
      </c>
      <c r="AE1944" s="141"/>
      <c r="AF1944" s="121" t="s">
        <v>293</v>
      </c>
      <c r="AG1944" s="146">
        <f>VLOOKUP(Takeoffs!AF1944,Sheet1!$B$6:$C$124,2,FALSE)</f>
        <v>0</v>
      </c>
      <c r="AH1944" s="146">
        <f t="shared" si="885"/>
        <v>0</v>
      </c>
      <c r="AI1944" s="143">
        <f t="shared" si="886"/>
        <v>0</v>
      </c>
      <c r="AJ1944" s="133">
        <f t="shared" si="887"/>
        <v>1</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379</v>
      </c>
      <c r="L1945" s="128" t="s">
        <v>380</v>
      </c>
      <c r="N1945" s="129"/>
      <c r="O1945" s="130" t="s">
        <v>359</v>
      </c>
      <c r="P1945" s="171">
        <f>V1945+AA1945+AH1945</f>
        <v>2043.8639999999998</v>
      </c>
      <c r="Q1945" s="144"/>
      <c r="R1945" s="144"/>
      <c r="S1945" s="130"/>
      <c r="T1945" s="127"/>
      <c r="U1945" s="126" t="s">
        <v>353</v>
      </c>
      <c r="V1945" s="127">
        <f>W1945*80</f>
        <v>600</v>
      </c>
      <c r="W1945" s="147">
        <f>SUM(W1924:W1944)</f>
        <v>7.5</v>
      </c>
      <c r="X1945" s="148"/>
      <c r="Y1945" s="127" t="s">
        <v>354</v>
      </c>
      <c r="Z1945" s="116"/>
      <c r="AA1945" s="116">
        <f>SUM(AA1924:AA1944)</f>
        <v>1326.8039999999999</v>
      </c>
      <c r="AB1945" s="149"/>
      <c r="AC1945" s="149"/>
      <c r="AD1945" s="149"/>
      <c r="AE1945" s="149"/>
      <c r="AF1945" s="127" t="s">
        <v>358</v>
      </c>
      <c r="AG1945" s="116"/>
      <c r="AH1945" s="116">
        <f>SUM(AH1924:AH1944)</f>
        <v>117.06</v>
      </c>
      <c r="AI1945" s="149"/>
      <c r="AJ1945" s="149"/>
      <c r="AK1945" s="149"/>
      <c r="AL1945" s="149"/>
      <c r="AM1945" s="150">
        <f>P1945</f>
        <v>2043.8639999999998</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494</v>
      </c>
      <c r="C1946" s="217" t="str">
        <f>N1924</f>
        <v>Kitchen Hood Make Up Supply Sytem ( from MSSB power supply)</v>
      </c>
      <c r="D1946" s="260" t="str">
        <f>IF(B1946="Shopping List",IF(ISNUMBER(SEARCH("MSSB",C1946)),"MSSB",IF(ISNUMBER(SEARCH("local",C1946)),"LOCAL","")))</f>
        <v>MSSB</v>
      </c>
      <c r="E1946" s="238"/>
      <c r="F1946" s="217"/>
      <c r="G1946" s="217"/>
      <c r="H1946" s="245"/>
      <c r="I1946" s="270">
        <v>1</v>
      </c>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one (1)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2043.8639999999998</v>
      </c>
      <c r="L1946" s="234" t="str">
        <f>CONCATENATE(Q1925,Q1926,Q1927,Q1928,Q1929,Q1930,Q1931,Q1932,Q1933,Q1934,Q1935,Q1936,Q1937,Q1938,Q1939,Q1940,Q1941,Q1942,Q1943,Q1944,)</f>
        <v>fire cabling from FIP to MSSB</v>
      </c>
      <c r="M1946" s="166" t="s">
        <v>369</v>
      </c>
      <c r="N1946" s="160" t="str">
        <f>N1924</f>
        <v>Kitchen Hood Make Up Supply Sytem ( from MSSB power supply)</v>
      </c>
      <c r="O1946" s="160" t="s">
        <v>367</v>
      </c>
      <c r="P1946" s="64">
        <f>P1945/M1924</f>
        <v>2043.8639999999998</v>
      </c>
      <c r="Q1946" s="161"/>
      <c r="R1946" s="161"/>
      <c r="S1946" s="160"/>
      <c r="T1946" s="161"/>
      <c r="U1946" s="327" t="s">
        <v>368</v>
      </c>
      <c r="V1946" s="327"/>
      <c r="W1946" s="162">
        <f>W1945/M1924</f>
        <v>7.5</v>
      </c>
      <c r="X1946" s="163"/>
      <c r="Y1946" s="325" t="s">
        <v>367</v>
      </c>
      <c r="Z1946" s="325"/>
      <c r="AA1946" s="164">
        <f>AA1945/M1924</f>
        <v>1326.8039999999999</v>
      </c>
      <c r="AB1946" s="161"/>
      <c r="AC1946" s="161"/>
      <c r="AD1946" s="161"/>
      <c r="AE1946" s="161"/>
      <c r="AF1946" s="325" t="s">
        <v>367</v>
      </c>
      <c r="AG1946" s="325"/>
      <c r="AH1946" s="164">
        <f>AH1945/M1924</f>
        <v>117.06</v>
      </c>
      <c r="AI1946" s="161"/>
      <c r="AJ1946" s="161"/>
      <c r="AK1946" s="161"/>
      <c r="AL1946" s="247"/>
      <c r="AM1946" s="257"/>
      <c r="AN1946" s="236">
        <f>K1946*1.25</f>
        <v>2554.83</v>
      </c>
      <c r="AO1946" s="286"/>
      <c r="AP1946" s="284">
        <f t="shared" si="890"/>
        <v>2043.8639999999998</v>
      </c>
      <c r="AQ1946" s="281">
        <f t="shared" si="891"/>
        <v>600</v>
      </c>
      <c r="AR1946" s="284">
        <f t="shared" si="892"/>
        <v>1326.8039999999999</v>
      </c>
      <c r="AS1946" s="281">
        <f t="shared" si="893"/>
        <v>117.06</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454</v>
      </c>
      <c r="M1947" s="116" t="s">
        <v>107</v>
      </c>
      <c r="N1947" s="116" t="s">
        <v>108</v>
      </c>
      <c r="O1947" s="170" t="s">
        <v>388</v>
      </c>
      <c r="P1947" s="326" t="s">
        <v>377</v>
      </c>
      <c r="Q1947" s="326"/>
      <c r="R1947" s="101" t="s">
        <v>454</v>
      </c>
      <c r="S1947" s="116" t="s">
        <v>0</v>
      </c>
      <c r="T1947" s="118"/>
      <c r="U1947" s="116" t="s">
        <v>288</v>
      </c>
      <c r="V1947" s="116" t="s">
        <v>289</v>
      </c>
      <c r="W1947" s="116" t="s">
        <v>292</v>
      </c>
      <c r="X1947" s="140"/>
      <c r="Y1947" s="116" t="s">
        <v>290</v>
      </c>
      <c r="Z1947" s="116" t="s">
        <v>356</v>
      </c>
      <c r="AA1947" s="116" t="s">
        <v>357</v>
      </c>
      <c r="AB1947" s="116" t="s">
        <v>319</v>
      </c>
      <c r="AC1947" s="116" t="s">
        <v>320</v>
      </c>
      <c r="AD1947" s="116" t="s">
        <v>318</v>
      </c>
      <c r="AE1947" s="140"/>
      <c r="AF1947" s="116" t="s">
        <v>294</v>
      </c>
      <c r="AG1947" s="116" t="s">
        <v>356</v>
      </c>
      <c r="AH1947" s="116" t="s">
        <v>357</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one</v>
      </c>
      <c r="M1948" s="121">
        <f>I1970</f>
        <v>1</v>
      </c>
      <c r="N1948" s="132" t="s">
        <v>465</v>
      </c>
      <c r="O1948" s="121" t="s">
        <v>349</v>
      </c>
      <c r="P1948" s="169" t="s">
        <v>381</v>
      </c>
      <c r="Q1948" s="169" t="s">
        <v>377</v>
      </c>
      <c r="R1948" s="169"/>
      <c r="S1948" s="133">
        <f>M1948</f>
        <v>1</v>
      </c>
      <c r="T1948" s="119"/>
      <c r="U1948" s="121" t="s">
        <v>293</v>
      </c>
      <c r="V1948" s="133">
        <f>S1948</f>
        <v>1</v>
      </c>
      <c r="W1948" s="133">
        <f>VLOOKUP(U1948,Sheet1!$B$6:$C$45,2,FALSE)*V1948</f>
        <v>0</v>
      </c>
      <c r="X1948" s="141"/>
      <c r="Y1948" s="121" t="s">
        <v>293</v>
      </c>
      <c r="Z1948" s="146">
        <f>VLOOKUP(Takeoffs!Y1948,Sheet1!$B$6:$C$124,2,FALSE)</f>
        <v>0</v>
      </c>
      <c r="AA1948" s="146">
        <f>Z1948*AB1948</f>
        <v>0</v>
      </c>
      <c r="AB1948" s="143">
        <f>AD1948*AC1948</f>
        <v>1</v>
      </c>
      <c r="AC1948" s="133">
        <f>S1948</f>
        <v>1</v>
      </c>
      <c r="AD1948" s="142">
        <v>1</v>
      </c>
      <c r="AE1948" s="141"/>
      <c r="AF1948" s="121" t="s">
        <v>293</v>
      </c>
      <c r="AG1948" s="146">
        <f>VLOOKUP(Takeoffs!AF1948,Sheet1!$B$6:$C$124,2,FALSE)</f>
        <v>0</v>
      </c>
      <c r="AH1948" s="146">
        <f>AG1948*AI1948</f>
        <v>0</v>
      </c>
      <c r="AI1948" s="143">
        <f>AK1948*AJ1948</f>
        <v>0</v>
      </c>
      <c r="AJ1948" s="133">
        <f>S1948</f>
        <v>1</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413</v>
      </c>
      <c r="P1949" s="121"/>
      <c r="Q1949" s="121"/>
      <c r="R1949" s="121"/>
      <c r="S1949" s="133">
        <f>M1948</f>
        <v>1</v>
      </c>
      <c r="T1949" s="120"/>
      <c r="U1949" s="121" t="s">
        <v>235</v>
      </c>
      <c r="V1949" s="133">
        <f t="shared" ref="V1949:V1968" si="895">S1949</f>
        <v>1</v>
      </c>
      <c r="W1949" s="133">
        <f>VLOOKUP(U1949,Sheet1!$B$6:$C$45,2,FALSE)*V1949</f>
        <v>1.5</v>
      </c>
      <c r="X1949" s="141"/>
      <c r="Y1949" s="121" t="s">
        <v>293</v>
      </c>
      <c r="Z1949" s="146">
        <f>VLOOKUP(Takeoffs!Y1949,Sheet1!$B$6:$C$124,2,FALSE)</f>
        <v>0</v>
      </c>
      <c r="AA1949" s="146">
        <f t="shared" ref="AA1949:AA1968" si="896">Z1949*AB1949</f>
        <v>0</v>
      </c>
      <c r="AB1949" s="143">
        <f t="shared" ref="AB1949:AB1968" si="897">AD1949*AC1949</f>
        <v>1</v>
      </c>
      <c r="AC1949" s="133">
        <f>S1949</f>
        <v>1</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1</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1</v>
      </c>
      <c r="T1950" s="120"/>
      <c r="U1950" s="121" t="s">
        <v>293</v>
      </c>
      <c r="V1950" s="133">
        <f t="shared" si="895"/>
        <v>1</v>
      </c>
      <c r="W1950" s="133">
        <f>VLOOKUP(U1950,Sheet1!$B$6:$C$45,2,FALSE)*V1950</f>
        <v>0</v>
      </c>
      <c r="X1950" s="141"/>
      <c r="Y1950" s="121" t="s">
        <v>293</v>
      </c>
      <c r="Z1950" s="146">
        <f>VLOOKUP(Takeoffs!Y1950,Sheet1!$B$6:$C$124,2,FALSE)</f>
        <v>0</v>
      </c>
      <c r="AA1950" s="146">
        <f t="shared" si="896"/>
        <v>0</v>
      </c>
      <c r="AB1950" s="143">
        <f t="shared" si="897"/>
        <v>1</v>
      </c>
      <c r="AC1950" s="133">
        <f>S1950</f>
        <v>1</v>
      </c>
      <c r="AD1950" s="142">
        <v>1</v>
      </c>
      <c r="AE1950" s="141"/>
      <c r="AF1950" s="121" t="s">
        <v>293</v>
      </c>
      <c r="AG1950" s="146">
        <f>VLOOKUP(Takeoffs!AF1950,Sheet1!$B$6:$C$124,2,FALSE)</f>
        <v>0</v>
      </c>
      <c r="AH1950" s="146">
        <f t="shared" si="898"/>
        <v>0</v>
      </c>
      <c r="AI1950" s="143">
        <f t="shared" si="899"/>
        <v>0</v>
      </c>
      <c r="AJ1950" s="133">
        <f t="shared" si="900"/>
        <v>1</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513</v>
      </c>
      <c r="P1951" s="121" t="s">
        <v>466</v>
      </c>
      <c r="Q1951" s="121" t="s">
        <v>467</v>
      </c>
      <c r="R1951" s="121"/>
      <c r="S1951" s="133">
        <f>M1948</f>
        <v>1</v>
      </c>
      <c r="T1951" s="120"/>
      <c r="U1951" s="121" t="s">
        <v>363</v>
      </c>
      <c r="V1951" s="133">
        <f t="shared" si="895"/>
        <v>1</v>
      </c>
      <c r="W1951" s="133">
        <f>VLOOKUP(U1951,Sheet1!$B$6:$C$45,2,FALSE)*V1951</f>
        <v>1</v>
      </c>
      <c r="X1951" s="141"/>
      <c r="Y1951" s="121" t="s">
        <v>293</v>
      </c>
      <c r="Z1951" s="146">
        <f>VLOOKUP(Takeoffs!Y1951,Sheet1!$B$6:$C$124,2,FALSE)</f>
        <v>0</v>
      </c>
      <c r="AA1951" s="146">
        <f t="shared" si="896"/>
        <v>0</v>
      </c>
      <c r="AB1951" s="143">
        <f t="shared" si="897"/>
        <v>1</v>
      </c>
      <c r="AC1951" s="133">
        <f t="shared" ref="AC1951:AC1968" si="902">S1951</f>
        <v>1</v>
      </c>
      <c r="AD1951" s="142">
        <v>1</v>
      </c>
      <c r="AE1951" s="141"/>
      <c r="AF1951" s="122" t="s">
        <v>267</v>
      </c>
      <c r="AG1951" s="146">
        <f>VLOOKUP(Takeoffs!AF1951,Sheet1!$B$6:$C$124,2,FALSE)</f>
        <v>3.48</v>
      </c>
      <c r="AH1951" s="146">
        <f t="shared" si="898"/>
        <v>5.22</v>
      </c>
      <c r="AI1951" s="143">
        <f t="shared" si="899"/>
        <v>1.5</v>
      </c>
      <c r="AJ1951" s="133">
        <f t="shared" si="900"/>
        <v>1</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325</v>
      </c>
      <c r="P1952" s="121"/>
      <c r="Q1952" s="121"/>
      <c r="R1952" s="121"/>
      <c r="S1952" s="133">
        <f>M1948</f>
        <v>1</v>
      </c>
      <c r="T1952" s="120"/>
      <c r="U1952" s="121" t="s">
        <v>293</v>
      </c>
      <c r="V1952" s="133">
        <f t="shared" si="895"/>
        <v>1</v>
      </c>
      <c r="W1952" s="133">
        <f>VLOOKUP(U1952,Sheet1!$B$6:$C$45,2,FALSE)*V1952</f>
        <v>0</v>
      </c>
      <c r="X1952" s="141"/>
      <c r="Y1952" s="152" t="s">
        <v>264</v>
      </c>
      <c r="Z1952" s="146">
        <f>VLOOKUP(Takeoffs!Y1952,Sheet1!$B$6:$C$124,2,FALSE)</f>
        <v>751.07999999999993</v>
      </c>
      <c r="AA1952" s="146">
        <f t="shared" si="896"/>
        <v>751.07999999999993</v>
      </c>
      <c r="AB1952" s="143">
        <f t="shared" si="897"/>
        <v>1</v>
      </c>
      <c r="AC1952" s="133">
        <f t="shared" si="902"/>
        <v>1</v>
      </c>
      <c r="AD1952" s="142">
        <v>1</v>
      </c>
      <c r="AE1952" s="141"/>
      <c r="AF1952" s="121" t="s">
        <v>293</v>
      </c>
      <c r="AG1952" s="146">
        <f>VLOOKUP(Takeoffs!AF1952,Sheet1!$B$6:$C$124,2,FALSE)</f>
        <v>0</v>
      </c>
      <c r="AH1952" s="146">
        <f t="shared" si="898"/>
        <v>0</v>
      </c>
      <c r="AI1952" s="143">
        <f t="shared" si="899"/>
        <v>0</v>
      </c>
      <c r="AJ1952" s="133">
        <f t="shared" si="900"/>
        <v>1</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392</v>
      </c>
      <c r="P1953" s="121"/>
      <c r="Q1953" s="121"/>
      <c r="R1953" s="121"/>
      <c r="S1953" s="133">
        <f>M1948</f>
        <v>1</v>
      </c>
      <c r="T1953" s="120"/>
      <c r="U1953" s="121" t="s">
        <v>293</v>
      </c>
      <c r="V1953" s="133">
        <f t="shared" si="895"/>
        <v>1</v>
      </c>
      <c r="W1953" s="133">
        <f>VLOOKUP(U1953,Sheet1!$B$6:$C$45,2,FALSE)*V1953</f>
        <v>0</v>
      </c>
      <c r="X1953" s="141"/>
      <c r="Y1953" s="121" t="s">
        <v>293</v>
      </c>
      <c r="Z1953" s="146">
        <f>VLOOKUP(Takeoffs!Y1953,Sheet1!$B$6:$C$124,2,FALSE)</f>
        <v>0</v>
      </c>
      <c r="AA1953" s="146">
        <f t="shared" si="896"/>
        <v>0</v>
      </c>
      <c r="AB1953" s="143">
        <f t="shared" si="897"/>
        <v>1</v>
      </c>
      <c r="AC1953" s="133">
        <f t="shared" si="902"/>
        <v>1</v>
      </c>
      <c r="AD1953" s="142">
        <v>1</v>
      </c>
      <c r="AE1953" s="141"/>
      <c r="AF1953" s="122" t="s">
        <v>267</v>
      </c>
      <c r="AG1953" s="146">
        <f>VLOOKUP(Takeoffs!AF1953,Sheet1!$B$6:$C$124,2,FALSE)</f>
        <v>3.48</v>
      </c>
      <c r="AH1953" s="146">
        <f t="shared" si="898"/>
        <v>52.2</v>
      </c>
      <c r="AI1953" s="143">
        <f t="shared" si="899"/>
        <v>15</v>
      </c>
      <c r="AJ1953" s="133">
        <f t="shared" si="900"/>
        <v>1</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1</v>
      </c>
      <c r="T1954" s="120"/>
      <c r="U1954" s="121" t="s">
        <v>293</v>
      </c>
      <c r="V1954" s="133">
        <f t="shared" si="895"/>
        <v>1</v>
      </c>
      <c r="W1954" s="133">
        <f>VLOOKUP(U1954,Sheet1!$B$6:$C$45,2,FALSE)*V1954</f>
        <v>0</v>
      </c>
      <c r="X1954" s="141"/>
      <c r="Y1954" s="122" t="s">
        <v>245</v>
      </c>
      <c r="Z1954" s="146">
        <f>VLOOKUP(Takeoffs!Y1954,Sheet1!$B$6:$C$124,2,FALSE)</f>
        <v>46.463999999999999</v>
      </c>
      <c r="AA1954" s="146">
        <f t="shared" si="896"/>
        <v>46.463999999999999</v>
      </c>
      <c r="AB1954" s="143">
        <f t="shared" si="897"/>
        <v>1</v>
      </c>
      <c r="AC1954" s="133">
        <f t="shared" si="902"/>
        <v>1</v>
      </c>
      <c r="AD1954" s="142">
        <v>1</v>
      </c>
      <c r="AE1954" s="141"/>
      <c r="AF1954" s="121" t="s">
        <v>293</v>
      </c>
      <c r="AG1954" s="146">
        <f>VLOOKUP(Takeoffs!AF1954,Sheet1!$B$6:$C$124,2,FALSE)</f>
        <v>0</v>
      </c>
      <c r="AH1954" s="146">
        <f t="shared" si="898"/>
        <v>0</v>
      </c>
      <c r="AI1954" s="143">
        <f t="shared" si="899"/>
        <v>0</v>
      </c>
      <c r="AJ1954" s="133">
        <f t="shared" si="900"/>
        <v>1</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1</v>
      </c>
      <c r="T1955" s="120"/>
      <c r="U1955" s="121" t="s">
        <v>242</v>
      </c>
      <c r="V1955" s="133">
        <f t="shared" si="895"/>
        <v>1</v>
      </c>
      <c r="W1955" s="133">
        <f>VLOOKUP(U1955,Sheet1!$B$6:$C$45,2,FALSE)*V1955</f>
        <v>2</v>
      </c>
      <c r="X1955" s="141"/>
      <c r="Y1955" s="121" t="s">
        <v>293</v>
      </c>
      <c r="Z1955" s="146">
        <f>VLOOKUP(Takeoffs!Y1955,Sheet1!$B$6:$C$124,2,FALSE)</f>
        <v>0</v>
      </c>
      <c r="AA1955" s="146">
        <f t="shared" si="896"/>
        <v>0</v>
      </c>
      <c r="AB1955" s="143">
        <f t="shared" si="897"/>
        <v>1</v>
      </c>
      <c r="AC1955" s="133">
        <f t="shared" si="902"/>
        <v>1</v>
      </c>
      <c r="AD1955" s="142">
        <v>1</v>
      </c>
      <c r="AE1955" s="141"/>
      <c r="AF1955" s="121" t="s">
        <v>293</v>
      </c>
      <c r="AG1955" s="146">
        <f>VLOOKUP(Takeoffs!AF1955,Sheet1!$B$6:$C$124,2,FALSE)</f>
        <v>0</v>
      </c>
      <c r="AH1955" s="146">
        <f t="shared" si="898"/>
        <v>0</v>
      </c>
      <c r="AI1955" s="143">
        <f t="shared" si="899"/>
        <v>0</v>
      </c>
      <c r="AJ1955" s="133">
        <f t="shared" si="900"/>
        <v>1</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517</v>
      </c>
      <c r="P1956" s="121"/>
      <c r="Q1956" s="121"/>
      <c r="R1956" s="121"/>
      <c r="S1956" s="133">
        <f>M1948</f>
        <v>1</v>
      </c>
      <c r="T1956" s="120"/>
      <c r="U1956" s="121" t="s">
        <v>293</v>
      </c>
      <c r="V1956" s="133">
        <f t="shared" si="895"/>
        <v>1</v>
      </c>
      <c r="W1956" s="133">
        <f>VLOOKUP(U1956,Sheet1!$B$6:$C$45,2,FALSE)*V1956</f>
        <v>0</v>
      </c>
      <c r="X1956" s="141"/>
      <c r="Y1956" s="152" t="s">
        <v>335</v>
      </c>
      <c r="Z1956" s="146">
        <f>VLOOKUP(Takeoffs!Y1956,Sheet1!$B$6:$C$124,2,FALSE)</f>
        <v>60</v>
      </c>
      <c r="AA1956" s="146">
        <f t="shared" si="896"/>
        <v>60</v>
      </c>
      <c r="AB1956" s="143">
        <f t="shared" si="897"/>
        <v>1</v>
      </c>
      <c r="AC1956" s="133">
        <f t="shared" si="902"/>
        <v>1</v>
      </c>
      <c r="AD1956" s="142">
        <v>1</v>
      </c>
      <c r="AE1956" s="141"/>
      <c r="AF1956" s="121" t="s">
        <v>293</v>
      </c>
      <c r="AG1956" s="146">
        <f>VLOOKUP(Takeoffs!AF1956,Sheet1!$B$6:$C$124,2,FALSE)</f>
        <v>0</v>
      </c>
      <c r="AH1956" s="146">
        <f t="shared" si="898"/>
        <v>0</v>
      </c>
      <c r="AI1956" s="143">
        <f t="shared" si="899"/>
        <v>0</v>
      </c>
      <c r="AJ1956" s="133">
        <f t="shared" si="900"/>
        <v>1</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518</v>
      </c>
      <c r="P1957" s="121"/>
      <c r="Q1957" s="121"/>
      <c r="R1957" s="121"/>
      <c r="S1957" s="133">
        <f>M1948</f>
        <v>1</v>
      </c>
      <c r="T1957" s="120"/>
      <c r="U1957" s="121" t="s">
        <v>293</v>
      </c>
      <c r="V1957" s="133">
        <f t="shared" si="895"/>
        <v>1</v>
      </c>
      <c r="W1957" s="133">
        <f>VLOOKUP(U1957,Sheet1!$B$6:$C$45,2,FALSE)*V1957</f>
        <v>0</v>
      </c>
      <c r="X1957" s="141"/>
      <c r="Y1957" s="152" t="s">
        <v>336</v>
      </c>
      <c r="Z1957" s="146">
        <f>VLOOKUP(Takeoffs!Y1957,Sheet1!$B$6:$C$124,2,FALSE)</f>
        <v>56.4</v>
      </c>
      <c r="AA1957" s="146">
        <f t="shared" si="896"/>
        <v>56.4</v>
      </c>
      <c r="AB1957" s="143">
        <f t="shared" si="897"/>
        <v>1</v>
      </c>
      <c r="AC1957" s="133">
        <f t="shared" si="902"/>
        <v>1</v>
      </c>
      <c r="AD1957" s="142">
        <v>1</v>
      </c>
      <c r="AE1957" s="141"/>
      <c r="AF1957" s="121" t="s">
        <v>293</v>
      </c>
      <c r="AG1957" s="146">
        <f>VLOOKUP(Takeoffs!AF1957,Sheet1!$B$6:$C$124,2,FALSE)</f>
        <v>0</v>
      </c>
      <c r="AH1957" s="146">
        <f t="shared" si="898"/>
        <v>0</v>
      </c>
      <c r="AI1957" s="143">
        <f t="shared" si="899"/>
        <v>0</v>
      </c>
      <c r="AJ1957" s="133">
        <f t="shared" si="900"/>
        <v>1</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515</v>
      </c>
      <c r="P1958" s="121"/>
      <c r="Q1958" s="121"/>
      <c r="R1958" s="121"/>
      <c r="S1958" s="133">
        <f>M1948</f>
        <v>1</v>
      </c>
      <c r="T1958" s="120"/>
      <c r="U1958" s="121" t="s">
        <v>365</v>
      </c>
      <c r="V1958" s="133">
        <f t="shared" si="895"/>
        <v>1</v>
      </c>
      <c r="W1958" s="133">
        <f>VLOOKUP(U1958,Sheet1!$B$6:$C$45,2,FALSE)*V1958</f>
        <v>1</v>
      </c>
      <c r="X1958" s="141"/>
      <c r="Y1958" s="122" t="s">
        <v>323</v>
      </c>
      <c r="Z1958" s="146">
        <f>VLOOKUP(Takeoffs!Y1958,Sheet1!$B$6:$C$124,2,FALSE)</f>
        <v>60</v>
      </c>
      <c r="AA1958" s="146">
        <f t="shared" si="896"/>
        <v>60</v>
      </c>
      <c r="AB1958" s="143">
        <f t="shared" si="897"/>
        <v>1</v>
      </c>
      <c r="AC1958" s="133">
        <f t="shared" si="902"/>
        <v>1</v>
      </c>
      <c r="AD1958" s="142">
        <v>1</v>
      </c>
      <c r="AE1958" s="141"/>
      <c r="AF1958" s="121" t="s">
        <v>293</v>
      </c>
      <c r="AG1958" s="146">
        <f>VLOOKUP(Takeoffs!AF1958,Sheet1!$B$6:$C$124,2,FALSE)</f>
        <v>0</v>
      </c>
      <c r="AH1958" s="146">
        <f t="shared" si="898"/>
        <v>0</v>
      </c>
      <c r="AI1958" s="143">
        <f t="shared" si="899"/>
        <v>0</v>
      </c>
      <c r="AJ1958" s="133">
        <f t="shared" si="900"/>
        <v>1</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519</v>
      </c>
      <c r="P1959" s="121"/>
      <c r="Q1959" s="121"/>
      <c r="R1959" s="121"/>
      <c r="S1959" s="133">
        <f>M1948</f>
        <v>1</v>
      </c>
      <c r="T1959" s="120"/>
      <c r="U1959" s="121" t="s">
        <v>293</v>
      </c>
      <c r="V1959" s="133">
        <f t="shared" si="895"/>
        <v>1</v>
      </c>
      <c r="W1959" s="133">
        <f>VLOOKUP(U1959,Sheet1!$B$6:$C$45,2,FALSE)*V1959</f>
        <v>0</v>
      </c>
      <c r="X1959" s="141"/>
      <c r="Y1959" s="122" t="s">
        <v>274</v>
      </c>
      <c r="Z1959" s="146">
        <f>VLOOKUP(Takeoffs!Y1959,Sheet1!$B$6:$C$124,2,FALSE)</f>
        <v>360</v>
      </c>
      <c r="AA1959" s="146">
        <f t="shared" si="896"/>
        <v>360</v>
      </c>
      <c r="AB1959" s="143">
        <f t="shared" si="897"/>
        <v>1</v>
      </c>
      <c r="AC1959" s="133">
        <f t="shared" si="902"/>
        <v>1</v>
      </c>
      <c r="AD1959" s="142">
        <v>1</v>
      </c>
      <c r="AE1959" s="141"/>
      <c r="AF1959" s="121" t="s">
        <v>293</v>
      </c>
      <c r="AG1959" s="146">
        <f>VLOOKUP(Takeoffs!AF1959,Sheet1!$B$6:$C$124,2,FALSE)</f>
        <v>0</v>
      </c>
      <c r="AH1959" s="146">
        <f t="shared" si="898"/>
        <v>0</v>
      </c>
      <c r="AI1959" s="143">
        <f t="shared" si="899"/>
        <v>0</v>
      </c>
      <c r="AJ1959" s="133">
        <f t="shared" si="900"/>
        <v>1</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1</v>
      </c>
      <c r="T1960" s="120"/>
      <c r="U1960" s="121" t="s">
        <v>365</v>
      </c>
      <c r="V1960" s="133">
        <f t="shared" si="895"/>
        <v>1</v>
      </c>
      <c r="W1960" s="133">
        <f>VLOOKUP(U1960,Sheet1!$B$6:$C$45,2,FALSE)*V1960</f>
        <v>1</v>
      </c>
      <c r="X1960" s="141"/>
      <c r="Y1960" s="121" t="s">
        <v>293</v>
      </c>
      <c r="Z1960" s="146">
        <f>VLOOKUP(Takeoffs!Y1960,Sheet1!$B$6:$C$124,2,FALSE)</f>
        <v>0</v>
      </c>
      <c r="AA1960" s="146">
        <f t="shared" si="896"/>
        <v>0</v>
      </c>
      <c r="AB1960" s="143">
        <f t="shared" si="897"/>
        <v>1</v>
      </c>
      <c r="AC1960" s="133">
        <f t="shared" si="902"/>
        <v>1</v>
      </c>
      <c r="AD1960" s="142">
        <v>1</v>
      </c>
      <c r="AE1960" s="141"/>
      <c r="AF1960" s="144" t="s">
        <v>269</v>
      </c>
      <c r="AG1960" s="146">
        <f>VLOOKUP(Takeoffs!AF1960,Sheet1!$B$6:$C$124,2,FALSE)</f>
        <v>1.056</v>
      </c>
      <c r="AH1960" s="146">
        <f t="shared" si="898"/>
        <v>42.24</v>
      </c>
      <c r="AI1960" s="143">
        <f t="shared" si="899"/>
        <v>40</v>
      </c>
      <c r="AJ1960" s="133">
        <f t="shared" si="900"/>
        <v>1</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1</v>
      </c>
      <c r="T1961" s="120"/>
      <c r="U1961" s="121" t="s">
        <v>232</v>
      </c>
      <c r="V1961" s="133">
        <f t="shared" si="895"/>
        <v>1</v>
      </c>
      <c r="W1961" s="133">
        <f>VLOOKUP(U1961,Sheet1!$B$6:$C$45,2,FALSE)*V1961</f>
        <v>1</v>
      </c>
      <c r="X1961" s="141"/>
      <c r="Y1961" s="122" t="s">
        <v>281</v>
      </c>
      <c r="Z1961" s="146">
        <f>VLOOKUP(Takeoffs!Y1961,Sheet1!$B$6:$C$124,2,FALSE)</f>
        <v>109.25999999999999</v>
      </c>
      <c r="AA1961" s="146">
        <f t="shared" si="896"/>
        <v>109.25999999999999</v>
      </c>
      <c r="AB1961" s="143">
        <f t="shared" si="897"/>
        <v>1</v>
      </c>
      <c r="AC1961" s="133">
        <f t="shared" si="902"/>
        <v>1</v>
      </c>
      <c r="AD1961" s="142">
        <v>1</v>
      </c>
      <c r="AE1961" s="141"/>
      <c r="AF1961" s="121" t="s">
        <v>293</v>
      </c>
      <c r="AG1961" s="146">
        <f>VLOOKUP(Takeoffs!AF1961,Sheet1!$B$6:$C$124,2,FALSE)</f>
        <v>0</v>
      </c>
      <c r="AH1961" s="146">
        <f t="shared" si="898"/>
        <v>0</v>
      </c>
      <c r="AI1961" s="143">
        <f t="shared" si="899"/>
        <v>0</v>
      </c>
      <c r="AJ1961" s="133">
        <f t="shared" si="900"/>
        <v>1</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520</v>
      </c>
      <c r="P1962" s="121"/>
      <c r="Q1962" s="121"/>
      <c r="R1962" s="121"/>
      <c r="S1962" s="133">
        <f>M1948</f>
        <v>1</v>
      </c>
      <c r="T1962" s="120"/>
      <c r="U1962" s="121" t="s">
        <v>366</v>
      </c>
      <c r="V1962" s="133">
        <f t="shared" si="895"/>
        <v>1</v>
      </c>
      <c r="W1962" s="133">
        <f>VLOOKUP(U1962,Sheet1!$B$6:$C$45,2,FALSE)*V1962</f>
        <v>2</v>
      </c>
      <c r="X1962" s="141"/>
      <c r="Y1962" s="135" t="s">
        <v>464</v>
      </c>
      <c r="Z1962" s="146">
        <f>VLOOKUP(Takeoffs!Y1962,Sheet1!$B$6:$C$124,2,FALSE)</f>
        <v>420</v>
      </c>
      <c r="AA1962" s="146">
        <f t="shared" si="896"/>
        <v>840</v>
      </c>
      <c r="AB1962" s="143">
        <f t="shared" si="897"/>
        <v>2</v>
      </c>
      <c r="AC1962" s="133">
        <f t="shared" si="902"/>
        <v>1</v>
      </c>
      <c r="AD1962" s="142">
        <v>2</v>
      </c>
      <c r="AE1962" s="141"/>
      <c r="AF1962" s="121" t="s">
        <v>293</v>
      </c>
      <c r="AG1962" s="146">
        <f>VLOOKUP(Takeoffs!AF1962,Sheet1!$B$6:$C$124,2,FALSE)</f>
        <v>0</v>
      </c>
      <c r="AH1962" s="146">
        <f t="shared" si="898"/>
        <v>0</v>
      </c>
      <c r="AI1962" s="143">
        <f t="shared" si="899"/>
        <v>0</v>
      </c>
      <c r="AJ1962" s="133">
        <f t="shared" si="900"/>
        <v>1</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521</v>
      </c>
      <c r="P1963" s="121"/>
      <c r="Q1963" s="121"/>
      <c r="R1963" s="121"/>
      <c r="S1963" s="133">
        <f>M1948</f>
        <v>1</v>
      </c>
      <c r="T1963" s="120"/>
      <c r="U1963" s="121" t="s">
        <v>293</v>
      </c>
      <c r="V1963" s="133">
        <f t="shared" si="895"/>
        <v>1</v>
      </c>
      <c r="W1963" s="133">
        <f>VLOOKUP(U1963,Sheet1!$B$6:$C$45,2,FALSE)*V1963</f>
        <v>0</v>
      </c>
      <c r="X1963" s="141"/>
      <c r="Y1963" s="122" t="s">
        <v>280</v>
      </c>
      <c r="Z1963" s="146">
        <f>VLOOKUP(Takeoffs!Y1963,Sheet1!$B$6:$C$124,2,FALSE)</f>
        <v>19.2</v>
      </c>
      <c r="AA1963" s="146">
        <f t="shared" si="896"/>
        <v>76.8</v>
      </c>
      <c r="AB1963" s="143">
        <f t="shared" si="897"/>
        <v>4</v>
      </c>
      <c r="AC1963" s="133">
        <f t="shared" si="902"/>
        <v>1</v>
      </c>
      <c r="AD1963" s="142">
        <v>4</v>
      </c>
      <c r="AE1963" s="141"/>
      <c r="AF1963" s="121" t="s">
        <v>293</v>
      </c>
      <c r="AG1963" s="146">
        <f>VLOOKUP(Takeoffs!AF1963,Sheet1!$B$6:$C$124,2,FALSE)</f>
        <v>0</v>
      </c>
      <c r="AH1963" s="146">
        <f t="shared" si="898"/>
        <v>0</v>
      </c>
      <c r="AI1963" s="143">
        <f t="shared" si="899"/>
        <v>0</v>
      </c>
      <c r="AJ1963" s="133">
        <f t="shared" si="900"/>
        <v>1</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522</v>
      </c>
      <c r="P1964" s="121"/>
      <c r="Q1964" s="121"/>
      <c r="R1964" s="121"/>
      <c r="S1964" s="133">
        <f>M1948</f>
        <v>1</v>
      </c>
      <c r="T1964" s="120"/>
      <c r="U1964" s="121" t="s">
        <v>293</v>
      </c>
      <c r="V1964" s="133">
        <f t="shared" si="895"/>
        <v>1</v>
      </c>
      <c r="W1964" s="133">
        <f>VLOOKUP(U1964,Sheet1!$B$6:$C$45,2,FALSE)*V1964</f>
        <v>0</v>
      </c>
      <c r="X1964" s="141"/>
      <c r="Y1964" s="152" t="s">
        <v>462</v>
      </c>
      <c r="Z1964" s="146">
        <f>VLOOKUP(Takeoffs!Y1964,Sheet1!$B$6:$C$124,2,FALSE)</f>
        <v>11.46</v>
      </c>
      <c r="AA1964" s="146">
        <f t="shared" si="896"/>
        <v>22.92</v>
      </c>
      <c r="AB1964" s="143">
        <f t="shared" si="897"/>
        <v>2</v>
      </c>
      <c r="AC1964" s="133">
        <f t="shared" si="902"/>
        <v>1</v>
      </c>
      <c r="AD1964" s="142">
        <v>2</v>
      </c>
      <c r="AE1964" s="141"/>
      <c r="AF1964" s="121" t="s">
        <v>293</v>
      </c>
      <c r="AG1964" s="146">
        <f>VLOOKUP(Takeoffs!AF1964,Sheet1!$B$6:$C$124,2,FALSE)</f>
        <v>0</v>
      </c>
      <c r="AH1964" s="146">
        <f t="shared" si="898"/>
        <v>0</v>
      </c>
      <c r="AI1964" s="143">
        <f t="shared" si="899"/>
        <v>0</v>
      </c>
      <c r="AJ1964" s="133">
        <f t="shared" si="900"/>
        <v>1</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523</v>
      </c>
      <c r="P1965" s="121"/>
      <c r="Q1965" s="121"/>
      <c r="R1965" s="121"/>
      <c r="S1965" s="133">
        <f>M1948</f>
        <v>1</v>
      </c>
      <c r="T1965" s="120"/>
      <c r="U1965" s="121" t="s">
        <v>293</v>
      </c>
      <c r="V1965" s="133">
        <f t="shared" si="895"/>
        <v>1</v>
      </c>
      <c r="W1965" s="133">
        <f>VLOOKUP(U1965,Sheet1!$B$6:$C$45,2,FALSE)*V1965</f>
        <v>0</v>
      </c>
      <c r="X1965" s="141"/>
      <c r="Y1965" s="152" t="s">
        <v>463</v>
      </c>
      <c r="Z1965" s="146">
        <f>VLOOKUP(Takeoffs!Y1965,Sheet1!$B$6:$C$124,2,FALSE)</f>
        <v>36</v>
      </c>
      <c r="AA1965" s="146">
        <f t="shared" si="896"/>
        <v>36</v>
      </c>
      <c r="AB1965" s="143">
        <f t="shared" si="897"/>
        <v>1</v>
      </c>
      <c r="AC1965" s="133">
        <f t="shared" si="902"/>
        <v>1</v>
      </c>
      <c r="AD1965" s="142">
        <v>1</v>
      </c>
      <c r="AE1965" s="141"/>
      <c r="AF1965" s="121" t="s">
        <v>293</v>
      </c>
      <c r="AG1965" s="146">
        <f>VLOOKUP(Takeoffs!AF1965,Sheet1!$B$6:$C$124,2,FALSE)</f>
        <v>0</v>
      </c>
      <c r="AH1965" s="146">
        <f t="shared" si="898"/>
        <v>0</v>
      </c>
      <c r="AI1965" s="143">
        <f t="shared" si="899"/>
        <v>0</v>
      </c>
      <c r="AJ1965" s="133">
        <f t="shared" si="900"/>
        <v>1</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524</v>
      </c>
      <c r="P1966" s="121" t="s">
        <v>459</v>
      </c>
      <c r="Q1966" s="121" t="s">
        <v>460</v>
      </c>
      <c r="R1966" s="121"/>
      <c r="S1966" s="133">
        <f>M1948</f>
        <v>1</v>
      </c>
      <c r="T1966" s="120"/>
      <c r="U1966" s="121" t="s">
        <v>365</v>
      </c>
      <c r="V1966" s="133">
        <f t="shared" si="895"/>
        <v>1</v>
      </c>
      <c r="W1966" s="133">
        <f>VLOOKUP(U1966,Sheet1!$B$6:$C$45,2,FALSE)*V1966</f>
        <v>1</v>
      </c>
      <c r="X1966" s="141"/>
      <c r="Y1966" s="122" t="s">
        <v>328</v>
      </c>
      <c r="Z1966" s="146">
        <f>VLOOKUP(Takeoffs!Y1966,Sheet1!$B$6:$C$124,2,FALSE)</f>
        <v>29.04</v>
      </c>
      <c r="AA1966" s="146">
        <f t="shared" si="896"/>
        <v>29.04</v>
      </c>
      <c r="AB1966" s="143">
        <f t="shared" si="897"/>
        <v>1</v>
      </c>
      <c r="AC1966" s="133">
        <f t="shared" si="902"/>
        <v>1</v>
      </c>
      <c r="AD1966" s="142">
        <v>1</v>
      </c>
      <c r="AE1966" s="141"/>
      <c r="AF1966" s="121" t="s">
        <v>293</v>
      </c>
      <c r="AG1966" s="146">
        <f>VLOOKUP(Takeoffs!AF1966,Sheet1!$B$6:$C$124,2,FALSE)</f>
        <v>0</v>
      </c>
      <c r="AH1966" s="146">
        <f t="shared" si="898"/>
        <v>0</v>
      </c>
      <c r="AI1966" s="143">
        <f t="shared" si="899"/>
        <v>0</v>
      </c>
      <c r="AJ1966" s="133">
        <f t="shared" si="900"/>
        <v>1</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525</v>
      </c>
      <c r="P1967" s="121" t="s">
        <v>382</v>
      </c>
      <c r="Q1967" s="121" t="s">
        <v>386</v>
      </c>
      <c r="R1967" s="121"/>
      <c r="S1967" s="133">
        <f>M1948</f>
        <v>1</v>
      </c>
      <c r="T1967" s="120"/>
      <c r="U1967" s="121" t="s">
        <v>293</v>
      </c>
      <c r="V1967" s="133">
        <f t="shared" si="895"/>
        <v>1</v>
      </c>
      <c r="W1967" s="133">
        <f>VLOOKUP(U1967,Sheet1!$B$6:$C$45,2,FALSE)*V1967</f>
        <v>0</v>
      </c>
      <c r="X1967" s="141"/>
      <c r="Y1967" s="122" t="s">
        <v>324</v>
      </c>
      <c r="Z1967" s="146">
        <f>VLOOKUP(Takeoffs!Y1967,Sheet1!$B$6:$C$124,2,FALSE)</f>
        <v>48</v>
      </c>
      <c r="AA1967" s="146">
        <f t="shared" si="896"/>
        <v>48</v>
      </c>
      <c r="AB1967" s="143">
        <f t="shared" si="897"/>
        <v>1</v>
      </c>
      <c r="AC1967" s="133">
        <f t="shared" si="902"/>
        <v>1</v>
      </c>
      <c r="AD1967" s="142">
        <v>1</v>
      </c>
      <c r="AE1967" s="141"/>
      <c r="AF1967" s="121" t="s">
        <v>293</v>
      </c>
      <c r="AG1967" s="146">
        <f>VLOOKUP(Takeoffs!AF1967,Sheet1!$B$6:$C$124,2,FALSE)</f>
        <v>0</v>
      </c>
      <c r="AH1967" s="146">
        <f t="shared" si="898"/>
        <v>0</v>
      </c>
      <c r="AI1967" s="143">
        <f t="shared" si="899"/>
        <v>0</v>
      </c>
      <c r="AJ1967" s="133">
        <f t="shared" si="900"/>
        <v>1</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410</v>
      </c>
      <c r="P1968" s="121"/>
      <c r="Q1968" s="121"/>
      <c r="R1968" s="121"/>
      <c r="S1968" s="133">
        <f>M1948</f>
        <v>1</v>
      </c>
      <c r="T1968" s="120"/>
      <c r="U1968" s="121" t="s">
        <v>365</v>
      </c>
      <c r="V1968" s="133">
        <f t="shared" si="895"/>
        <v>1</v>
      </c>
      <c r="W1968" s="133">
        <f>VLOOKUP(U1968,Sheet1!$B$6:$C$45,2,FALSE)*V1968</f>
        <v>1</v>
      </c>
      <c r="X1968" s="141"/>
      <c r="Y1968" s="121" t="s">
        <v>293</v>
      </c>
      <c r="Z1968" s="146">
        <f>VLOOKUP(Takeoffs!Y1968,Sheet1!$B$6:$C$124,2,FALSE)</f>
        <v>0</v>
      </c>
      <c r="AA1968" s="146">
        <f t="shared" si="896"/>
        <v>0</v>
      </c>
      <c r="AB1968" s="143">
        <f t="shared" si="897"/>
        <v>1</v>
      </c>
      <c r="AC1968" s="133">
        <f t="shared" si="902"/>
        <v>1</v>
      </c>
      <c r="AD1968" s="142">
        <v>1</v>
      </c>
      <c r="AE1968" s="141"/>
      <c r="AF1968" s="121" t="s">
        <v>293</v>
      </c>
      <c r="AG1968" s="146">
        <f>VLOOKUP(Takeoffs!AF1968,Sheet1!$B$6:$C$124,2,FALSE)</f>
        <v>0</v>
      </c>
      <c r="AH1968" s="146">
        <f t="shared" si="898"/>
        <v>0</v>
      </c>
      <c r="AI1968" s="143">
        <f t="shared" si="899"/>
        <v>0</v>
      </c>
      <c r="AJ1968" s="133">
        <f t="shared" si="900"/>
        <v>1</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379</v>
      </c>
      <c r="L1969" s="128" t="s">
        <v>380</v>
      </c>
      <c r="N1969" s="129"/>
      <c r="O1969" s="130" t="s">
        <v>359</v>
      </c>
      <c r="P1969" s="171">
        <f>V1969+AA1969+AH1969</f>
        <v>3515.6239999999998</v>
      </c>
      <c r="Q1969" s="144"/>
      <c r="R1969" s="144"/>
      <c r="S1969" s="130"/>
      <c r="T1969" s="127"/>
      <c r="U1969" s="126" t="s">
        <v>353</v>
      </c>
      <c r="V1969" s="127">
        <f>W1969*80</f>
        <v>920</v>
      </c>
      <c r="W1969" s="147">
        <f>SUM(W1948:W1968)</f>
        <v>11.5</v>
      </c>
      <c r="X1969" s="148"/>
      <c r="Y1969" s="127" t="s">
        <v>354</v>
      </c>
      <c r="Z1969" s="116"/>
      <c r="AA1969" s="116">
        <f>SUM(AA1948:AA1968)</f>
        <v>2495.9639999999999</v>
      </c>
      <c r="AB1969" s="149"/>
      <c r="AC1969" s="149"/>
      <c r="AD1969" s="149"/>
      <c r="AE1969" s="149"/>
      <c r="AF1969" s="127" t="s">
        <v>358</v>
      </c>
      <c r="AG1969" s="116"/>
      <c r="AH1969" s="116">
        <f>SUM(AH1948:AH1968)</f>
        <v>99.66</v>
      </c>
      <c r="AI1969" s="149"/>
      <c r="AJ1969" s="149"/>
      <c r="AK1969" s="149"/>
      <c r="AL1969" s="149"/>
      <c r="AM1969" s="150">
        <f>P1969</f>
        <v>3515.6239999999998</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494</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1</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one (1)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3515.6239999999998</v>
      </c>
      <c r="L1970" s="234" t="str">
        <f>CONCATENATE(Q1949,Q1950,Q1951,Q1952,Q1953,Q1954,Q1955,Q1956,Q1957,Q1958,Q1959,Q1960,Q1961,Q1962,Q1963,Q1964,Q1965,Q1966,Q1967,Q1968,)</f>
        <v>Power suply adjacent fansupply and install of gas solenoidfire cabling from FIP.</v>
      </c>
      <c r="M1970" s="166" t="s">
        <v>369</v>
      </c>
      <c r="N1970" s="160" t="str">
        <f>N1948</f>
        <v>Kitchen Exhaust Sytem ( from local power supply with 2 separate switchplates)</v>
      </c>
      <c r="O1970" s="160" t="s">
        <v>367</v>
      </c>
      <c r="P1970" s="161">
        <f>P1969/M1948</f>
        <v>3515.6239999999998</v>
      </c>
      <c r="Q1970" s="161"/>
      <c r="R1970" s="161"/>
      <c r="S1970" s="160"/>
      <c r="T1970" s="161"/>
      <c r="U1970" s="327" t="s">
        <v>368</v>
      </c>
      <c r="V1970" s="327"/>
      <c r="W1970" s="162">
        <f>W1969/M1948</f>
        <v>11.5</v>
      </c>
      <c r="X1970" s="163"/>
      <c r="Y1970" s="325" t="s">
        <v>367</v>
      </c>
      <c r="Z1970" s="325"/>
      <c r="AA1970" s="164">
        <f>AA1969/M1948</f>
        <v>2495.9639999999999</v>
      </c>
      <c r="AB1970" s="161"/>
      <c r="AC1970" s="161"/>
      <c r="AD1970" s="161"/>
      <c r="AE1970" s="161"/>
      <c r="AF1970" s="325" t="s">
        <v>367</v>
      </c>
      <c r="AG1970" s="325"/>
      <c r="AH1970" s="164">
        <f>AH1969/M1948</f>
        <v>99.66</v>
      </c>
      <c r="AI1970" s="161"/>
      <c r="AJ1970" s="161"/>
      <c r="AK1970" s="161"/>
      <c r="AL1970" s="247"/>
      <c r="AM1970" s="257"/>
      <c r="AN1970" s="236">
        <f>K1970*1.25</f>
        <v>4394.53</v>
      </c>
      <c r="AO1970" s="286"/>
      <c r="AP1970" s="284">
        <f t="shared" si="890"/>
        <v>3515.6239999999998</v>
      </c>
      <c r="AQ1970" s="281">
        <f t="shared" si="891"/>
        <v>920</v>
      </c>
      <c r="AR1970" s="284">
        <f t="shared" si="892"/>
        <v>2495.9639999999999</v>
      </c>
      <c r="AS1970" s="281">
        <f t="shared" si="893"/>
        <v>99.66</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454</v>
      </c>
      <c r="M1971" s="2" t="s">
        <v>107</v>
      </c>
      <c r="N1971" s="2" t="s">
        <v>108</v>
      </c>
      <c r="O1971" s="97" t="s">
        <v>388</v>
      </c>
      <c r="P1971" s="326" t="s">
        <v>377</v>
      </c>
      <c r="Q1971" s="326"/>
      <c r="R1971" s="101" t="s">
        <v>454</v>
      </c>
      <c r="S1971" s="2" t="s">
        <v>0</v>
      </c>
      <c r="T1971" s="9"/>
      <c r="U1971" s="2" t="s">
        <v>288</v>
      </c>
      <c r="V1971" s="2" t="s">
        <v>289</v>
      </c>
      <c r="W1971" s="2" t="s">
        <v>292</v>
      </c>
      <c r="X1971" s="58"/>
      <c r="Y1971" s="2" t="s">
        <v>290</v>
      </c>
      <c r="Z1971" s="2" t="s">
        <v>356</v>
      </c>
      <c r="AA1971" s="2" t="s">
        <v>357</v>
      </c>
      <c r="AB1971" s="2" t="s">
        <v>319</v>
      </c>
      <c r="AC1971" s="2" t="s">
        <v>320</v>
      </c>
      <c r="AD1971" s="2" t="s">
        <v>318</v>
      </c>
      <c r="AE1971" s="58"/>
      <c r="AF1971" s="2" t="s">
        <v>294</v>
      </c>
      <c r="AG1971" s="2" t="s">
        <v>356</v>
      </c>
      <c r="AH1971" s="2" t="s">
        <v>357</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one</v>
      </c>
      <c r="M1972" s="121">
        <f>I1994</f>
        <v>1</v>
      </c>
      <c r="N1972" s="27" t="s">
        <v>716</v>
      </c>
      <c r="O1972" s="12" t="s">
        <v>349</v>
      </c>
      <c r="P1972" s="96" t="s">
        <v>381</v>
      </c>
      <c r="Q1972" s="96" t="s">
        <v>377</v>
      </c>
      <c r="R1972" s="96"/>
      <c r="S1972" s="28">
        <f>M1972</f>
        <v>1</v>
      </c>
      <c r="T1972" s="10"/>
      <c r="U1972" s="12" t="s">
        <v>293</v>
      </c>
      <c r="V1972" s="28">
        <f>S1972</f>
        <v>1</v>
      </c>
      <c r="W1972" s="28">
        <f>VLOOKUP(U1972,Sheet1!$B$6:$C$45,2,FALSE)*V1972</f>
        <v>0</v>
      </c>
      <c r="X1972" s="59"/>
      <c r="Y1972" s="108" t="s">
        <v>293</v>
      </c>
      <c r="Z1972" s="68">
        <f>VLOOKUP(Takeoffs!Y1972,Sheet1!$B$6:$C$124,2,FALSE)</f>
        <v>0</v>
      </c>
      <c r="AA1972" s="68">
        <f>Z1972*AB1972</f>
        <v>0</v>
      </c>
      <c r="AB1972" s="63">
        <f>AD1972*AC1972</f>
        <v>1</v>
      </c>
      <c r="AC1972" s="28">
        <f>S1972</f>
        <v>1</v>
      </c>
      <c r="AD1972" s="61">
        <v>1</v>
      </c>
      <c r="AE1972" s="59"/>
      <c r="AF1972" s="111" t="s">
        <v>293</v>
      </c>
      <c r="AG1972" s="68">
        <f>VLOOKUP(Takeoffs!AF1972,Sheet1!$B$6:$C$124,2,FALSE)</f>
        <v>0</v>
      </c>
      <c r="AH1972" s="68">
        <f>AG1972*AI1972</f>
        <v>0</v>
      </c>
      <c r="AI1972" s="63">
        <f>AK1972*AJ1972</f>
        <v>0</v>
      </c>
      <c r="AJ1972" s="28">
        <f>S1972</f>
        <v>1</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413</v>
      </c>
      <c r="P1973" s="12"/>
      <c r="Q1973" s="12"/>
      <c r="R1973" s="12"/>
      <c r="S1973" s="28">
        <f>M1972</f>
        <v>1</v>
      </c>
      <c r="T1973" s="11"/>
      <c r="U1973" s="12" t="s">
        <v>235</v>
      </c>
      <c r="V1973" s="28">
        <f t="shared" ref="V1973:V1992" si="903">S1973</f>
        <v>1</v>
      </c>
      <c r="W1973" s="28">
        <f>VLOOKUP(U1973,Sheet1!$B$6:$C$45,2,FALSE)*V1973</f>
        <v>1.5</v>
      </c>
      <c r="X1973" s="59"/>
      <c r="Y1973" s="108" t="s">
        <v>293</v>
      </c>
      <c r="Z1973" s="68">
        <f>VLOOKUP(Takeoffs!Y1973,Sheet1!$B$6:$C$124,2,FALSE)</f>
        <v>0</v>
      </c>
      <c r="AA1973" s="68">
        <f t="shared" ref="AA1973:AA1992" si="904">Z1973*AB1973</f>
        <v>0</v>
      </c>
      <c r="AB1973" s="63">
        <f t="shared" ref="AB1973:AB1992" si="905">AD1973*AC1973</f>
        <v>1</v>
      </c>
      <c r="AC1973" s="28">
        <f>S1973</f>
        <v>1</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1</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1</v>
      </c>
      <c r="T1974" s="11"/>
      <c r="U1974" s="12" t="s">
        <v>293</v>
      </c>
      <c r="V1974" s="28">
        <f t="shared" si="903"/>
        <v>1</v>
      </c>
      <c r="W1974" s="28">
        <f>VLOOKUP(U1974,Sheet1!$B$6:$C$45,2,FALSE)*V1974</f>
        <v>0</v>
      </c>
      <c r="X1974" s="59"/>
      <c r="Y1974" s="109" t="s">
        <v>252</v>
      </c>
      <c r="Z1974" s="68">
        <f>VLOOKUP(Takeoffs!Y1974,Sheet1!$B$6:$C$124,2,FALSE)</f>
        <v>43.440000000000005</v>
      </c>
      <c r="AA1974" s="68">
        <f t="shared" si="904"/>
        <v>43.440000000000005</v>
      </c>
      <c r="AB1974" s="63">
        <f t="shared" si="905"/>
        <v>1</v>
      </c>
      <c r="AC1974" s="28">
        <f>S1974</f>
        <v>1</v>
      </c>
      <c r="AD1974" s="61">
        <v>1</v>
      </c>
      <c r="AE1974" s="59"/>
      <c r="AF1974" s="111" t="s">
        <v>293</v>
      </c>
      <c r="AG1974" s="68">
        <f>VLOOKUP(Takeoffs!AF1974,Sheet1!$B$6:$C$124,2,FALSE)</f>
        <v>0</v>
      </c>
      <c r="AH1974" s="68">
        <f t="shared" si="906"/>
        <v>0</v>
      </c>
      <c r="AI1974" s="63">
        <f t="shared" si="907"/>
        <v>0</v>
      </c>
      <c r="AJ1974" s="28">
        <f t="shared" si="908"/>
        <v>1</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1</v>
      </c>
      <c r="T1975" s="11"/>
      <c r="U1975" s="117" t="s">
        <v>481</v>
      </c>
      <c r="V1975" s="28">
        <f t="shared" si="903"/>
        <v>1</v>
      </c>
      <c r="W1975" s="28">
        <f>VLOOKUP(U1975,Sheet1!$B$6:$C$45,2,FALSE)*V1975</f>
        <v>2</v>
      </c>
      <c r="X1975" s="59"/>
      <c r="Y1975" s="108" t="s">
        <v>293</v>
      </c>
      <c r="Z1975" s="68">
        <f>VLOOKUP(Takeoffs!Y1975,Sheet1!$B$6:$C$124,2,FALSE)</f>
        <v>0</v>
      </c>
      <c r="AA1975" s="68">
        <f t="shared" si="904"/>
        <v>0</v>
      </c>
      <c r="AB1975" s="63">
        <f t="shared" si="905"/>
        <v>1</v>
      </c>
      <c r="AC1975" s="28">
        <f t="shared" ref="AC1975:AC1992" si="910">S1975</f>
        <v>1</v>
      </c>
      <c r="AD1975" s="61">
        <v>1</v>
      </c>
      <c r="AE1975" s="59"/>
      <c r="AF1975" s="112" t="s">
        <v>267</v>
      </c>
      <c r="AG1975" s="68">
        <f>VLOOKUP(Takeoffs!AF1975,Sheet1!$B$6:$C$124,2,FALSE)</f>
        <v>3.48</v>
      </c>
      <c r="AH1975" s="68">
        <f t="shared" si="906"/>
        <v>5.22</v>
      </c>
      <c r="AI1975" s="63">
        <f t="shared" si="907"/>
        <v>1.5</v>
      </c>
      <c r="AJ1975" s="28">
        <f t="shared" si="908"/>
        <v>1</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325</v>
      </c>
      <c r="P1976" s="12"/>
      <c r="Q1976" s="12"/>
      <c r="R1976" s="12"/>
      <c r="S1976" s="28">
        <f>M1972</f>
        <v>1</v>
      </c>
      <c r="T1976" s="11"/>
      <c r="U1976" s="12" t="s">
        <v>293</v>
      </c>
      <c r="V1976" s="28">
        <f t="shared" si="903"/>
        <v>1</v>
      </c>
      <c r="W1976" s="28">
        <f>VLOOKUP(U1976,Sheet1!$B$6:$C$45,2,FALSE)*V1976</f>
        <v>0</v>
      </c>
      <c r="X1976" s="59"/>
      <c r="Y1976" s="110" t="s">
        <v>264</v>
      </c>
      <c r="Z1976" s="68">
        <f>VLOOKUP(Takeoffs!Y1976,Sheet1!$B$6:$C$124,2,FALSE)</f>
        <v>751.07999999999993</v>
      </c>
      <c r="AA1976" s="68">
        <f t="shared" si="904"/>
        <v>751.07999999999993</v>
      </c>
      <c r="AB1976" s="63">
        <f t="shared" si="905"/>
        <v>1</v>
      </c>
      <c r="AC1976" s="28">
        <f t="shared" si="910"/>
        <v>1</v>
      </c>
      <c r="AD1976" s="61">
        <v>1</v>
      </c>
      <c r="AE1976" s="59"/>
      <c r="AF1976" s="111" t="s">
        <v>293</v>
      </c>
      <c r="AG1976" s="68">
        <f>VLOOKUP(Takeoffs!AF1976,Sheet1!$B$6:$C$124,2,FALSE)</f>
        <v>0</v>
      </c>
      <c r="AH1976" s="68">
        <f t="shared" si="906"/>
        <v>0</v>
      </c>
      <c r="AI1976" s="63">
        <f t="shared" si="907"/>
        <v>0</v>
      </c>
      <c r="AJ1976" s="28">
        <f t="shared" si="908"/>
        <v>1</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392</v>
      </c>
      <c r="P1977" s="12"/>
      <c r="Q1977" s="12"/>
      <c r="R1977" s="12"/>
      <c r="S1977" s="28">
        <f>M1972</f>
        <v>1</v>
      </c>
      <c r="T1977" s="11"/>
      <c r="U1977" s="12" t="s">
        <v>293</v>
      </c>
      <c r="V1977" s="28">
        <f t="shared" si="903"/>
        <v>1</v>
      </c>
      <c r="W1977" s="28">
        <f>VLOOKUP(U1977,Sheet1!$B$6:$C$45,2,FALSE)*V1977</f>
        <v>0</v>
      </c>
      <c r="X1977" s="59"/>
      <c r="Y1977" s="108" t="s">
        <v>293</v>
      </c>
      <c r="Z1977" s="68">
        <f>VLOOKUP(Takeoffs!Y1977,Sheet1!$B$6:$C$124,2,FALSE)</f>
        <v>0</v>
      </c>
      <c r="AA1977" s="68">
        <f t="shared" si="904"/>
        <v>0</v>
      </c>
      <c r="AB1977" s="63">
        <f t="shared" si="905"/>
        <v>1</v>
      </c>
      <c r="AC1977" s="28">
        <f t="shared" si="910"/>
        <v>1</v>
      </c>
      <c r="AD1977" s="61">
        <v>1</v>
      </c>
      <c r="AE1977" s="59"/>
      <c r="AF1977" s="112" t="s">
        <v>267</v>
      </c>
      <c r="AG1977" s="68">
        <f>VLOOKUP(Takeoffs!AF1977,Sheet1!$B$6:$C$124,2,FALSE)</f>
        <v>3.48</v>
      </c>
      <c r="AH1977" s="68">
        <f t="shared" si="906"/>
        <v>52.2</v>
      </c>
      <c r="AI1977" s="63">
        <f t="shared" si="907"/>
        <v>15</v>
      </c>
      <c r="AJ1977" s="28">
        <f t="shared" si="908"/>
        <v>1</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1</v>
      </c>
      <c r="T1978" s="11"/>
      <c r="U1978" s="12" t="s">
        <v>293</v>
      </c>
      <c r="V1978" s="28">
        <f t="shared" si="903"/>
        <v>1</v>
      </c>
      <c r="W1978" s="28">
        <f>VLOOKUP(U1978,Sheet1!$B$6:$C$45,2,FALSE)*V1978</f>
        <v>0</v>
      </c>
      <c r="X1978" s="59"/>
      <c r="Y1978" s="109" t="s">
        <v>245</v>
      </c>
      <c r="Z1978" s="68">
        <f>VLOOKUP(Takeoffs!Y1978,Sheet1!$B$6:$C$124,2,FALSE)</f>
        <v>46.463999999999999</v>
      </c>
      <c r="AA1978" s="68">
        <f t="shared" si="904"/>
        <v>46.463999999999999</v>
      </c>
      <c r="AB1978" s="63">
        <f t="shared" si="905"/>
        <v>1</v>
      </c>
      <c r="AC1978" s="28">
        <f t="shared" si="910"/>
        <v>1</v>
      </c>
      <c r="AD1978" s="61">
        <v>1</v>
      </c>
      <c r="AE1978" s="59"/>
      <c r="AF1978" s="111" t="s">
        <v>293</v>
      </c>
      <c r="AG1978" s="68">
        <f>VLOOKUP(Takeoffs!AF1978,Sheet1!$B$6:$C$124,2,FALSE)</f>
        <v>0</v>
      </c>
      <c r="AH1978" s="68">
        <f t="shared" si="906"/>
        <v>0</v>
      </c>
      <c r="AI1978" s="63">
        <f t="shared" si="907"/>
        <v>0</v>
      </c>
      <c r="AJ1978" s="28">
        <f t="shared" si="908"/>
        <v>1</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1</v>
      </c>
      <c r="T1979" s="11"/>
      <c r="U1979" s="12" t="s">
        <v>242</v>
      </c>
      <c r="V1979" s="28">
        <f t="shared" si="903"/>
        <v>1</v>
      </c>
      <c r="W1979" s="28">
        <f>VLOOKUP(U1979,Sheet1!$B$6:$C$45,2,FALSE)*V1979</f>
        <v>2</v>
      </c>
      <c r="X1979" s="59"/>
      <c r="Y1979" s="108" t="s">
        <v>293</v>
      </c>
      <c r="Z1979" s="68">
        <f>VLOOKUP(Takeoffs!Y1979,Sheet1!$B$6:$C$124,2,FALSE)</f>
        <v>0</v>
      </c>
      <c r="AA1979" s="68">
        <f t="shared" si="904"/>
        <v>0</v>
      </c>
      <c r="AB1979" s="63">
        <f t="shared" si="905"/>
        <v>1</v>
      </c>
      <c r="AC1979" s="28">
        <f t="shared" si="910"/>
        <v>1</v>
      </c>
      <c r="AD1979" s="61">
        <v>1</v>
      </c>
      <c r="AE1979" s="59"/>
      <c r="AF1979" s="111" t="s">
        <v>293</v>
      </c>
      <c r="AG1979" s="68">
        <f>VLOOKUP(Takeoffs!AF1979,Sheet1!$B$6:$C$124,2,FALSE)</f>
        <v>0</v>
      </c>
      <c r="AH1979" s="68">
        <f t="shared" si="906"/>
        <v>0</v>
      </c>
      <c r="AI1979" s="63">
        <f t="shared" si="907"/>
        <v>0</v>
      </c>
      <c r="AJ1979" s="28">
        <f t="shared" si="908"/>
        <v>1</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340</v>
      </c>
      <c r="P1980" s="12"/>
      <c r="Q1980" s="12"/>
      <c r="R1980" s="12"/>
      <c r="S1980" s="28">
        <f>M1972</f>
        <v>1</v>
      </c>
      <c r="T1980" s="11"/>
      <c r="U1980" s="12" t="s">
        <v>293</v>
      </c>
      <c r="V1980" s="28">
        <f t="shared" si="903"/>
        <v>1</v>
      </c>
      <c r="W1980" s="28">
        <f>VLOOKUP(U1980,Sheet1!$B$6:$C$45,2,FALSE)*V1980</f>
        <v>0</v>
      </c>
      <c r="X1980" s="59"/>
      <c r="Y1980" s="110" t="s">
        <v>335</v>
      </c>
      <c r="Z1980" s="68">
        <f>VLOOKUP(Takeoffs!Y1980,Sheet1!$B$6:$C$124,2,FALSE)</f>
        <v>60</v>
      </c>
      <c r="AA1980" s="68">
        <f t="shared" si="904"/>
        <v>60</v>
      </c>
      <c r="AB1980" s="63">
        <f t="shared" si="905"/>
        <v>1</v>
      </c>
      <c r="AC1980" s="28">
        <f t="shared" si="910"/>
        <v>1</v>
      </c>
      <c r="AD1980" s="61">
        <v>1</v>
      </c>
      <c r="AE1980" s="59"/>
      <c r="AF1980" s="111" t="s">
        <v>293</v>
      </c>
      <c r="AG1980" s="68">
        <f>VLOOKUP(Takeoffs!AF1980,Sheet1!$B$6:$C$124,2,FALSE)</f>
        <v>0</v>
      </c>
      <c r="AH1980" s="68">
        <f t="shared" si="906"/>
        <v>0</v>
      </c>
      <c r="AI1980" s="63">
        <f t="shared" si="907"/>
        <v>0</v>
      </c>
      <c r="AJ1980" s="28">
        <f t="shared" si="908"/>
        <v>1</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518</v>
      </c>
      <c r="P1981" s="12"/>
      <c r="Q1981" s="12"/>
      <c r="R1981" s="12"/>
      <c r="S1981" s="28">
        <f>M1972</f>
        <v>1</v>
      </c>
      <c r="T1981" s="11"/>
      <c r="U1981" s="12" t="s">
        <v>293</v>
      </c>
      <c r="V1981" s="28">
        <f t="shared" si="903"/>
        <v>1</v>
      </c>
      <c r="W1981" s="28">
        <f>VLOOKUP(U1981,Sheet1!$B$6:$C$45,2,FALSE)*V1981</f>
        <v>0</v>
      </c>
      <c r="X1981" s="59"/>
      <c r="Y1981" s="110" t="s">
        <v>336</v>
      </c>
      <c r="Z1981" s="68">
        <f>VLOOKUP(Takeoffs!Y1981,Sheet1!$B$6:$C$124,2,FALSE)</f>
        <v>56.4</v>
      </c>
      <c r="AA1981" s="68">
        <f t="shared" si="904"/>
        <v>56.4</v>
      </c>
      <c r="AB1981" s="63">
        <f t="shared" si="905"/>
        <v>1</v>
      </c>
      <c r="AC1981" s="28">
        <f t="shared" si="910"/>
        <v>1</v>
      </c>
      <c r="AD1981" s="61">
        <v>1</v>
      </c>
      <c r="AE1981" s="59"/>
      <c r="AF1981" s="111" t="s">
        <v>293</v>
      </c>
      <c r="AG1981" s="68">
        <f>VLOOKUP(Takeoffs!AF1981,Sheet1!$B$6:$C$124,2,FALSE)</f>
        <v>0</v>
      </c>
      <c r="AH1981" s="68">
        <f t="shared" si="906"/>
        <v>0</v>
      </c>
      <c r="AI1981" s="63">
        <f t="shared" si="907"/>
        <v>0</v>
      </c>
      <c r="AJ1981" s="28">
        <f t="shared" si="908"/>
        <v>1</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515</v>
      </c>
      <c r="P1982" s="12"/>
      <c r="Q1982" s="12"/>
      <c r="R1982" s="12"/>
      <c r="S1982" s="28">
        <f>M1972</f>
        <v>1</v>
      </c>
      <c r="T1982" s="11"/>
      <c r="U1982" s="12" t="s">
        <v>365</v>
      </c>
      <c r="V1982" s="28">
        <f t="shared" si="903"/>
        <v>1</v>
      </c>
      <c r="W1982" s="28">
        <f>VLOOKUP(U1982,Sheet1!$B$6:$C$45,2,FALSE)*V1982</f>
        <v>1</v>
      </c>
      <c r="X1982" s="59"/>
      <c r="Y1982" s="109" t="s">
        <v>323</v>
      </c>
      <c r="Z1982" s="68">
        <f>VLOOKUP(Takeoffs!Y1982,Sheet1!$B$6:$C$124,2,FALSE)</f>
        <v>60</v>
      </c>
      <c r="AA1982" s="68">
        <f t="shared" si="904"/>
        <v>60</v>
      </c>
      <c r="AB1982" s="63">
        <f t="shared" si="905"/>
        <v>1</v>
      </c>
      <c r="AC1982" s="28">
        <f t="shared" si="910"/>
        <v>1</v>
      </c>
      <c r="AD1982" s="61">
        <v>1</v>
      </c>
      <c r="AE1982" s="59"/>
      <c r="AF1982" s="111" t="s">
        <v>293</v>
      </c>
      <c r="AG1982" s="68">
        <f>VLOOKUP(Takeoffs!AF1982,Sheet1!$B$6:$C$124,2,FALSE)</f>
        <v>0</v>
      </c>
      <c r="AH1982" s="68">
        <f t="shared" si="906"/>
        <v>0</v>
      </c>
      <c r="AI1982" s="63">
        <f t="shared" si="907"/>
        <v>0</v>
      </c>
      <c r="AJ1982" s="28">
        <f t="shared" si="908"/>
        <v>1</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519</v>
      </c>
      <c r="P1983" s="12"/>
      <c r="Q1983" s="12"/>
      <c r="R1983" s="12"/>
      <c r="S1983" s="28">
        <f>M1972</f>
        <v>1</v>
      </c>
      <c r="T1983" s="11"/>
      <c r="U1983" s="12" t="s">
        <v>293</v>
      </c>
      <c r="V1983" s="28">
        <f t="shared" si="903"/>
        <v>1</v>
      </c>
      <c r="W1983" s="28">
        <f>VLOOKUP(U1983,Sheet1!$B$6:$C$45,2,FALSE)*V1983</f>
        <v>0</v>
      </c>
      <c r="X1983" s="59"/>
      <c r="Y1983" s="109" t="s">
        <v>274</v>
      </c>
      <c r="Z1983" s="68">
        <f>VLOOKUP(Takeoffs!Y1983,Sheet1!$B$6:$C$124,2,FALSE)</f>
        <v>360</v>
      </c>
      <c r="AA1983" s="68">
        <f t="shared" si="904"/>
        <v>360</v>
      </c>
      <c r="AB1983" s="63">
        <f t="shared" si="905"/>
        <v>1</v>
      </c>
      <c r="AC1983" s="28">
        <f t="shared" si="910"/>
        <v>1</v>
      </c>
      <c r="AD1983" s="61">
        <v>1</v>
      </c>
      <c r="AE1983" s="59"/>
      <c r="AF1983" s="111" t="s">
        <v>293</v>
      </c>
      <c r="AG1983" s="68">
        <f>VLOOKUP(Takeoffs!AF1983,Sheet1!$B$6:$C$124,2,FALSE)</f>
        <v>0</v>
      </c>
      <c r="AH1983" s="68">
        <f t="shared" si="906"/>
        <v>0</v>
      </c>
      <c r="AI1983" s="63">
        <f t="shared" si="907"/>
        <v>0</v>
      </c>
      <c r="AJ1983" s="28">
        <f t="shared" si="908"/>
        <v>1</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1</v>
      </c>
      <c r="T1984" s="11"/>
      <c r="U1984" s="12" t="s">
        <v>365</v>
      </c>
      <c r="V1984" s="28">
        <f t="shared" si="903"/>
        <v>1</v>
      </c>
      <c r="W1984" s="28">
        <f>VLOOKUP(U1984,Sheet1!$B$6:$C$45,2,FALSE)*V1984</f>
        <v>1</v>
      </c>
      <c r="X1984" s="59"/>
      <c r="Y1984" s="108" t="s">
        <v>293</v>
      </c>
      <c r="Z1984" s="68">
        <f>VLOOKUP(Takeoffs!Y1984,Sheet1!$B$6:$C$124,2,FALSE)</f>
        <v>0</v>
      </c>
      <c r="AA1984" s="68">
        <f t="shared" si="904"/>
        <v>0</v>
      </c>
      <c r="AB1984" s="63">
        <f t="shared" si="905"/>
        <v>1</v>
      </c>
      <c r="AC1984" s="28">
        <f t="shared" si="910"/>
        <v>1</v>
      </c>
      <c r="AD1984" s="61">
        <v>1</v>
      </c>
      <c r="AE1984" s="59"/>
      <c r="AF1984" s="113" t="s">
        <v>269</v>
      </c>
      <c r="AG1984" s="68">
        <f>VLOOKUP(Takeoffs!AF1984,Sheet1!$B$6:$C$124,2,FALSE)</f>
        <v>1.056</v>
      </c>
      <c r="AH1984" s="68">
        <f t="shared" si="906"/>
        <v>42.24</v>
      </c>
      <c r="AI1984" s="63">
        <f t="shared" si="907"/>
        <v>40</v>
      </c>
      <c r="AJ1984" s="28">
        <f t="shared" si="908"/>
        <v>1</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1</v>
      </c>
      <c r="T1985" s="11"/>
      <c r="U1985" s="108" t="s">
        <v>232</v>
      </c>
      <c r="V1985" s="28">
        <f t="shared" si="903"/>
        <v>1</v>
      </c>
      <c r="W1985" s="28">
        <f>VLOOKUP(U1985,Sheet1!$B$6:$C$45,2,FALSE)*V1985</f>
        <v>1</v>
      </c>
      <c r="X1985" s="59"/>
      <c r="Y1985" s="109" t="s">
        <v>281</v>
      </c>
      <c r="Z1985" s="68">
        <f>VLOOKUP(Takeoffs!Y1985,Sheet1!$B$6:$C$124,2,FALSE)</f>
        <v>109.25999999999999</v>
      </c>
      <c r="AA1985" s="68">
        <f t="shared" si="904"/>
        <v>109.25999999999999</v>
      </c>
      <c r="AB1985" s="63">
        <f t="shared" si="905"/>
        <v>1</v>
      </c>
      <c r="AC1985" s="28">
        <f t="shared" si="910"/>
        <v>1</v>
      </c>
      <c r="AD1985" s="61">
        <v>1</v>
      </c>
      <c r="AE1985" s="59"/>
      <c r="AF1985" s="111" t="s">
        <v>293</v>
      </c>
      <c r="AG1985" s="68">
        <f>VLOOKUP(Takeoffs!AF1985,Sheet1!$B$6:$C$124,2,FALSE)</f>
        <v>0</v>
      </c>
      <c r="AH1985" s="68">
        <f t="shared" si="906"/>
        <v>0</v>
      </c>
      <c r="AI1985" s="63">
        <f t="shared" si="907"/>
        <v>0</v>
      </c>
      <c r="AJ1985" s="28">
        <f t="shared" si="908"/>
        <v>1</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526</v>
      </c>
      <c r="P1986" s="12"/>
      <c r="Q1986" s="12"/>
      <c r="R1986" s="12"/>
      <c r="S1986" s="28">
        <f>M1972</f>
        <v>1</v>
      </c>
      <c r="T1986" s="11"/>
      <c r="U1986" s="12" t="s">
        <v>366</v>
      </c>
      <c r="V1986" s="28">
        <f t="shared" si="903"/>
        <v>1</v>
      </c>
      <c r="W1986" s="28">
        <f>VLOOKUP(U1986,Sheet1!$B$6:$C$45,2,FALSE)*V1986</f>
        <v>2</v>
      </c>
      <c r="X1986" s="59"/>
      <c r="Y1986" s="135" t="s">
        <v>464</v>
      </c>
      <c r="Z1986" s="68">
        <f>VLOOKUP(Takeoffs!Y1986,Sheet1!$B$6:$C$124,2,FALSE)</f>
        <v>420</v>
      </c>
      <c r="AA1986" s="68">
        <f t="shared" si="904"/>
        <v>420</v>
      </c>
      <c r="AB1986" s="63">
        <f t="shared" si="905"/>
        <v>1</v>
      </c>
      <c r="AC1986" s="28">
        <f t="shared" si="910"/>
        <v>1</v>
      </c>
      <c r="AD1986" s="61">
        <v>1</v>
      </c>
      <c r="AE1986" s="59"/>
      <c r="AF1986" s="111" t="s">
        <v>293</v>
      </c>
      <c r="AG1986" s="68">
        <f>VLOOKUP(Takeoffs!AF1986,Sheet1!$B$6:$C$124,2,FALSE)</f>
        <v>0</v>
      </c>
      <c r="AH1986" s="68">
        <f t="shared" si="906"/>
        <v>0</v>
      </c>
      <c r="AI1986" s="63">
        <f t="shared" si="907"/>
        <v>0</v>
      </c>
      <c r="AJ1986" s="28">
        <f t="shared" si="908"/>
        <v>1</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521</v>
      </c>
      <c r="P1987" s="12"/>
      <c r="Q1987" s="12"/>
      <c r="R1987" s="12"/>
      <c r="S1987" s="28">
        <f>M1972</f>
        <v>1</v>
      </c>
      <c r="T1987" s="11"/>
      <c r="U1987" s="12" t="s">
        <v>293</v>
      </c>
      <c r="V1987" s="28">
        <f t="shared" si="903"/>
        <v>1</v>
      </c>
      <c r="W1987" s="28">
        <f>VLOOKUP(U1987,Sheet1!$B$6:$C$45,2,FALSE)*V1987</f>
        <v>0</v>
      </c>
      <c r="X1987" s="59"/>
      <c r="Y1987" s="109" t="s">
        <v>280</v>
      </c>
      <c r="Z1987" s="68">
        <f>VLOOKUP(Takeoffs!Y1987,Sheet1!$B$6:$C$124,2,FALSE)</f>
        <v>19.2</v>
      </c>
      <c r="AA1987" s="68">
        <f t="shared" si="904"/>
        <v>38.4</v>
      </c>
      <c r="AB1987" s="63">
        <f t="shared" si="905"/>
        <v>2</v>
      </c>
      <c r="AC1987" s="28">
        <f t="shared" si="910"/>
        <v>1</v>
      </c>
      <c r="AD1987" s="61">
        <v>2</v>
      </c>
      <c r="AE1987" s="59"/>
      <c r="AF1987" s="111" t="s">
        <v>293</v>
      </c>
      <c r="AG1987" s="68">
        <f>VLOOKUP(Takeoffs!AF1987,Sheet1!$B$6:$C$124,2,FALSE)</f>
        <v>0</v>
      </c>
      <c r="AH1987" s="68">
        <f t="shared" si="906"/>
        <v>0</v>
      </c>
      <c r="AI1987" s="63">
        <f t="shared" si="907"/>
        <v>0</v>
      </c>
      <c r="AJ1987" s="28">
        <f t="shared" si="908"/>
        <v>1</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717</v>
      </c>
      <c r="P1988" s="12"/>
      <c r="Q1988" s="12"/>
      <c r="R1988" s="12"/>
      <c r="S1988" s="28">
        <f>M1972</f>
        <v>1</v>
      </c>
      <c r="T1988" s="11"/>
      <c r="U1988" s="12" t="s">
        <v>293</v>
      </c>
      <c r="V1988" s="28">
        <f t="shared" si="903"/>
        <v>1</v>
      </c>
      <c r="W1988" s="28">
        <f>VLOOKUP(U1988,Sheet1!$B$6:$C$45,2,FALSE)*V1988</f>
        <v>0</v>
      </c>
      <c r="X1988" s="59"/>
      <c r="Y1988" s="110" t="s">
        <v>462</v>
      </c>
      <c r="Z1988" s="68">
        <f>VLOOKUP(Takeoffs!Y1988,Sheet1!$B$6:$C$124,2,FALSE)</f>
        <v>11.46</v>
      </c>
      <c r="AA1988" s="68">
        <f t="shared" si="904"/>
        <v>11.46</v>
      </c>
      <c r="AB1988" s="63">
        <f t="shared" si="905"/>
        <v>1</v>
      </c>
      <c r="AC1988" s="28">
        <f t="shared" si="910"/>
        <v>1</v>
      </c>
      <c r="AD1988" s="61">
        <v>1</v>
      </c>
      <c r="AE1988" s="59"/>
      <c r="AF1988" s="111" t="s">
        <v>293</v>
      </c>
      <c r="AG1988" s="68">
        <f>VLOOKUP(Takeoffs!AF1988,Sheet1!$B$6:$C$124,2,FALSE)</f>
        <v>0</v>
      </c>
      <c r="AH1988" s="68">
        <f t="shared" si="906"/>
        <v>0</v>
      </c>
      <c r="AI1988" s="63">
        <f t="shared" si="907"/>
        <v>0</v>
      </c>
      <c r="AJ1988" s="28">
        <f t="shared" si="908"/>
        <v>1</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527</v>
      </c>
      <c r="P1989" s="12"/>
      <c r="Q1989" s="12"/>
      <c r="R1989" s="12"/>
      <c r="S1989" s="28">
        <f>M1972</f>
        <v>1</v>
      </c>
      <c r="T1989" s="11"/>
      <c r="U1989" s="12" t="s">
        <v>293</v>
      </c>
      <c r="V1989" s="28">
        <f t="shared" si="903"/>
        <v>1</v>
      </c>
      <c r="W1989" s="28">
        <f>VLOOKUP(U1989,Sheet1!$B$6:$C$45,2,FALSE)*V1989</f>
        <v>0</v>
      </c>
      <c r="X1989" s="59"/>
      <c r="Y1989" s="110" t="s">
        <v>463</v>
      </c>
      <c r="Z1989" s="68">
        <f>VLOOKUP(Takeoffs!Y1989,Sheet1!$B$6:$C$124,2,FALSE)</f>
        <v>36</v>
      </c>
      <c r="AA1989" s="68">
        <f t="shared" si="904"/>
        <v>36</v>
      </c>
      <c r="AB1989" s="63">
        <f t="shared" si="905"/>
        <v>1</v>
      </c>
      <c r="AC1989" s="28">
        <f t="shared" si="910"/>
        <v>1</v>
      </c>
      <c r="AD1989" s="61">
        <v>1</v>
      </c>
      <c r="AE1989" s="59"/>
      <c r="AF1989" s="111" t="s">
        <v>293</v>
      </c>
      <c r="AG1989" s="68">
        <f>VLOOKUP(Takeoffs!AF1989,Sheet1!$B$6:$C$124,2,FALSE)</f>
        <v>0</v>
      </c>
      <c r="AH1989" s="68">
        <f t="shared" si="906"/>
        <v>0</v>
      </c>
      <c r="AI1989" s="63">
        <f t="shared" si="907"/>
        <v>0</v>
      </c>
      <c r="AJ1989" s="28">
        <f t="shared" si="908"/>
        <v>1</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524</v>
      </c>
      <c r="P1990" s="12" t="s">
        <v>459</v>
      </c>
      <c r="Q1990" s="12" t="s">
        <v>460</v>
      </c>
      <c r="R1990" s="12"/>
      <c r="S1990" s="28">
        <f>M1972</f>
        <v>1</v>
      </c>
      <c r="T1990" s="11"/>
      <c r="U1990" s="12" t="s">
        <v>365</v>
      </c>
      <c r="V1990" s="28">
        <f t="shared" si="903"/>
        <v>1</v>
      </c>
      <c r="W1990" s="28">
        <f>VLOOKUP(U1990,Sheet1!$B$6:$C$45,2,FALSE)*V1990</f>
        <v>1</v>
      </c>
      <c r="X1990" s="59"/>
      <c r="Y1990" s="109" t="s">
        <v>328</v>
      </c>
      <c r="Z1990" s="68">
        <f>VLOOKUP(Takeoffs!Y1990,Sheet1!$B$6:$C$124,2,FALSE)</f>
        <v>29.04</v>
      </c>
      <c r="AA1990" s="68">
        <f t="shared" si="904"/>
        <v>29.04</v>
      </c>
      <c r="AB1990" s="63">
        <f t="shared" si="905"/>
        <v>1</v>
      </c>
      <c r="AC1990" s="28">
        <f t="shared" si="910"/>
        <v>1</v>
      </c>
      <c r="AD1990" s="61">
        <v>1</v>
      </c>
      <c r="AE1990" s="59"/>
      <c r="AF1990" s="111" t="s">
        <v>293</v>
      </c>
      <c r="AG1990" s="68">
        <f>VLOOKUP(Takeoffs!AF1990,Sheet1!$B$6:$C$124,2,FALSE)</f>
        <v>0</v>
      </c>
      <c r="AH1990" s="68">
        <f t="shared" si="906"/>
        <v>0</v>
      </c>
      <c r="AI1990" s="63">
        <f t="shared" si="907"/>
        <v>0</v>
      </c>
      <c r="AJ1990" s="28">
        <f t="shared" si="908"/>
        <v>1</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525</v>
      </c>
      <c r="P1991" s="12" t="s">
        <v>382</v>
      </c>
      <c r="Q1991" s="12" t="s">
        <v>386</v>
      </c>
      <c r="R1991" s="12"/>
      <c r="S1991" s="28">
        <f>M1972</f>
        <v>1</v>
      </c>
      <c r="T1991" s="11"/>
      <c r="U1991" s="12" t="s">
        <v>293</v>
      </c>
      <c r="V1991" s="28">
        <f t="shared" si="903"/>
        <v>1</v>
      </c>
      <c r="W1991" s="28">
        <f>VLOOKUP(U1991,Sheet1!$B$6:$C$45,2,FALSE)*V1991</f>
        <v>0</v>
      </c>
      <c r="X1991" s="59"/>
      <c r="Y1991" s="109" t="s">
        <v>324</v>
      </c>
      <c r="Z1991" s="68">
        <f>VLOOKUP(Takeoffs!Y1991,Sheet1!$B$6:$C$124,2,FALSE)</f>
        <v>48</v>
      </c>
      <c r="AA1991" s="68">
        <f t="shared" si="904"/>
        <v>48</v>
      </c>
      <c r="AB1991" s="63">
        <f t="shared" si="905"/>
        <v>1</v>
      </c>
      <c r="AC1991" s="28">
        <f t="shared" si="910"/>
        <v>1</v>
      </c>
      <c r="AD1991" s="61">
        <v>1</v>
      </c>
      <c r="AE1991" s="59"/>
      <c r="AF1991" s="111" t="s">
        <v>293</v>
      </c>
      <c r="AG1991" s="68">
        <f>VLOOKUP(Takeoffs!AF1991,Sheet1!$B$6:$C$124,2,FALSE)</f>
        <v>0</v>
      </c>
      <c r="AH1991" s="68">
        <f t="shared" si="906"/>
        <v>0</v>
      </c>
      <c r="AI1991" s="63">
        <f t="shared" si="907"/>
        <v>0</v>
      </c>
      <c r="AJ1991" s="28">
        <f t="shared" si="908"/>
        <v>1</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410</v>
      </c>
      <c r="P1992" s="12"/>
      <c r="Q1992" s="12"/>
      <c r="R1992" s="12"/>
      <c r="S1992" s="28">
        <f>M1972</f>
        <v>1</v>
      </c>
      <c r="T1992" s="11"/>
      <c r="U1992" s="12" t="s">
        <v>365</v>
      </c>
      <c r="V1992" s="28">
        <f t="shared" si="903"/>
        <v>1</v>
      </c>
      <c r="W1992" s="28">
        <f>VLOOKUP(U1992,Sheet1!$B$6:$C$45,2,FALSE)*V1992</f>
        <v>1</v>
      </c>
      <c r="X1992" s="59"/>
      <c r="Y1992" s="108" t="s">
        <v>293</v>
      </c>
      <c r="Z1992" s="68">
        <f>VLOOKUP(Takeoffs!Y1992,Sheet1!$B$6:$C$124,2,FALSE)</f>
        <v>0</v>
      </c>
      <c r="AA1992" s="68">
        <f t="shared" si="904"/>
        <v>0</v>
      </c>
      <c r="AB1992" s="63">
        <f t="shared" si="905"/>
        <v>1</v>
      </c>
      <c r="AC1992" s="28">
        <f t="shared" si="910"/>
        <v>1</v>
      </c>
      <c r="AD1992" s="61">
        <v>1</v>
      </c>
      <c r="AE1992" s="59"/>
      <c r="AF1992" s="111" t="s">
        <v>293</v>
      </c>
      <c r="AG1992" s="68">
        <f>VLOOKUP(Takeoffs!AF1992,Sheet1!$B$6:$C$124,2,FALSE)</f>
        <v>0</v>
      </c>
      <c r="AH1992" s="68">
        <f t="shared" si="906"/>
        <v>0</v>
      </c>
      <c r="AI1992" s="63">
        <f t="shared" si="907"/>
        <v>0</v>
      </c>
      <c r="AJ1992" s="28">
        <f t="shared" si="908"/>
        <v>1</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379</v>
      </c>
      <c r="L1993" s="21" t="s">
        <v>380</v>
      </c>
      <c r="N1993" s="22"/>
      <c r="O1993" s="23" t="s">
        <v>359</v>
      </c>
      <c r="P1993" s="98">
        <f>V1993+AA1993+AH1993</f>
        <v>3169.2039999999997</v>
      </c>
      <c r="Q1993" s="65"/>
      <c r="R1993" s="65"/>
      <c r="S1993" s="23"/>
      <c r="T1993" s="20"/>
      <c r="U1993" s="19" t="s">
        <v>353</v>
      </c>
      <c r="V1993" s="20">
        <f>W1993*80</f>
        <v>1000</v>
      </c>
      <c r="W1993" s="69">
        <f>SUM(W1972:W1992)</f>
        <v>12.5</v>
      </c>
      <c r="X1993" s="70"/>
      <c r="Y1993" s="20" t="s">
        <v>354</v>
      </c>
      <c r="Z1993" s="2"/>
      <c r="AA1993" s="2">
        <f>SUM(AA1972:AA1992)</f>
        <v>2069.5439999999999</v>
      </c>
      <c r="AB1993" s="71"/>
      <c r="AC1993" s="71"/>
      <c r="AD1993" s="71"/>
      <c r="AE1993" s="71"/>
      <c r="AF1993" s="20" t="s">
        <v>358</v>
      </c>
      <c r="AG1993" s="2"/>
      <c r="AH1993" s="2">
        <f>SUM(AH1972:AH1992)</f>
        <v>99.66</v>
      </c>
      <c r="AI1993" s="71"/>
      <c r="AJ1993" s="71"/>
      <c r="AK1993" s="71"/>
      <c r="AL1993" s="71"/>
      <c r="AM1993" s="150">
        <f>P1993</f>
        <v>3169.2039999999997</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494</v>
      </c>
      <c r="C1994" s="217" t="str">
        <f>N1972</f>
        <v>Kitchen Exhaust Sytem (from MSSB)</v>
      </c>
      <c r="D1994" s="260" t="s">
        <v>681</v>
      </c>
      <c r="E1994" s="238"/>
      <c r="F1994" s="217"/>
      <c r="G1994" s="217"/>
      <c r="H1994" s="245"/>
      <c r="I1994" s="270">
        <v>1</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one (1)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3169.2039999999997</v>
      </c>
      <c r="L1994" s="234" t="str">
        <f>CONCATENATE(Q1973,Q1974,Q1975,Q1976,Q1977,Q1978,Q1979,Q1980,Q1981,Q1982,Q1983,Q1984,Q1985,Q1986,Q1987,Q1988,Q1989,Q1990,Q1991,Q1992,)</f>
        <v>supply and install of gas solenoidfire cabling from FIP.</v>
      </c>
      <c r="M1994" s="91" t="s">
        <v>369</v>
      </c>
      <c r="N1994" s="83" t="str">
        <f>N1972</f>
        <v>Kitchen Exhaust Sytem (from MSSB)</v>
      </c>
      <c r="O1994" s="83" t="s">
        <v>367</v>
      </c>
      <c r="P1994" s="64">
        <f>P1993/M1972</f>
        <v>3169.2039999999997</v>
      </c>
      <c r="Q1994" s="84"/>
      <c r="R1994" s="84"/>
      <c r="S1994" s="83"/>
      <c r="T1994" s="84"/>
      <c r="U1994" s="327" t="s">
        <v>368</v>
      </c>
      <c r="V1994" s="327"/>
      <c r="W1994" s="85">
        <f>W1993/M1972</f>
        <v>12.5</v>
      </c>
      <c r="X1994" s="86"/>
      <c r="Y1994" s="325" t="s">
        <v>367</v>
      </c>
      <c r="Z1994" s="325"/>
      <c r="AA1994" s="87">
        <f>AA1993/M1972</f>
        <v>2069.5439999999999</v>
      </c>
      <c r="AB1994" s="84"/>
      <c r="AC1994" s="84"/>
      <c r="AD1994" s="84"/>
      <c r="AE1994" s="84"/>
      <c r="AF1994" s="325" t="s">
        <v>367</v>
      </c>
      <c r="AG1994" s="325"/>
      <c r="AH1994" s="87">
        <f>AH1993/M1972</f>
        <v>99.66</v>
      </c>
      <c r="AI1994" s="84"/>
      <c r="AJ1994" s="84"/>
      <c r="AK1994" s="84"/>
      <c r="AL1994" s="247"/>
      <c r="AM1994" s="257"/>
      <c r="AN1994" s="236">
        <f>K1994*1.25</f>
        <v>3961.5049999999997</v>
      </c>
      <c r="AO1994" s="286"/>
      <c r="AP1994" s="284">
        <f t="shared" si="890"/>
        <v>3169.2039999999997</v>
      </c>
      <c r="AQ1994" s="281">
        <f t="shared" si="891"/>
        <v>1000</v>
      </c>
      <c r="AR1994" s="284">
        <f t="shared" si="892"/>
        <v>2069.5439999999999</v>
      </c>
      <c r="AS1994" s="281">
        <f t="shared" si="893"/>
        <v>99.66</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494</v>
      </c>
      <c r="D1995" s="261" t="str">
        <f>IF(B1995="Shopping List",IF(ISNUMBER(SEARCH("MSSB",C1995)),"MSSB",IF(ISNUMBER(SEARCH("local",C1995)),"LOCAL","")))</f>
        <v/>
      </c>
      <c r="I1995" s="269">
        <v>1</v>
      </c>
      <c r="J1995" s="261" t="s">
        <v>683</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5">
      <c r="A1996" s="262">
        <f>ROW()</f>
        <v>1996</v>
      </c>
      <c r="C1996" s="211"/>
      <c r="D1996" s="211"/>
      <c r="E1996" s="211"/>
      <c r="F1996" s="211"/>
      <c r="G1996" s="211"/>
      <c r="H1996" s="211"/>
      <c r="K1996" s="116" t="s">
        <v>454</v>
      </c>
      <c r="M1996" s="116" t="s">
        <v>107</v>
      </c>
      <c r="N1996" s="116" t="s">
        <v>108</v>
      </c>
      <c r="O1996" s="170" t="s">
        <v>388</v>
      </c>
      <c r="P1996" s="328" t="s">
        <v>377</v>
      </c>
      <c r="Q1996" s="328"/>
      <c r="R1996" s="101" t="s">
        <v>454</v>
      </c>
      <c r="S1996" s="116" t="s">
        <v>0</v>
      </c>
      <c r="T1996" s="118"/>
      <c r="U1996" s="116" t="s">
        <v>288</v>
      </c>
      <c r="V1996" s="116" t="s">
        <v>289</v>
      </c>
      <c r="W1996" s="116" t="s">
        <v>292</v>
      </c>
      <c r="X1996" s="140"/>
      <c r="Y1996" s="116" t="s">
        <v>290</v>
      </c>
      <c r="Z1996" s="116" t="s">
        <v>356</v>
      </c>
      <c r="AA1996" s="116" t="s">
        <v>357</v>
      </c>
      <c r="AB1996" s="116" t="s">
        <v>319</v>
      </c>
      <c r="AC1996" s="116" t="s">
        <v>320</v>
      </c>
      <c r="AD1996" s="116" t="s">
        <v>318</v>
      </c>
      <c r="AE1996" s="140"/>
      <c r="AF1996" s="116" t="s">
        <v>294</v>
      </c>
      <c r="AG1996" s="116" t="s">
        <v>356</v>
      </c>
      <c r="AH1996" s="116" t="s">
        <v>357</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5">
      <c r="A1997" s="262">
        <f>ROW()</f>
        <v>1997</v>
      </c>
      <c r="C1997" s="208"/>
      <c r="D1997" s="208"/>
      <c r="E1997" s="208"/>
      <c r="F1997" s="208"/>
      <c r="G1997" s="208"/>
      <c r="H1997" s="208"/>
      <c r="L1997" s="124" t="str">
        <f>VLOOKUP(M1997,Sheet2!$D$2:$E$1024,2,FALSE)</f>
        <v>one</v>
      </c>
      <c r="M1997" s="121">
        <f>I2019</f>
        <v>1</v>
      </c>
      <c r="N1997" s="132" t="s">
        <v>631</v>
      </c>
      <c r="O1997" s="121" t="s">
        <v>349</v>
      </c>
      <c r="P1997" s="169" t="s">
        <v>381</v>
      </c>
      <c r="Q1997" s="169" t="s">
        <v>377</v>
      </c>
      <c r="R1997" s="169"/>
      <c r="S1997" s="133">
        <f>M1997</f>
        <v>1</v>
      </c>
      <c r="T1997" s="119"/>
      <c r="U1997" s="153" t="s">
        <v>293</v>
      </c>
      <c r="V1997" s="133">
        <f>S1997</f>
        <v>1</v>
      </c>
      <c r="W1997" s="133">
        <f>VLOOKUP(U1997,Sheet1!$B$6:$C$45,2,FALSE)*V1997</f>
        <v>0</v>
      </c>
      <c r="X1997" s="141"/>
      <c r="Y1997" s="121" t="s">
        <v>293</v>
      </c>
      <c r="Z1997" s="146">
        <f>VLOOKUP(Takeoffs!Y1997,Sheet1!$B$6:$C$124,2,FALSE)</f>
        <v>0</v>
      </c>
      <c r="AA1997" s="146">
        <f>Z1997*AB1997</f>
        <v>0</v>
      </c>
      <c r="AB1997" s="143">
        <f>AD1997*AC1997</f>
        <v>1</v>
      </c>
      <c r="AC1997" s="133">
        <f>S1997</f>
        <v>1</v>
      </c>
      <c r="AD1997" s="142">
        <v>1</v>
      </c>
      <c r="AE1997" s="141"/>
      <c r="AF1997" s="121" t="s">
        <v>293</v>
      </c>
      <c r="AG1997" s="146">
        <f>VLOOKUP(Takeoffs!AF1997,Sheet1!$B$6:$C$124,2,FALSE)</f>
        <v>0</v>
      </c>
      <c r="AH1997" s="146">
        <f>AG1997*AI1997</f>
        <v>0</v>
      </c>
      <c r="AI1997" s="143">
        <f>AK1997*AJ1997</f>
        <v>0</v>
      </c>
      <c r="AJ1997" s="133">
        <f>S1997</f>
        <v>1</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1</v>
      </c>
      <c r="T1998" s="120"/>
      <c r="U1998" s="153" t="s">
        <v>293</v>
      </c>
      <c r="V1998" s="133">
        <f t="shared" ref="V1998:V2017" si="911">S1998</f>
        <v>1</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1</v>
      </c>
      <c r="AC1998" s="133">
        <f t="shared" ref="AC1998:AC2017" si="914">S1998</f>
        <v>1</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1</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1</v>
      </c>
      <c r="T1999" s="120"/>
      <c r="U1999" s="121" t="s">
        <v>293</v>
      </c>
      <c r="V1999" s="133">
        <f t="shared" si="911"/>
        <v>1</v>
      </c>
      <c r="W1999" s="133">
        <f>VLOOKUP(U1999,Sheet1!$B$6:$C$45,2,FALSE)*V1999</f>
        <v>0</v>
      </c>
      <c r="X1999" s="141"/>
      <c r="Y1999" s="135" t="s">
        <v>250</v>
      </c>
      <c r="Z1999" s="146">
        <f>VLOOKUP(Takeoffs!Y1999,Sheet1!$B$6:$C$124,2,FALSE)</f>
        <v>43.440000000000005</v>
      </c>
      <c r="AA1999" s="146">
        <f t="shared" si="912"/>
        <v>43.440000000000005</v>
      </c>
      <c r="AB1999" s="143">
        <f t="shared" si="913"/>
        <v>1</v>
      </c>
      <c r="AC1999" s="133">
        <f t="shared" si="914"/>
        <v>1</v>
      </c>
      <c r="AD1999" s="142">
        <v>1</v>
      </c>
      <c r="AE1999" s="141"/>
      <c r="AF1999" s="121" t="s">
        <v>293</v>
      </c>
      <c r="AG1999" s="146">
        <f>VLOOKUP(Takeoffs!AF1999,Sheet1!$B$6:$C$124,2,FALSE)</f>
        <v>0</v>
      </c>
      <c r="AH1999" s="146">
        <f t="shared" si="915"/>
        <v>0</v>
      </c>
      <c r="AI1999" s="143">
        <f t="shared" si="916"/>
        <v>0</v>
      </c>
      <c r="AJ1999" s="133">
        <f t="shared" si="917"/>
        <v>1</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632</v>
      </c>
      <c r="P2000" s="121"/>
      <c r="Q2000" s="66"/>
      <c r="R2000" s="121"/>
      <c r="S2000" s="133">
        <f>M1997</f>
        <v>1</v>
      </c>
      <c r="T2000" s="120"/>
      <c r="U2000" s="121" t="s">
        <v>293</v>
      </c>
      <c r="V2000" s="133">
        <f t="shared" si="911"/>
        <v>1</v>
      </c>
      <c r="W2000" s="133">
        <f>VLOOKUP(U2000,Sheet1!$B$6:$C$45,2,FALSE)*V2000</f>
        <v>0</v>
      </c>
      <c r="X2000" s="141"/>
      <c r="Y2000" s="121" t="s">
        <v>293</v>
      </c>
      <c r="Z2000" s="146">
        <f>VLOOKUP(Takeoffs!Y2000,Sheet1!$B$6:$C$124,2,FALSE)</f>
        <v>0</v>
      </c>
      <c r="AA2000" s="146">
        <f t="shared" si="912"/>
        <v>0</v>
      </c>
      <c r="AB2000" s="143">
        <f t="shared" si="913"/>
        <v>1</v>
      </c>
      <c r="AC2000" s="133">
        <f t="shared" si="914"/>
        <v>1</v>
      </c>
      <c r="AD2000" s="142">
        <v>1</v>
      </c>
      <c r="AE2000" s="141"/>
      <c r="AF2000" s="122" t="s">
        <v>267</v>
      </c>
      <c r="AG2000" s="146">
        <f>VLOOKUP(Takeoffs!AF2000,Sheet1!$B$6:$C$124,2,FALSE)</f>
        <v>3.48</v>
      </c>
      <c r="AH2000" s="146">
        <f t="shared" si="915"/>
        <v>69.599999999999994</v>
      </c>
      <c r="AI2000" s="143">
        <f t="shared" si="916"/>
        <v>20</v>
      </c>
      <c r="AJ2000" s="133">
        <f t="shared" si="917"/>
        <v>1</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1</v>
      </c>
      <c r="T2001" s="120"/>
      <c r="U2001" s="121" t="s">
        <v>293</v>
      </c>
      <c r="V2001" s="133">
        <f t="shared" si="911"/>
        <v>1</v>
      </c>
      <c r="W2001" s="133">
        <f>VLOOKUP(U2001,Sheet1!$B$6:$C$45,2,FALSE)*V2001</f>
        <v>0</v>
      </c>
      <c r="X2001" s="141"/>
      <c r="Y2001" s="121" t="s">
        <v>293</v>
      </c>
      <c r="Z2001" s="146">
        <f>VLOOKUP(Takeoffs!Y2001,Sheet1!$B$6:$C$124,2,FALSE)</f>
        <v>0</v>
      </c>
      <c r="AA2001" s="146">
        <f t="shared" si="912"/>
        <v>0</v>
      </c>
      <c r="AB2001" s="143">
        <f t="shared" si="913"/>
        <v>1</v>
      </c>
      <c r="AC2001" s="133">
        <f t="shared" si="914"/>
        <v>1</v>
      </c>
      <c r="AD2001" s="142">
        <v>1</v>
      </c>
      <c r="AE2001" s="141"/>
      <c r="AF2001" s="121" t="s">
        <v>293</v>
      </c>
      <c r="AG2001" s="146">
        <f>VLOOKUP(Takeoffs!AF2001,Sheet1!$B$6:$C$124,2,FALSE)</f>
        <v>0</v>
      </c>
      <c r="AH2001" s="146">
        <f t="shared" si="915"/>
        <v>0</v>
      </c>
      <c r="AI2001" s="143">
        <f t="shared" si="916"/>
        <v>0</v>
      </c>
      <c r="AJ2001" s="133">
        <f t="shared" si="917"/>
        <v>1</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1</v>
      </c>
      <c r="T2002" s="120"/>
      <c r="U2002" s="121" t="s">
        <v>293</v>
      </c>
      <c r="V2002" s="133">
        <f t="shared" si="911"/>
        <v>1</v>
      </c>
      <c r="W2002" s="133">
        <f>VLOOKUP(U2002,Sheet1!$B$6:$C$45,2,FALSE)*V2002</f>
        <v>0</v>
      </c>
      <c r="X2002" s="141"/>
      <c r="Y2002" s="121" t="s">
        <v>293</v>
      </c>
      <c r="Z2002" s="146">
        <f>VLOOKUP(Takeoffs!Y2002,Sheet1!$B$6:$C$124,2,FALSE)</f>
        <v>0</v>
      </c>
      <c r="AA2002" s="146">
        <f t="shared" si="912"/>
        <v>0</v>
      </c>
      <c r="AB2002" s="143">
        <f t="shared" si="913"/>
        <v>1</v>
      </c>
      <c r="AC2002" s="133">
        <f t="shared" si="914"/>
        <v>1</v>
      </c>
      <c r="AD2002" s="142">
        <v>1</v>
      </c>
      <c r="AE2002" s="141"/>
      <c r="AF2002" s="121" t="s">
        <v>293</v>
      </c>
      <c r="AG2002" s="146">
        <f>VLOOKUP(Takeoffs!AF2002,Sheet1!$B$6:$C$124,2,FALSE)</f>
        <v>0</v>
      </c>
      <c r="AH2002" s="146">
        <f t="shared" si="915"/>
        <v>0</v>
      </c>
      <c r="AI2002" s="143">
        <f t="shared" si="916"/>
        <v>0</v>
      </c>
      <c r="AJ2002" s="133">
        <f t="shared" si="917"/>
        <v>1</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1</v>
      </c>
      <c r="T2003" s="120"/>
      <c r="U2003" s="121" t="s">
        <v>293</v>
      </c>
      <c r="V2003" s="133">
        <f t="shared" si="911"/>
        <v>1</v>
      </c>
      <c r="W2003" s="133">
        <f>VLOOKUP(U2003,Sheet1!$B$6:$C$45,2,FALSE)*V2003</f>
        <v>0</v>
      </c>
      <c r="X2003" s="141"/>
      <c r="Y2003" s="135" t="s">
        <v>245</v>
      </c>
      <c r="Z2003" s="146">
        <f>VLOOKUP(Takeoffs!Y2003,Sheet1!$B$6:$C$124,2,FALSE)</f>
        <v>46.463999999999999</v>
      </c>
      <c r="AA2003" s="146">
        <f t="shared" si="912"/>
        <v>46.463999999999999</v>
      </c>
      <c r="AB2003" s="143">
        <f t="shared" si="913"/>
        <v>1</v>
      </c>
      <c r="AC2003" s="133">
        <f t="shared" si="914"/>
        <v>1</v>
      </c>
      <c r="AD2003" s="142">
        <v>1</v>
      </c>
      <c r="AE2003" s="141"/>
      <c r="AF2003" s="121" t="s">
        <v>293</v>
      </c>
      <c r="AG2003" s="146">
        <f>VLOOKUP(Takeoffs!AF2003,Sheet1!$B$6:$C$124,2,FALSE)</f>
        <v>0</v>
      </c>
      <c r="AH2003" s="146">
        <f t="shared" si="915"/>
        <v>0</v>
      </c>
      <c r="AI2003" s="143">
        <f t="shared" si="916"/>
        <v>0</v>
      </c>
      <c r="AJ2003" s="133">
        <f t="shared" si="917"/>
        <v>1</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1</v>
      </c>
      <c r="T2004" s="120"/>
      <c r="U2004" s="121" t="s">
        <v>293</v>
      </c>
      <c r="V2004" s="133">
        <f t="shared" si="911"/>
        <v>1</v>
      </c>
      <c r="W2004" s="133">
        <f>VLOOKUP(U2004,Sheet1!$B$6:$C$45,2,FALSE)*V2004</f>
        <v>0</v>
      </c>
      <c r="X2004" s="141"/>
      <c r="Y2004" s="121" t="s">
        <v>293</v>
      </c>
      <c r="Z2004" s="146">
        <f>VLOOKUP(Takeoffs!Y2004,Sheet1!$B$6:$C$124,2,FALSE)</f>
        <v>0</v>
      </c>
      <c r="AA2004" s="146">
        <f t="shared" si="912"/>
        <v>0</v>
      </c>
      <c r="AB2004" s="143">
        <f t="shared" si="913"/>
        <v>1</v>
      </c>
      <c r="AC2004" s="133">
        <f t="shared" si="914"/>
        <v>1</v>
      </c>
      <c r="AD2004" s="142">
        <v>1</v>
      </c>
      <c r="AE2004" s="141"/>
      <c r="AF2004" s="121" t="s">
        <v>293</v>
      </c>
      <c r="AG2004" s="146">
        <f>VLOOKUP(Takeoffs!AF2004,Sheet1!$B$6:$C$124,2,FALSE)</f>
        <v>0</v>
      </c>
      <c r="AH2004" s="146">
        <f t="shared" si="915"/>
        <v>0</v>
      </c>
      <c r="AI2004" s="143">
        <f t="shared" si="916"/>
        <v>0</v>
      </c>
      <c r="AJ2004" s="133">
        <f t="shared" si="917"/>
        <v>1</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596</v>
      </c>
      <c r="Q2005" s="66" t="s">
        <v>472</v>
      </c>
      <c r="R2005" s="121"/>
      <c r="S2005" s="133">
        <f>M1997</f>
        <v>1</v>
      </c>
      <c r="T2005" s="120"/>
      <c r="U2005" s="121" t="s">
        <v>293</v>
      </c>
      <c r="V2005" s="133">
        <f t="shared" si="911"/>
        <v>1</v>
      </c>
      <c r="W2005" s="133">
        <f>VLOOKUP(U2005,Sheet1!$B$6:$C$45,2,FALSE)*V2005</f>
        <v>0</v>
      </c>
      <c r="X2005" s="141"/>
      <c r="Y2005" s="121" t="s">
        <v>274</v>
      </c>
      <c r="Z2005" s="146">
        <f>VLOOKUP(Takeoffs!Y2005,Sheet1!$B$6:$C$124,2,FALSE)</f>
        <v>360</v>
      </c>
      <c r="AA2005" s="146">
        <f t="shared" si="912"/>
        <v>360</v>
      </c>
      <c r="AB2005" s="143">
        <f t="shared" si="913"/>
        <v>1</v>
      </c>
      <c r="AC2005" s="133">
        <f t="shared" si="914"/>
        <v>1</v>
      </c>
      <c r="AD2005" s="142">
        <v>1</v>
      </c>
      <c r="AE2005" s="141"/>
      <c r="AF2005" s="121" t="s">
        <v>293</v>
      </c>
      <c r="AG2005" s="146">
        <f>VLOOKUP(Takeoffs!AF2005,Sheet1!$B$6:$C$124,2,FALSE)</f>
        <v>0</v>
      </c>
      <c r="AH2005" s="146">
        <f t="shared" si="915"/>
        <v>0</v>
      </c>
      <c r="AI2005" s="143">
        <f t="shared" si="916"/>
        <v>0</v>
      </c>
      <c r="AJ2005" s="133">
        <f t="shared" si="917"/>
        <v>1</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1</v>
      </c>
      <c r="T2006" s="120"/>
      <c r="U2006" s="121" t="s">
        <v>293</v>
      </c>
      <c r="V2006" s="133">
        <f t="shared" si="911"/>
        <v>1</v>
      </c>
      <c r="W2006" s="133">
        <f>VLOOKUP(U2006,Sheet1!$B$6:$C$45,2,FALSE)*V2006</f>
        <v>0</v>
      </c>
      <c r="X2006" s="141"/>
      <c r="Y2006" s="121" t="s">
        <v>293</v>
      </c>
      <c r="Z2006" s="146">
        <f>VLOOKUP(Takeoffs!Y2006,Sheet1!$B$6:$C$124,2,FALSE)</f>
        <v>0</v>
      </c>
      <c r="AA2006" s="146">
        <f t="shared" si="912"/>
        <v>0</v>
      </c>
      <c r="AB2006" s="143">
        <f t="shared" si="913"/>
        <v>1</v>
      </c>
      <c r="AC2006" s="133">
        <f t="shared" si="914"/>
        <v>1</v>
      </c>
      <c r="AD2006" s="142">
        <v>1</v>
      </c>
      <c r="AE2006" s="141"/>
      <c r="AF2006" s="121" t="s">
        <v>293</v>
      </c>
      <c r="AG2006" s="146">
        <f>VLOOKUP(Takeoffs!AF2006,Sheet1!$B$6:$C$124,2,FALSE)</f>
        <v>0</v>
      </c>
      <c r="AH2006" s="146">
        <f t="shared" si="915"/>
        <v>0</v>
      </c>
      <c r="AI2006" s="143">
        <f t="shared" si="916"/>
        <v>0</v>
      </c>
      <c r="AJ2006" s="133">
        <f t="shared" si="917"/>
        <v>1</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504</v>
      </c>
      <c r="P2007" s="121" t="s">
        <v>474</v>
      </c>
      <c r="Q2007" s="66"/>
      <c r="R2007" s="121"/>
      <c r="S2007" s="133">
        <f>M1997</f>
        <v>1</v>
      </c>
      <c r="T2007" s="120"/>
      <c r="U2007" s="117" t="s">
        <v>365</v>
      </c>
      <c r="V2007" s="133">
        <f t="shared" si="911"/>
        <v>1</v>
      </c>
      <c r="W2007" s="133">
        <f>VLOOKUP(U2007,Sheet1!$B$6:$C$45,2,FALSE)*V2007</f>
        <v>1</v>
      </c>
      <c r="X2007" s="141"/>
      <c r="Y2007" s="121" t="s">
        <v>293</v>
      </c>
      <c r="Z2007" s="146">
        <f>VLOOKUP(Takeoffs!Y2007,Sheet1!$B$6:$C$124,2,FALSE)</f>
        <v>0</v>
      </c>
      <c r="AA2007" s="146">
        <f t="shared" si="912"/>
        <v>0</v>
      </c>
      <c r="AB2007" s="143">
        <f t="shared" si="913"/>
        <v>3</v>
      </c>
      <c r="AC2007" s="133">
        <f t="shared" si="914"/>
        <v>1</v>
      </c>
      <c r="AD2007" s="142">
        <v>3</v>
      </c>
      <c r="AE2007" s="141"/>
      <c r="AF2007" s="121" t="s">
        <v>293</v>
      </c>
      <c r="AG2007" s="146">
        <f>VLOOKUP(Takeoffs!AF2007,Sheet1!$B$6:$C$124,2,FALSE)</f>
        <v>0</v>
      </c>
      <c r="AH2007" s="146">
        <f t="shared" si="915"/>
        <v>0</v>
      </c>
      <c r="AI2007" s="143">
        <f t="shared" si="916"/>
        <v>0</v>
      </c>
      <c r="AJ2007" s="133">
        <f t="shared" si="917"/>
        <v>1</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505</v>
      </c>
      <c r="P2008" s="121"/>
      <c r="Q2008" s="66"/>
      <c r="R2008" s="121"/>
      <c r="S2008" s="133">
        <f>M1997</f>
        <v>1</v>
      </c>
      <c r="T2008" s="120"/>
      <c r="U2008" s="117" t="s">
        <v>365</v>
      </c>
      <c r="V2008" s="133">
        <f t="shared" si="911"/>
        <v>1</v>
      </c>
      <c r="W2008" s="133">
        <f>VLOOKUP(U2008,Sheet1!$B$6:$C$45,2,FALSE)*V2008</f>
        <v>1</v>
      </c>
      <c r="X2008" s="141"/>
      <c r="Y2008" s="121" t="s">
        <v>293</v>
      </c>
      <c r="Z2008" s="146">
        <f>VLOOKUP(Takeoffs!Y2008,Sheet1!$B$6:$C$124,2,FALSE)</f>
        <v>0</v>
      </c>
      <c r="AA2008" s="146">
        <f t="shared" si="912"/>
        <v>0</v>
      </c>
      <c r="AB2008" s="143">
        <f t="shared" si="913"/>
        <v>1</v>
      </c>
      <c r="AC2008" s="133">
        <f t="shared" si="914"/>
        <v>1</v>
      </c>
      <c r="AD2008" s="142">
        <v>1</v>
      </c>
      <c r="AE2008" s="141"/>
      <c r="AF2008" s="121" t="s">
        <v>293</v>
      </c>
      <c r="AG2008" s="146">
        <f>VLOOKUP(Takeoffs!AF2008,Sheet1!$B$6:$C$124,2,FALSE)</f>
        <v>0</v>
      </c>
      <c r="AH2008" s="146">
        <f t="shared" si="915"/>
        <v>0</v>
      </c>
      <c r="AI2008" s="143">
        <f t="shared" si="916"/>
        <v>0</v>
      </c>
      <c r="AJ2008" s="133">
        <f t="shared" si="917"/>
        <v>1</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1</v>
      </c>
      <c r="T2009" s="120"/>
      <c r="U2009" s="121" t="s">
        <v>293</v>
      </c>
      <c r="V2009" s="133">
        <f t="shared" si="911"/>
        <v>1</v>
      </c>
      <c r="W2009" s="133">
        <f>VLOOKUP(U2009,Sheet1!$B$6:$C$45,2,FALSE)*V2009</f>
        <v>0</v>
      </c>
      <c r="X2009" s="141"/>
      <c r="Y2009" s="121" t="s">
        <v>293</v>
      </c>
      <c r="Z2009" s="146">
        <f>VLOOKUP(Takeoffs!Y2009,Sheet1!$B$6:$C$124,2,FALSE)</f>
        <v>0</v>
      </c>
      <c r="AA2009" s="146">
        <f t="shared" si="912"/>
        <v>0</v>
      </c>
      <c r="AB2009" s="143">
        <f t="shared" si="913"/>
        <v>1</v>
      </c>
      <c r="AC2009" s="133">
        <f t="shared" si="914"/>
        <v>1</v>
      </c>
      <c r="AD2009" s="142">
        <v>1</v>
      </c>
      <c r="AE2009" s="141"/>
      <c r="AF2009" s="144" t="s">
        <v>269</v>
      </c>
      <c r="AG2009" s="146">
        <f>VLOOKUP(Takeoffs!AF2009,Sheet1!$B$6:$C$124,2,FALSE)</f>
        <v>1.056</v>
      </c>
      <c r="AH2009" s="146">
        <f t="shared" si="915"/>
        <v>21.12</v>
      </c>
      <c r="AI2009" s="143">
        <f t="shared" si="916"/>
        <v>20</v>
      </c>
      <c r="AJ2009" s="133">
        <f t="shared" si="917"/>
        <v>1</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476</v>
      </c>
      <c r="P2010" s="121"/>
      <c r="Q2010" s="66"/>
      <c r="R2010" s="121"/>
      <c r="S2010" s="133">
        <f>M1997</f>
        <v>1</v>
      </c>
      <c r="T2010" s="120"/>
      <c r="U2010" s="135" t="s">
        <v>232</v>
      </c>
      <c r="V2010" s="133">
        <f t="shared" si="911"/>
        <v>1</v>
      </c>
      <c r="W2010" s="133">
        <f>VLOOKUP(U2010,Sheet1!$B$6:$C$45,2,FALSE)*V2010</f>
        <v>1</v>
      </c>
      <c r="X2010" s="141"/>
      <c r="Y2010" s="122" t="s">
        <v>281</v>
      </c>
      <c r="Z2010" s="146">
        <f>VLOOKUP(Takeoffs!Y2010,Sheet1!$B$6:$C$124,2,FALSE)</f>
        <v>109.25999999999999</v>
      </c>
      <c r="AA2010" s="146">
        <f t="shared" si="912"/>
        <v>109.25999999999999</v>
      </c>
      <c r="AB2010" s="143">
        <f t="shared" si="913"/>
        <v>1</v>
      </c>
      <c r="AC2010" s="133">
        <f t="shared" si="914"/>
        <v>1</v>
      </c>
      <c r="AD2010" s="142">
        <v>1</v>
      </c>
      <c r="AE2010" s="141"/>
      <c r="AF2010" s="121" t="s">
        <v>293</v>
      </c>
      <c r="AG2010" s="146">
        <f>VLOOKUP(Takeoffs!AF2010,Sheet1!$B$6:$C$124,2,FALSE)</f>
        <v>0</v>
      </c>
      <c r="AH2010" s="146">
        <f t="shared" si="915"/>
        <v>0</v>
      </c>
      <c r="AI2010" s="143">
        <f t="shared" si="916"/>
        <v>0</v>
      </c>
      <c r="AJ2010" s="133">
        <f t="shared" si="917"/>
        <v>1</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473</v>
      </c>
      <c r="P2011" s="121"/>
      <c r="Q2011" s="66"/>
      <c r="R2011" s="121"/>
      <c r="S2011" s="133">
        <f>M1997</f>
        <v>1</v>
      </c>
      <c r="T2011" s="120"/>
      <c r="U2011" s="121" t="s">
        <v>293</v>
      </c>
      <c r="V2011" s="133">
        <f t="shared" si="911"/>
        <v>1</v>
      </c>
      <c r="W2011" s="133">
        <f>VLOOKUP(U2011,Sheet1!$B$6:$C$45,2,FALSE)*V2011</f>
        <v>0</v>
      </c>
      <c r="X2011" s="141"/>
      <c r="Y2011" s="121" t="s">
        <v>293</v>
      </c>
      <c r="Z2011" s="146">
        <f>VLOOKUP(Takeoffs!Y2011,Sheet1!$B$6:$C$124,2,FALSE)</f>
        <v>0</v>
      </c>
      <c r="AA2011" s="146">
        <f t="shared" si="912"/>
        <v>0</v>
      </c>
      <c r="AB2011" s="143">
        <f t="shared" si="913"/>
        <v>1</v>
      </c>
      <c r="AC2011" s="133">
        <f t="shared" si="914"/>
        <v>1</v>
      </c>
      <c r="AD2011" s="142">
        <v>1</v>
      </c>
      <c r="AE2011" s="141"/>
      <c r="AF2011" s="121" t="s">
        <v>293</v>
      </c>
      <c r="AG2011" s="146">
        <f>VLOOKUP(Takeoffs!AF2011,Sheet1!$B$6:$C$124,2,FALSE)</f>
        <v>0</v>
      </c>
      <c r="AH2011" s="146">
        <f t="shared" si="915"/>
        <v>0</v>
      </c>
      <c r="AI2011" s="143">
        <f t="shared" si="916"/>
        <v>0</v>
      </c>
      <c r="AJ2011" s="133">
        <f t="shared" si="917"/>
        <v>1</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1</v>
      </c>
      <c r="T2012" s="120"/>
      <c r="U2012" s="121" t="s">
        <v>293</v>
      </c>
      <c r="V2012" s="133">
        <f t="shared" si="911"/>
        <v>1</v>
      </c>
      <c r="W2012" s="133">
        <f>VLOOKUP(U2012,Sheet1!$B$6:$C$45,2,FALSE)*V2012</f>
        <v>0</v>
      </c>
      <c r="X2012" s="141"/>
      <c r="Y2012" s="121" t="s">
        <v>293</v>
      </c>
      <c r="Z2012" s="146">
        <f>VLOOKUP(Takeoffs!Y2012,Sheet1!$B$6:$C$124,2,FALSE)</f>
        <v>0</v>
      </c>
      <c r="AA2012" s="146">
        <f t="shared" si="912"/>
        <v>0</v>
      </c>
      <c r="AB2012" s="143">
        <f t="shared" si="913"/>
        <v>1</v>
      </c>
      <c r="AC2012" s="133">
        <f t="shared" si="914"/>
        <v>1</v>
      </c>
      <c r="AD2012" s="142">
        <v>1</v>
      </c>
      <c r="AE2012" s="141"/>
      <c r="AF2012" s="121" t="s">
        <v>293</v>
      </c>
      <c r="AG2012" s="146">
        <f>VLOOKUP(Takeoffs!AF2012,Sheet1!$B$6:$C$124,2,FALSE)</f>
        <v>0</v>
      </c>
      <c r="AH2012" s="146">
        <f t="shared" si="915"/>
        <v>0</v>
      </c>
      <c r="AI2012" s="143">
        <f t="shared" si="916"/>
        <v>0</v>
      </c>
      <c r="AJ2012" s="133">
        <f t="shared" si="917"/>
        <v>1</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477</v>
      </c>
      <c r="P2013" s="121" t="s">
        <v>596</v>
      </c>
      <c r="Q2013" s="66" t="s">
        <v>633</v>
      </c>
      <c r="R2013" s="121"/>
      <c r="S2013" s="133">
        <f>M1997</f>
        <v>1</v>
      </c>
      <c r="T2013" s="120"/>
      <c r="U2013" s="121" t="s">
        <v>293</v>
      </c>
      <c r="V2013" s="133">
        <f t="shared" si="911"/>
        <v>1</v>
      </c>
      <c r="W2013" s="133">
        <f>VLOOKUP(U2013,Sheet1!$B$6:$C$45,2,FALSE)*V2013</f>
        <v>0</v>
      </c>
      <c r="X2013" s="141"/>
      <c r="Y2013" s="122" t="s">
        <v>280</v>
      </c>
      <c r="Z2013" s="146">
        <f>VLOOKUP(Takeoffs!Y2013,Sheet1!$B$6:$C$124,2,FALSE)</f>
        <v>19.2</v>
      </c>
      <c r="AA2013" s="146">
        <f t="shared" si="912"/>
        <v>19.2</v>
      </c>
      <c r="AB2013" s="143">
        <f t="shared" si="913"/>
        <v>1</v>
      </c>
      <c r="AC2013" s="133">
        <f t="shared" si="914"/>
        <v>1</v>
      </c>
      <c r="AD2013" s="142">
        <v>1</v>
      </c>
      <c r="AE2013" s="141"/>
      <c r="AF2013" s="121" t="s">
        <v>293</v>
      </c>
      <c r="AG2013" s="146">
        <f>VLOOKUP(Takeoffs!AF2013,Sheet1!$B$6:$C$124,2,FALSE)</f>
        <v>0</v>
      </c>
      <c r="AH2013" s="146">
        <f t="shared" si="915"/>
        <v>0</v>
      </c>
      <c r="AI2013" s="143">
        <f t="shared" si="916"/>
        <v>0</v>
      </c>
      <c r="AJ2013" s="133">
        <f t="shared" si="917"/>
        <v>1</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506</v>
      </c>
      <c r="P2014" s="121" t="s">
        <v>474</v>
      </c>
      <c r="Q2014" s="66" t="s">
        <v>634</v>
      </c>
      <c r="R2014" s="121"/>
      <c r="S2014" s="133">
        <f>M1997</f>
        <v>1</v>
      </c>
      <c r="T2014" s="120"/>
      <c r="U2014" s="121" t="s">
        <v>293</v>
      </c>
      <c r="V2014" s="133">
        <f t="shared" si="911"/>
        <v>1</v>
      </c>
      <c r="W2014" s="133">
        <f>VLOOKUP(U2014,Sheet1!$B$6:$C$45,2,FALSE)*V2014</f>
        <v>0</v>
      </c>
      <c r="X2014" s="141"/>
      <c r="Y2014" s="121" t="s">
        <v>293</v>
      </c>
      <c r="Z2014" s="146">
        <f>VLOOKUP(Takeoffs!Y2014,Sheet1!$B$6:$C$124,2,FALSE)</f>
        <v>0</v>
      </c>
      <c r="AA2014" s="146">
        <f t="shared" si="912"/>
        <v>0</v>
      </c>
      <c r="AB2014" s="143">
        <f t="shared" si="913"/>
        <v>1</v>
      </c>
      <c r="AC2014" s="133">
        <f t="shared" si="914"/>
        <v>1</v>
      </c>
      <c r="AD2014" s="142">
        <v>1</v>
      </c>
      <c r="AE2014" s="141"/>
      <c r="AF2014" s="121" t="s">
        <v>293</v>
      </c>
      <c r="AG2014" s="146">
        <f>VLOOKUP(Takeoffs!AF2014,Sheet1!$B$6:$C$124,2,FALSE)</f>
        <v>0</v>
      </c>
      <c r="AH2014" s="146">
        <f t="shared" si="915"/>
        <v>0</v>
      </c>
      <c r="AI2014" s="143">
        <f t="shared" si="916"/>
        <v>0</v>
      </c>
      <c r="AJ2014" s="133">
        <f t="shared" si="917"/>
        <v>1</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1</v>
      </c>
      <c r="T2015" s="120"/>
      <c r="U2015" s="121" t="s">
        <v>293</v>
      </c>
      <c r="V2015" s="133">
        <f t="shared" si="911"/>
        <v>1</v>
      </c>
      <c r="W2015" s="133">
        <f>VLOOKUP(U2015,Sheet1!$B$6:$C$45,2,FALSE)*V2015</f>
        <v>0</v>
      </c>
      <c r="X2015" s="141"/>
      <c r="Y2015" s="121" t="s">
        <v>293</v>
      </c>
      <c r="Z2015" s="146">
        <f>VLOOKUP(Takeoffs!Y2015,Sheet1!$B$6:$C$124,2,FALSE)</f>
        <v>0</v>
      </c>
      <c r="AA2015" s="146">
        <f t="shared" si="912"/>
        <v>0</v>
      </c>
      <c r="AB2015" s="143">
        <f t="shared" si="913"/>
        <v>1</v>
      </c>
      <c r="AC2015" s="133">
        <f t="shared" si="914"/>
        <v>1</v>
      </c>
      <c r="AD2015" s="142">
        <v>1</v>
      </c>
      <c r="AE2015" s="141"/>
      <c r="AF2015" s="121" t="s">
        <v>293</v>
      </c>
      <c r="AG2015" s="146">
        <f>VLOOKUP(Takeoffs!AF2015,Sheet1!$B$6:$C$124,2,FALSE)</f>
        <v>0</v>
      </c>
      <c r="AH2015" s="146">
        <f t="shared" si="915"/>
        <v>0</v>
      </c>
      <c r="AI2015" s="143">
        <f t="shared" si="916"/>
        <v>0</v>
      </c>
      <c r="AJ2015" s="133">
        <f t="shared" si="917"/>
        <v>1</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599</v>
      </c>
      <c r="P2016" s="121" t="s">
        <v>382</v>
      </c>
      <c r="Q2016" s="66" t="s">
        <v>635</v>
      </c>
      <c r="R2016" s="121"/>
      <c r="S2016" s="133">
        <f>M1997</f>
        <v>1</v>
      </c>
      <c r="T2016" s="120"/>
      <c r="U2016" s="121" t="s">
        <v>293</v>
      </c>
      <c r="V2016" s="133">
        <f t="shared" si="911"/>
        <v>1</v>
      </c>
      <c r="W2016" s="133">
        <f>VLOOKUP(U2016,Sheet1!$B$6:$C$45,2,FALSE)*V2016</f>
        <v>0</v>
      </c>
      <c r="X2016" s="141"/>
      <c r="Y2016" s="122" t="s">
        <v>324</v>
      </c>
      <c r="Z2016" s="146">
        <f>VLOOKUP(Takeoffs!Y2016,Sheet1!$B$6:$C$124,2,FALSE)</f>
        <v>48</v>
      </c>
      <c r="AA2016" s="146">
        <f t="shared" si="912"/>
        <v>48</v>
      </c>
      <c r="AB2016" s="143">
        <f t="shared" si="913"/>
        <v>1</v>
      </c>
      <c r="AC2016" s="133">
        <f t="shared" si="914"/>
        <v>1</v>
      </c>
      <c r="AD2016" s="142">
        <v>1</v>
      </c>
      <c r="AE2016" s="141"/>
      <c r="AF2016" s="121" t="s">
        <v>293</v>
      </c>
      <c r="AG2016" s="146">
        <f>VLOOKUP(Takeoffs!AF2016,Sheet1!$B$6:$C$124,2,FALSE)</f>
        <v>0</v>
      </c>
      <c r="AH2016" s="146">
        <f t="shared" si="915"/>
        <v>0</v>
      </c>
      <c r="AI2016" s="143">
        <f t="shared" si="916"/>
        <v>0</v>
      </c>
      <c r="AJ2016" s="133">
        <f t="shared" si="917"/>
        <v>1</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600</v>
      </c>
      <c r="P2017" s="121"/>
      <c r="Q2017" s="66">
        <v>0</v>
      </c>
      <c r="R2017" s="121"/>
      <c r="S2017" s="133">
        <f>M1997</f>
        <v>1</v>
      </c>
      <c r="T2017" s="120"/>
      <c r="U2017" s="121" t="s">
        <v>293</v>
      </c>
      <c r="V2017" s="133">
        <f t="shared" si="911"/>
        <v>1</v>
      </c>
      <c r="W2017" s="133">
        <f>VLOOKUP(U2017,Sheet1!$B$6:$C$45,2,FALSE)*V2017</f>
        <v>0</v>
      </c>
      <c r="X2017" s="141"/>
      <c r="Y2017" s="121" t="s">
        <v>293</v>
      </c>
      <c r="Z2017" s="146">
        <f>VLOOKUP(Takeoffs!Y2017,Sheet1!$B$6:$C$124,2,FALSE)</f>
        <v>0</v>
      </c>
      <c r="AA2017" s="146">
        <f t="shared" si="912"/>
        <v>0</v>
      </c>
      <c r="AB2017" s="143">
        <f t="shared" si="913"/>
        <v>1</v>
      </c>
      <c r="AC2017" s="133">
        <f t="shared" si="914"/>
        <v>1</v>
      </c>
      <c r="AD2017" s="142">
        <v>1</v>
      </c>
      <c r="AE2017" s="141"/>
      <c r="AF2017" s="121" t="s">
        <v>293</v>
      </c>
      <c r="AG2017" s="146">
        <f>VLOOKUP(Takeoffs!AF2017,Sheet1!$B$6:$C$124,2,FALSE)</f>
        <v>0</v>
      </c>
      <c r="AH2017" s="146">
        <f t="shared" si="915"/>
        <v>0</v>
      </c>
      <c r="AI2017" s="143">
        <f t="shared" si="916"/>
        <v>0</v>
      </c>
      <c r="AJ2017" s="133">
        <f t="shared" si="917"/>
        <v>1</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379</v>
      </c>
      <c r="L2018" s="128" t="s">
        <v>380</v>
      </c>
      <c r="N2018" s="129"/>
      <c r="O2018" s="130" t="s">
        <v>359</v>
      </c>
      <c r="P2018" s="155">
        <f>V2018+AA2018+AH2018</f>
        <v>957.08400000000006</v>
      </c>
      <c r="Q2018" s="155"/>
      <c r="R2018" s="131"/>
      <c r="S2018" s="130"/>
      <c r="T2018" s="127"/>
      <c r="U2018" s="126" t="s">
        <v>353</v>
      </c>
      <c r="V2018" s="127">
        <f>W2018*80</f>
        <v>240</v>
      </c>
      <c r="W2018" s="147">
        <f>SUM(W1997:W2017)</f>
        <v>3</v>
      </c>
      <c r="X2018" s="148"/>
      <c r="Y2018" s="127" t="s">
        <v>354</v>
      </c>
      <c r="Z2018" s="116"/>
      <c r="AA2018" s="116">
        <f>SUM(AA1997:AA2017)</f>
        <v>626.36400000000003</v>
      </c>
      <c r="AB2018" s="149"/>
      <c r="AC2018" s="149"/>
      <c r="AD2018" s="149"/>
      <c r="AE2018" s="149"/>
      <c r="AF2018" s="127" t="s">
        <v>358</v>
      </c>
      <c r="AG2018" s="116"/>
      <c r="AH2018" s="116">
        <f>SUM(AH1997:AH2017)</f>
        <v>90.72</v>
      </c>
      <c r="AI2018" s="149"/>
      <c r="AJ2018" s="149"/>
      <c r="AK2018" s="149"/>
      <c r="AL2018" s="149"/>
      <c r="AM2018" s="150">
        <f>P2018</f>
        <v>957.08400000000006</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494</v>
      </c>
      <c r="C2019" s="217" t="str">
        <f>N1997</f>
        <v>Electric Duct Heater ( 3 phase -Exclude Field cabling, SSRs and HPT)</v>
      </c>
      <c r="D2019" s="260" t="s">
        <v>681</v>
      </c>
      <c r="E2019" s="238"/>
      <c r="F2019" s="217"/>
      <c r="G2019" s="217"/>
      <c r="H2019" s="245"/>
      <c r="I2019" s="270">
        <v>1</v>
      </c>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one (1)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957.08400000000006</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369</v>
      </c>
      <c r="N2019" s="160" t="str">
        <f>N1997</f>
        <v>Electric Duct Heater ( 3 phase -Exclude Field cabling, SSRs and HPT)</v>
      </c>
      <c r="O2019" s="185" t="s">
        <v>367</v>
      </c>
      <c r="P2019" s="203">
        <f>P2018/M1997</f>
        <v>957.08400000000006</v>
      </c>
      <c r="Q2019" s="195"/>
      <c r="R2019" s="188"/>
      <c r="S2019" s="160"/>
      <c r="T2019" s="161"/>
      <c r="U2019" s="327" t="s">
        <v>368</v>
      </c>
      <c r="V2019" s="327"/>
      <c r="W2019" s="162">
        <f>W2018/M1997</f>
        <v>3</v>
      </c>
      <c r="X2019" s="163"/>
      <c r="Y2019" s="325" t="s">
        <v>367</v>
      </c>
      <c r="Z2019" s="325"/>
      <c r="AA2019" s="164">
        <f>AA2018/M1997</f>
        <v>626.36400000000003</v>
      </c>
      <c r="AB2019" s="161"/>
      <c r="AC2019" s="161"/>
      <c r="AD2019" s="161"/>
      <c r="AE2019" s="161"/>
      <c r="AF2019" s="325" t="s">
        <v>367</v>
      </c>
      <c r="AG2019" s="325"/>
      <c r="AH2019" s="164">
        <f>AH2018/M1997</f>
        <v>90.72</v>
      </c>
      <c r="AI2019" s="161"/>
      <c r="AJ2019" s="161"/>
      <c r="AK2019" s="161"/>
      <c r="AL2019" s="247"/>
      <c r="AM2019" s="257"/>
      <c r="AN2019" s="230">
        <f>K2019*1.25</f>
        <v>1196.355</v>
      </c>
      <c r="AO2019" s="286"/>
      <c r="AP2019" s="284">
        <f t="shared" si="920"/>
        <v>957.08400000000006</v>
      </c>
      <c r="AQ2019" s="281">
        <f t="shared" si="921"/>
        <v>240</v>
      </c>
      <c r="AR2019" s="284">
        <f t="shared" si="922"/>
        <v>626.36400000000003</v>
      </c>
      <c r="AS2019" s="281">
        <f t="shared" si="923"/>
        <v>90.72</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5">
      <c r="A2020" s="262">
        <f>ROW()</f>
        <v>2020</v>
      </c>
      <c r="C2020" s="211"/>
      <c r="D2020" s="211"/>
      <c r="E2020" s="211"/>
      <c r="F2020" s="211"/>
      <c r="G2020" s="211"/>
      <c r="H2020" s="211"/>
      <c r="K2020" s="116" t="s">
        <v>454</v>
      </c>
      <c r="M2020" s="116" t="s">
        <v>107</v>
      </c>
      <c r="N2020" s="116" t="s">
        <v>108</v>
      </c>
      <c r="O2020" s="170" t="s">
        <v>388</v>
      </c>
      <c r="P2020" s="328" t="s">
        <v>377</v>
      </c>
      <c r="Q2020" s="328"/>
      <c r="R2020" s="101" t="s">
        <v>454</v>
      </c>
      <c r="S2020" s="116" t="s">
        <v>0</v>
      </c>
      <c r="T2020" s="118"/>
      <c r="U2020" s="116" t="s">
        <v>288</v>
      </c>
      <c r="V2020" s="116" t="s">
        <v>289</v>
      </c>
      <c r="W2020" s="116" t="s">
        <v>292</v>
      </c>
      <c r="X2020" s="140"/>
      <c r="Y2020" s="116" t="s">
        <v>290</v>
      </c>
      <c r="Z2020" s="116" t="s">
        <v>356</v>
      </c>
      <c r="AA2020" s="116" t="s">
        <v>357</v>
      </c>
      <c r="AB2020" s="116" t="s">
        <v>319</v>
      </c>
      <c r="AC2020" s="116" t="s">
        <v>320</v>
      </c>
      <c r="AD2020" s="116" t="s">
        <v>318</v>
      </c>
      <c r="AE2020" s="140"/>
      <c r="AF2020" s="116" t="s">
        <v>294</v>
      </c>
      <c r="AG2020" s="116" t="s">
        <v>356</v>
      </c>
      <c r="AH2020" s="116" t="s">
        <v>357</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5">
      <c r="A2021" s="262">
        <f>ROW()</f>
        <v>2021</v>
      </c>
      <c r="C2021" s="208"/>
      <c r="D2021" s="208"/>
      <c r="E2021" s="208"/>
      <c r="F2021" s="208"/>
      <c r="G2021" s="208"/>
      <c r="H2021" s="208"/>
      <c r="L2021" s="124" t="str">
        <f>VLOOKUP(M2021,Sheet2!$D$2:$E$1024,2,FALSE)</f>
        <v>one</v>
      </c>
      <c r="M2021" s="121">
        <f>I2043</f>
        <v>1</v>
      </c>
      <c r="N2021" s="132" t="s">
        <v>628</v>
      </c>
      <c r="O2021" s="121" t="s">
        <v>349</v>
      </c>
      <c r="P2021" s="169" t="s">
        <v>381</v>
      </c>
      <c r="Q2021" s="169" t="s">
        <v>377</v>
      </c>
      <c r="R2021" s="169"/>
      <c r="S2021" s="133">
        <f>M2021</f>
        <v>1</v>
      </c>
      <c r="T2021" s="119"/>
      <c r="U2021" s="153" t="s">
        <v>293</v>
      </c>
      <c r="V2021" s="133">
        <f>S2021</f>
        <v>1</v>
      </c>
      <c r="W2021" s="133">
        <f>VLOOKUP(U2021,Sheet1!$B$6:$C$45,2,FALSE)*V2021</f>
        <v>0</v>
      </c>
      <c r="X2021" s="141"/>
      <c r="Y2021" s="121" t="s">
        <v>293</v>
      </c>
      <c r="Z2021" s="146">
        <f>VLOOKUP(Takeoffs!Y2021,Sheet1!$B$6:$C$124,2,FALSE)</f>
        <v>0</v>
      </c>
      <c r="AA2021" s="146">
        <f>Z2021*AB2021</f>
        <v>0</v>
      </c>
      <c r="AB2021" s="143">
        <f>AD2021*AC2021</f>
        <v>1</v>
      </c>
      <c r="AC2021" s="133">
        <f>S2021</f>
        <v>1</v>
      </c>
      <c r="AD2021" s="142">
        <v>1</v>
      </c>
      <c r="AE2021" s="141"/>
      <c r="AF2021" s="121" t="s">
        <v>293</v>
      </c>
      <c r="AG2021" s="146">
        <f>VLOOKUP(Takeoffs!AF2021,Sheet1!$B$6:$C$124,2,FALSE)</f>
        <v>0</v>
      </c>
      <c r="AH2021" s="146">
        <f>AG2021*AI2021</f>
        <v>0</v>
      </c>
      <c r="AI2021" s="143">
        <f>AK2021*AJ2021</f>
        <v>0</v>
      </c>
      <c r="AJ2021" s="133">
        <f>S2021</f>
        <v>1</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1</v>
      </c>
      <c r="T2022" s="120"/>
      <c r="U2022" s="153" t="s">
        <v>293</v>
      </c>
      <c r="V2022" s="133">
        <f t="shared" ref="V2022:V2041" si="926">S2022</f>
        <v>1</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1</v>
      </c>
      <c r="AC2022" s="133">
        <f t="shared" ref="AC2022:AC2041" si="929">S2022</f>
        <v>1</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1</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1</v>
      </c>
      <c r="T2023" s="120"/>
      <c r="U2023" s="121" t="s">
        <v>293</v>
      </c>
      <c r="V2023" s="133">
        <f t="shared" si="926"/>
        <v>1</v>
      </c>
      <c r="W2023" s="133">
        <f>VLOOKUP(U2023,Sheet1!$B$6:$C$45,2,FALSE)*V2023</f>
        <v>0</v>
      </c>
      <c r="X2023" s="141"/>
      <c r="Y2023" s="135" t="s">
        <v>250</v>
      </c>
      <c r="Z2023" s="146">
        <f>VLOOKUP(Takeoffs!Y2023,Sheet1!$B$6:$C$124,2,FALSE)</f>
        <v>43.440000000000005</v>
      </c>
      <c r="AA2023" s="146">
        <f t="shared" si="927"/>
        <v>43.440000000000005</v>
      </c>
      <c r="AB2023" s="143">
        <f t="shared" si="928"/>
        <v>1</v>
      </c>
      <c r="AC2023" s="133">
        <f t="shared" si="929"/>
        <v>1</v>
      </c>
      <c r="AD2023" s="142">
        <v>1</v>
      </c>
      <c r="AE2023" s="141"/>
      <c r="AF2023" s="121" t="s">
        <v>293</v>
      </c>
      <c r="AG2023" s="146">
        <f>VLOOKUP(Takeoffs!AF2023,Sheet1!$B$6:$C$124,2,FALSE)</f>
        <v>0</v>
      </c>
      <c r="AH2023" s="146">
        <f t="shared" si="930"/>
        <v>0</v>
      </c>
      <c r="AI2023" s="143">
        <f t="shared" si="931"/>
        <v>0</v>
      </c>
      <c r="AJ2023" s="133">
        <f t="shared" si="932"/>
        <v>1</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629</v>
      </c>
      <c r="P2024" s="121"/>
      <c r="Q2024" s="66"/>
      <c r="R2024" s="121"/>
      <c r="S2024" s="133">
        <f>M2021</f>
        <v>1</v>
      </c>
      <c r="T2024" s="120"/>
      <c r="U2024" s="117" t="s">
        <v>481</v>
      </c>
      <c r="V2024" s="133">
        <f t="shared" si="926"/>
        <v>1</v>
      </c>
      <c r="W2024" s="133">
        <f>VLOOKUP(U2024,Sheet1!$B$6:$C$45,2,FALSE)*V2024</f>
        <v>2</v>
      </c>
      <c r="X2024" s="141"/>
      <c r="Y2024" s="121" t="s">
        <v>293</v>
      </c>
      <c r="Z2024" s="146">
        <f>VLOOKUP(Takeoffs!Y2024,Sheet1!$B$6:$C$124,2,FALSE)</f>
        <v>0</v>
      </c>
      <c r="AA2024" s="146">
        <f t="shared" si="927"/>
        <v>0</v>
      </c>
      <c r="AB2024" s="143">
        <f t="shared" si="928"/>
        <v>1</v>
      </c>
      <c r="AC2024" s="133">
        <f t="shared" si="929"/>
        <v>1</v>
      </c>
      <c r="AD2024" s="142">
        <v>1</v>
      </c>
      <c r="AE2024" s="141"/>
      <c r="AF2024" s="122" t="s">
        <v>267</v>
      </c>
      <c r="AG2024" s="146">
        <f>VLOOKUP(Takeoffs!AF2024,Sheet1!$B$6:$C$124,2,FALSE)</f>
        <v>3.48</v>
      </c>
      <c r="AH2024" s="146">
        <f t="shared" si="930"/>
        <v>69.599999999999994</v>
      </c>
      <c r="AI2024" s="143">
        <f t="shared" si="931"/>
        <v>20</v>
      </c>
      <c r="AJ2024" s="133">
        <f t="shared" si="932"/>
        <v>1</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1</v>
      </c>
      <c r="T2025" s="120"/>
      <c r="U2025" s="121" t="s">
        <v>293</v>
      </c>
      <c r="V2025" s="133">
        <f t="shared" si="926"/>
        <v>1</v>
      </c>
      <c r="W2025" s="133">
        <f>VLOOKUP(U2025,Sheet1!$B$6:$C$45,2,FALSE)*V2025</f>
        <v>0</v>
      </c>
      <c r="X2025" s="141"/>
      <c r="Y2025" s="121" t="s">
        <v>293</v>
      </c>
      <c r="Z2025" s="146">
        <f>VLOOKUP(Takeoffs!Y2025,Sheet1!$B$6:$C$124,2,FALSE)</f>
        <v>0</v>
      </c>
      <c r="AA2025" s="146">
        <f t="shared" si="927"/>
        <v>0</v>
      </c>
      <c r="AB2025" s="143">
        <f t="shared" si="928"/>
        <v>1</v>
      </c>
      <c r="AC2025" s="133">
        <f t="shared" si="929"/>
        <v>1</v>
      </c>
      <c r="AD2025" s="142">
        <v>1</v>
      </c>
      <c r="AE2025" s="141"/>
      <c r="AF2025" s="121" t="s">
        <v>293</v>
      </c>
      <c r="AG2025" s="146">
        <f>VLOOKUP(Takeoffs!AF2025,Sheet1!$B$6:$C$124,2,FALSE)</f>
        <v>0</v>
      </c>
      <c r="AH2025" s="146">
        <f t="shared" si="930"/>
        <v>0</v>
      </c>
      <c r="AI2025" s="143">
        <f t="shared" si="931"/>
        <v>0</v>
      </c>
      <c r="AJ2025" s="133">
        <f t="shared" si="932"/>
        <v>1</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1</v>
      </c>
      <c r="T2026" s="120"/>
      <c r="U2026" s="121" t="s">
        <v>293</v>
      </c>
      <c r="V2026" s="133">
        <f t="shared" si="926"/>
        <v>1</v>
      </c>
      <c r="W2026" s="133">
        <f>VLOOKUP(U2026,Sheet1!$B$6:$C$45,2,FALSE)*V2026</f>
        <v>0</v>
      </c>
      <c r="X2026" s="141"/>
      <c r="Y2026" s="121" t="s">
        <v>293</v>
      </c>
      <c r="Z2026" s="146">
        <f>VLOOKUP(Takeoffs!Y2026,Sheet1!$B$6:$C$124,2,FALSE)</f>
        <v>0</v>
      </c>
      <c r="AA2026" s="146">
        <f t="shared" si="927"/>
        <v>0</v>
      </c>
      <c r="AB2026" s="143">
        <f t="shared" si="928"/>
        <v>1</v>
      </c>
      <c r="AC2026" s="133">
        <f t="shared" si="929"/>
        <v>1</v>
      </c>
      <c r="AD2026" s="142">
        <v>1</v>
      </c>
      <c r="AE2026" s="141"/>
      <c r="AF2026" s="121" t="s">
        <v>293</v>
      </c>
      <c r="AG2026" s="146">
        <f>VLOOKUP(Takeoffs!AF2026,Sheet1!$B$6:$C$124,2,FALSE)</f>
        <v>0</v>
      </c>
      <c r="AH2026" s="146">
        <f t="shared" si="930"/>
        <v>0</v>
      </c>
      <c r="AI2026" s="143">
        <f t="shared" si="931"/>
        <v>0</v>
      </c>
      <c r="AJ2026" s="133">
        <f t="shared" si="932"/>
        <v>1</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1</v>
      </c>
      <c r="T2027" s="120"/>
      <c r="U2027" s="121" t="s">
        <v>293</v>
      </c>
      <c r="V2027" s="133">
        <f t="shared" si="926"/>
        <v>1</v>
      </c>
      <c r="W2027" s="133">
        <f>VLOOKUP(U2027,Sheet1!$B$6:$C$45,2,FALSE)*V2027</f>
        <v>0</v>
      </c>
      <c r="X2027" s="141"/>
      <c r="Y2027" s="135" t="s">
        <v>245</v>
      </c>
      <c r="Z2027" s="146">
        <f>VLOOKUP(Takeoffs!Y2027,Sheet1!$B$6:$C$124,2,FALSE)</f>
        <v>46.463999999999999</v>
      </c>
      <c r="AA2027" s="146">
        <f t="shared" si="927"/>
        <v>46.463999999999999</v>
      </c>
      <c r="AB2027" s="143">
        <f t="shared" si="928"/>
        <v>1</v>
      </c>
      <c r="AC2027" s="133">
        <f t="shared" si="929"/>
        <v>1</v>
      </c>
      <c r="AD2027" s="142">
        <v>1</v>
      </c>
      <c r="AE2027" s="141"/>
      <c r="AF2027" s="121" t="s">
        <v>293</v>
      </c>
      <c r="AG2027" s="146">
        <f>VLOOKUP(Takeoffs!AF2027,Sheet1!$B$6:$C$124,2,FALSE)</f>
        <v>0</v>
      </c>
      <c r="AH2027" s="146">
        <f t="shared" si="930"/>
        <v>0</v>
      </c>
      <c r="AI2027" s="143">
        <f t="shared" si="931"/>
        <v>0</v>
      </c>
      <c r="AJ2027" s="133">
        <f t="shared" si="932"/>
        <v>1</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1</v>
      </c>
      <c r="T2028" s="120"/>
      <c r="U2028" s="121" t="s">
        <v>293</v>
      </c>
      <c r="V2028" s="133">
        <f t="shared" si="926"/>
        <v>1</v>
      </c>
      <c r="W2028" s="133">
        <f>VLOOKUP(U2028,Sheet1!$B$6:$C$45,2,FALSE)*V2028</f>
        <v>0</v>
      </c>
      <c r="X2028" s="141"/>
      <c r="Y2028" s="121" t="s">
        <v>293</v>
      </c>
      <c r="Z2028" s="146">
        <f>VLOOKUP(Takeoffs!Y2028,Sheet1!$B$6:$C$124,2,FALSE)</f>
        <v>0</v>
      </c>
      <c r="AA2028" s="146">
        <f t="shared" si="927"/>
        <v>0</v>
      </c>
      <c r="AB2028" s="143">
        <f t="shared" si="928"/>
        <v>1</v>
      </c>
      <c r="AC2028" s="133">
        <f t="shared" si="929"/>
        <v>1</v>
      </c>
      <c r="AD2028" s="142">
        <v>1</v>
      </c>
      <c r="AE2028" s="141"/>
      <c r="AF2028" s="121" t="s">
        <v>293</v>
      </c>
      <c r="AG2028" s="146">
        <f>VLOOKUP(Takeoffs!AF2028,Sheet1!$B$6:$C$124,2,FALSE)</f>
        <v>0</v>
      </c>
      <c r="AH2028" s="146">
        <f t="shared" si="930"/>
        <v>0</v>
      </c>
      <c r="AI2028" s="143">
        <f t="shared" si="931"/>
        <v>0</v>
      </c>
      <c r="AJ2028" s="133">
        <f t="shared" si="932"/>
        <v>1</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596</v>
      </c>
      <c r="Q2029" s="66" t="s">
        <v>472</v>
      </c>
      <c r="R2029" s="121"/>
      <c r="S2029" s="133">
        <f>M2021</f>
        <v>1</v>
      </c>
      <c r="T2029" s="120"/>
      <c r="U2029" s="121" t="s">
        <v>293</v>
      </c>
      <c r="V2029" s="133">
        <f t="shared" si="926"/>
        <v>1</v>
      </c>
      <c r="W2029" s="133">
        <f>VLOOKUP(U2029,Sheet1!$B$6:$C$45,2,FALSE)*V2029</f>
        <v>0</v>
      </c>
      <c r="X2029" s="141"/>
      <c r="Y2029" s="121" t="s">
        <v>274</v>
      </c>
      <c r="Z2029" s="146">
        <f>VLOOKUP(Takeoffs!Y2029,Sheet1!$B$6:$C$124,2,FALSE)</f>
        <v>360</v>
      </c>
      <c r="AA2029" s="146">
        <f t="shared" si="927"/>
        <v>360</v>
      </c>
      <c r="AB2029" s="143">
        <f t="shared" si="928"/>
        <v>1</v>
      </c>
      <c r="AC2029" s="133">
        <f t="shared" si="929"/>
        <v>1</v>
      </c>
      <c r="AD2029" s="142">
        <v>1</v>
      </c>
      <c r="AE2029" s="141"/>
      <c r="AF2029" s="121" t="s">
        <v>293</v>
      </c>
      <c r="AG2029" s="146">
        <f>VLOOKUP(Takeoffs!AF2029,Sheet1!$B$6:$C$124,2,FALSE)</f>
        <v>0</v>
      </c>
      <c r="AH2029" s="146">
        <f t="shared" si="930"/>
        <v>0</v>
      </c>
      <c r="AI2029" s="143">
        <f t="shared" si="931"/>
        <v>0</v>
      </c>
      <c r="AJ2029" s="133">
        <f t="shared" si="932"/>
        <v>1</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1</v>
      </c>
      <c r="T2030" s="120"/>
      <c r="U2030" s="117" t="s">
        <v>366</v>
      </c>
      <c r="V2030" s="133">
        <f t="shared" si="926"/>
        <v>1</v>
      </c>
      <c r="W2030" s="133">
        <f>VLOOKUP(U2030,Sheet1!$B$6:$C$45,2,FALSE)*V2030</f>
        <v>2</v>
      </c>
      <c r="X2030" s="141"/>
      <c r="Y2030" s="121" t="s">
        <v>293</v>
      </c>
      <c r="Z2030" s="146">
        <f>VLOOKUP(Takeoffs!Y2030,Sheet1!$B$6:$C$124,2,FALSE)</f>
        <v>0</v>
      </c>
      <c r="AA2030" s="146">
        <f t="shared" si="927"/>
        <v>0</v>
      </c>
      <c r="AB2030" s="143">
        <f t="shared" si="928"/>
        <v>1</v>
      </c>
      <c r="AC2030" s="133">
        <f t="shared" si="929"/>
        <v>1</v>
      </c>
      <c r="AD2030" s="142">
        <v>1</v>
      </c>
      <c r="AE2030" s="141"/>
      <c r="AF2030" s="121" t="s">
        <v>293</v>
      </c>
      <c r="AG2030" s="146">
        <f>VLOOKUP(Takeoffs!AF2030,Sheet1!$B$6:$C$124,2,FALSE)</f>
        <v>0</v>
      </c>
      <c r="AH2030" s="146">
        <f t="shared" si="930"/>
        <v>0</v>
      </c>
      <c r="AI2030" s="143">
        <f t="shared" si="931"/>
        <v>0</v>
      </c>
      <c r="AJ2030" s="133">
        <f t="shared" si="932"/>
        <v>1</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504</v>
      </c>
      <c r="P2031" s="121" t="s">
        <v>474</v>
      </c>
      <c r="Q2031" s="66" t="s">
        <v>475</v>
      </c>
      <c r="R2031" s="121"/>
      <c r="S2031" s="133">
        <f>M2021</f>
        <v>1</v>
      </c>
      <c r="T2031" s="120"/>
      <c r="U2031" s="121" t="s">
        <v>293</v>
      </c>
      <c r="V2031" s="133">
        <f t="shared" si="926"/>
        <v>1</v>
      </c>
      <c r="W2031" s="133">
        <f>VLOOKUP(U2031,Sheet1!$B$6:$C$45,2,FALSE)*V2031</f>
        <v>0</v>
      </c>
      <c r="X2031" s="141"/>
      <c r="Y2031" s="135" t="s">
        <v>478</v>
      </c>
      <c r="Z2031" s="146">
        <f>VLOOKUP(Takeoffs!Y2031,Sheet1!$B$6:$C$124,2,FALSE)</f>
        <v>60</v>
      </c>
      <c r="AA2031" s="146">
        <f t="shared" si="927"/>
        <v>180</v>
      </c>
      <c r="AB2031" s="143">
        <f t="shared" si="928"/>
        <v>3</v>
      </c>
      <c r="AC2031" s="133">
        <f t="shared" si="929"/>
        <v>1</v>
      </c>
      <c r="AD2031" s="142">
        <v>3</v>
      </c>
      <c r="AE2031" s="141"/>
      <c r="AF2031" s="121" t="s">
        <v>293</v>
      </c>
      <c r="AG2031" s="146">
        <f>VLOOKUP(Takeoffs!AF2031,Sheet1!$B$6:$C$124,2,FALSE)</f>
        <v>0</v>
      </c>
      <c r="AH2031" s="146">
        <f t="shared" si="930"/>
        <v>0</v>
      </c>
      <c r="AI2031" s="143">
        <f t="shared" si="931"/>
        <v>0</v>
      </c>
      <c r="AJ2031" s="133">
        <f t="shared" si="932"/>
        <v>1</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505</v>
      </c>
      <c r="P2032" s="121"/>
      <c r="Q2032" s="66"/>
      <c r="R2032" s="121"/>
      <c r="S2032" s="133">
        <f>M2021</f>
        <v>1</v>
      </c>
      <c r="T2032" s="120"/>
      <c r="U2032" s="117" t="s">
        <v>365</v>
      </c>
      <c r="V2032" s="133">
        <f t="shared" si="926"/>
        <v>1</v>
      </c>
      <c r="W2032" s="133">
        <f>VLOOKUP(U2032,Sheet1!$B$6:$C$45,2,FALSE)*V2032</f>
        <v>1</v>
      </c>
      <c r="X2032" s="141"/>
      <c r="Y2032" s="135" t="s">
        <v>480</v>
      </c>
      <c r="Z2032" s="146">
        <f>VLOOKUP(Takeoffs!Y2032,Sheet1!$B$6:$C$124,2,FALSE)</f>
        <v>180</v>
      </c>
      <c r="AA2032" s="146">
        <f t="shared" si="927"/>
        <v>180</v>
      </c>
      <c r="AB2032" s="143">
        <f t="shared" si="928"/>
        <v>1</v>
      </c>
      <c r="AC2032" s="133">
        <f t="shared" si="929"/>
        <v>1</v>
      </c>
      <c r="AD2032" s="142">
        <v>1</v>
      </c>
      <c r="AE2032" s="141"/>
      <c r="AF2032" s="121" t="s">
        <v>293</v>
      </c>
      <c r="AG2032" s="146">
        <f>VLOOKUP(Takeoffs!AF2032,Sheet1!$B$6:$C$124,2,FALSE)</f>
        <v>0</v>
      </c>
      <c r="AH2032" s="146">
        <f t="shared" si="930"/>
        <v>0</v>
      </c>
      <c r="AI2032" s="143">
        <f t="shared" si="931"/>
        <v>0</v>
      </c>
      <c r="AJ2032" s="133">
        <f t="shared" si="932"/>
        <v>1</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1</v>
      </c>
      <c r="T2033" s="120"/>
      <c r="U2033" s="121" t="s">
        <v>293</v>
      </c>
      <c r="V2033" s="133">
        <f t="shared" si="926"/>
        <v>1</v>
      </c>
      <c r="W2033" s="133">
        <f>VLOOKUP(U2033,Sheet1!$B$6:$C$45,2,FALSE)*V2033</f>
        <v>0</v>
      </c>
      <c r="X2033" s="141"/>
      <c r="Y2033" s="121" t="s">
        <v>293</v>
      </c>
      <c r="Z2033" s="146">
        <f>VLOOKUP(Takeoffs!Y2033,Sheet1!$B$6:$C$124,2,FALSE)</f>
        <v>0</v>
      </c>
      <c r="AA2033" s="146">
        <f t="shared" si="927"/>
        <v>0</v>
      </c>
      <c r="AB2033" s="143">
        <f t="shared" si="928"/>
        <v>1</v>
      </c>
      <c r="AC2033" s="133">
        <f t="shared" si="929"/>
        <v>1</v>
      </c>
      <c r="AD2033" s="142">
        <v>1</v>
      </c>
      <c r="AE2033" s="141"/>
      <c r="AF2033" s="144" t="s">
        <v>269</v>
      </c>
      <c r="AG2033" s="146">
        <f>VLOOKUP(Takeoffs!AF2033,Sheet1!$B$6:$C$124,2,FALSE)</f>
        <v>1.056</v>
      </c>
      <c r="AH2033" s="146">
        <f t="shared" si="930"/>
        <v>21.12</v>
      </c>
      <c r="AI2033" s="143">
        <f t="shared" si="931"/>
        <v>20</v>
      </c>
      <c r="AJ2033" s="133">
        <f t="shared" si="932"/>
        <v>1</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476</v>
      </c>
      <c r="P2034" s="121"/>
      <c r="Q2034" s="66"/>
      <c r="R2034" s="121"/>
      <c r="S2034" s="133">
        <f>M2021</f>
        <v>1</v>
      </c>
      <c r="T2034" s="120"/>
      <c r="U2034" s="135" t="s">
        <v>232</v>
      </c>
      <c r="V2034" s="133">
        <f t="shared" si="926"/>
        <v>1</v>
      </c>
      <c r="W2034" s="133">
        <f>VLOOKUP(U2034,Sheet1!$B$6:$C$45,2,FALSE)*V2034</f>
        <v>1</v>
      </c>
      <c r="X2034" s="141"/>
      <c r="Y2034" s="122" t="s">
        <v>281</v>
      </c>
      <c r="Z2034" s="146">
        <f>VLOOKUP(Takeoffs!Y2034,Sheet1!$B$6:$C$124,2,FALSE)</f>
        <v>109.25999999999999</v>
      </c>
      <c r="AA2034" s="146">
        <f t="shared" si="927"/>
        <v>109.25999999999999</v>
      </c>
      <c r="AB2034" s="143">
        <f t="shared" si="928"/>
        <v>1</v>
      </c>
      <c r="AC2034" s="133">
        <f t="shared" si="929"/>
        <v>1</v>
      </c>
      <c r="AD2034" s="142">
        <v>1</v>
      </c>
      <c r="AE2034" s="141"/>
      <c r="AF2034" s="121" t="s">
        <v>293</v>
      </c>
      <c r="AG2034" s="146">
        <f>VLOOKUP(Takeoffs!AF2034,Sheet1!$B$6:$C$124,2,FALSE)</f>
        <v>0</v>
      </c>
      <c r="AH2034" s="146">
        <f t="shared" si="930"/>
        <v>0</v>
      </c>
      <c r="AI2034" s="143">
        <f t="shared" si="931"/>
        <v>0</v>
      </c>
      <c r="AJ2034" s="133">
        <f t="shared" si="932"/>
        <v>1</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473</v>
      </c>
      <c r="P2035" s="121"/>
      <c r="Q2035" s="66"/>
      <c r="R2035" s="121"/>
      <c r="S2035" s="133">
        <f>M2021</f>
        <v>1</v>
      </c>
      <c r="T2035" s="120"/>
      <c r="U2035" s="121" t="s">
        <v>293</v>
      </c>
      <c r="V2035" s="133">
        <f t="shared" si="926"/>
        <v>1</v>
      </c>
      <c r="W2035" s="133">
        <f>VLOOKUP(U2035,Sheet1!$B$6:$C$45,2,FALSE)*V2035</f>
        <v>0</v>
      </c>
      <c r="X2035" s="141"/>
      <c r="Y2035" s="121" t="s">
        <v>293</v>
      </c>
      <c r="Z2035" s="146">
        <f>VLOOKUP(Takeoffs!Y2035,Sheet1!$B$6:$C$124,2,FALSE)</f>
        <v>0</v>
      </c>
      <c r="AA2035" s="146">
        <f t="shared" si="927"/>
        <v>0</v>
      </c>
      <c r="AB2035" s="143">
        <f t="shared" si="928"/>
        <v>1</v>
      </c>
      <c r="AC2035" s="133">
        <f t="shared" si="929"/>
        <v>1</v>
      </c>
      <c r="AD2035" s="142">
        <v>1</v>
      </c>
      <c r="AE2035" s="141"/>
      <c r="AF2035" s="121" t="s">
        <v>293</v>
      </c>
      <c r="AG2035" s="146">
        <f>VLOOKUP(Takeoffs!AF2035,Sheet1!$B$6:$C$124,2,FALSE)</f>
        <v>0</v>
      </c>
      <c r="AH2035" s="146">
        <f t="shared" si="930"/>
        <v>0</v>
      </c>
      <c r="AI2035" s="143">
        <f t="shared" si="931"/>
        <v>0</v>
      </c>
      <c r="AJ2035" s="133">
        <f t="shared" si="932"/>
        <v>1</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1</v>
      </c>
      <c r="T2036" s="120"/>
      <c r="U2036" s="121" t="s">
        <v>293</v>
      </c>
      <c r="V2036" s="133">
        <f t="shared" si="926"/>
        <v>1</v>
      </c>
      <c r="W2036" s="133">
        <f>VLOOKUP(U2036,Sheet1!$B$6:$C$45,2,FALSE)*V2036</f>
        <v>0</v>
      </c>
      <c r="X2036" s="141"/>
      <c r="Y2036" s="121" t="s">
        <v>293</v>
      </c>
      <c r="Z2036" s="146">
        <f>VLOOKUP(Takeoffs!Y2036,Sheet1!$B$6:$C$124,2,FALSE)</f>
        <v>0</v>
      </c>
      <c r="AA2036" s="146">
        <f t="shared" si="927"/>
        <v>0</v>
      </c>
      <c r="AB2036" s="143">
        <f t="shared" si="928"/>
        <v>1</v>
      </c>
      <c r="AC2036" s="133">
        <f t="shared" si="929"/>
        <v>1</v>
      </c>
      <c r="AD2036" s="142">
        <v>1</v>
      </c>
      <c r="AE2036" s="141"/>
      <c r="AF2036" s="121" t="s">
        <v>293</v>
      </c>
      <c r="AG2036" s="146">
        <f>VLOOKUP(Takeoffs!AF2036,Sheet1!$B$6:$C$124,2,FALSE)</f>
        <v>0</v>
      </c>
      <c r="AH2036" s="146">
        <f t="shared" si="930"/>
        <v>0</v>
      </c>
      <c r="AI2036" s="143">
        <f t="shared" si="931"/>
        <v>0</v>
      </c>
      <c r="AJ2036" s="133">
        <f t="shared" si="932"/>
        <v>1</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477</v>
      </c>
      <c r="P2037" s="121" t="s">
        <v>596</v>
      </c>
      <c r="Q2037" s="66" t="s">
        <v>630</v>
      </c>
      <c r="R2037" s="121"/>
      <c r="S2037" s="133">
        <f>M2021</f>
        <v>1</v>
      </c>
      <c r="T2037" s="120"/>
      <c r="U2037" s="121" t="s">
        <v>293</v>
      </c>
      <c r="V2037" s="133">
        <f t="shared" si="926"/>
        <v>1</v>
      </c>
      <c r="W2037" s="133">
        <f>VLOOKUP(U2037,Sheet1!$B$6:$C$45,2,FALSE)*V2037</f>
        <v>0</v>
      </c>
      <c r="X2037" s="141"/>
      <c r="Y2037" s="122" t="s">
        <v>280</v>
      </c>
      <c r="Z2037" s="146">
        <f>VLOOKUP(Takeoffs!Y2037,Sheet1!$B$6:$C$124,2,FALSE)</f>
        <v>19.2</v>
      </c>
      <c r="AA2037" s="146">
        <f t="shared" si="927"/>
        <v>19.2</v>
      </c>
      <c r="AB2037" s="143">
        <f t="shared" si="928"/>
        <v>1</v>
      </c>
      <c r="AC2037" s="133">
        <f t="shared" si="929"/>
        <v>1</v>
      </c>
      <c r="AD2037" s="142">
        <v>1</v>
      </c>
      <c r="AE2037" s="141"/>
      <c r="AF2037" s="121" t="s">
        <v>293</v>
      </c>
      <c r="AG2037" s="146">
        <f>VLOOKUP(Takeoffs!AF2037,Sheet1!$B$6:$C$124,2,FALSE)</f>
        <v>0</v>
      </c>
      <c r="AH2037" s="146">
        <f t="shared" si="930"/>
        <v>0</v>
      </c>
      <c r="AI2037" s="143">
        <f t="shared" si="931"/>
        <v>0</v>
      </c>
      <c r="AJ2037" s="133">
        <f t="shared" si="932"/>
        <v>1</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506</v>
      </c>
      <c r="P2038" s="121" t="s">
        <v>474</v>
      </c>
      <c r="Q2038" s="66" t="s">
        <v>475</v>
      </c>
      <c r="R2038" s="121"/>
      <c r="S2038" s="133">
        <f>M2021</f>
        <v>1</v>
      </c>
      <c r="T2038" s="120"/>
      <c r="U2038" s="121" t="s">
        <v>293</v>
      </c>
      <c r="V2038" s="133">
        <f t="shared" si="926"/>
        <v>1</v>
      </c>
      <c r="W2038" s="133">
        <f>VLOOKUP(U2038,Sheet1!$B$6:$C$45,2,FALSE)*V2038</f>
        <v>0</v>
      </c>
      <c r="X2038" s="141"/>
      <c r="Y2038" s="121" t="s">
        <v>293</v>
      </c>
      <c r="Z2038" s="146">
        <f>VLOOKUP(Takeoffs!Y2038,Sheet1!$B$6:$C$124,2,FALSE)</f>
        <v>0</v>
      </c>
      <c r="AA2038" s="146">
        <f t="shared" si="927"/>
        <v>0</v>
      </c>
      <c r="AB2038" s="143">
        <f t="shared" si="928"/>
        <v>1</v>
      </c>
      <c r="AC2038" s="133">
        <f t="shared" si="929"/>
        <v>1</v>
      </c>
      <c r="AD2038" s="142">
        <v>1</v>
      </c>
      <c r="AE2038" s="141"/>
      <c r="AF2038" s="121" t="s">
        <v>293</v>
      </c>
      <c r="AG2038" s="146">
        <f>VLOOKUP(Takeoffs!AF2038,Sheet1!$B$6:$C$124,2,FALSE)</f>
        <v>0</v>
      </c>
      <c r="AH2038" s="146">
        <f t="shared" si="930"/>
        <v>0</v>
      </c>
      <c r="AI2038" s="143">
        <f t="shared" si="931"/>
        <v>0</v>
      </c>
      <c r="AJ2038" s="133">
        <f t="shared" si="932"/>
        <v>1</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1</v>
      </c>
      <c r="T2039" s="120"/>
      <c r="U2039" s="121" t="s">
        <v>293</v>
      </c>
      <c r="V2039" s="133">
        <f t="shared" si="926"/>
        <v>1</v>
      </c>
      <c r="W2039" s="133">
        <f>VLOOKUP(U2039,Sheet1!$B$6:$C$45,2,FALSE)*V2039</f>
        <v>0</v>
      </c>
      <c r="X2039" s="141"/>
      <c r="Y2039" s="121" t="s">
        <v>293</v>
      </c>
      <c r="Z2039" s="146">
        <f>VLOOKUP(Takeoffs!Y2039,Sheet1!$B$6:$C$124,2,FALSE)</f>
        <v>0</v>
      </c>
      <c r="AA2039" s="146">
        <f t="shared" si="927"/>
        <v>0</v>
      </c>
      <c r="AB2039" s="143">
        <f t="shared" si="928"/>
        <v>1</v>
      </c>
      <c r="AC2039" s="133">
        <f t="shared" si="929"/>
        <v>1</v>
      </c>
      <c r="AD2039" s="142">
        <v>1</v>
      </c>
      <c r="AE2039" s="141"/>
      <c r="AF2039" s="121" t="s">
        <v>293</v>
      </c>
      <c r="AG2039" s="146">
        <f>VLOOKUP(Takeoffs!AF2039,Sheet1!$B$6:$C$124,2,FALSE)</f>
        <v>0</v>
      </c>
      <c r="AH2039" s="146">
        <f t="shared" si="930"/>
        <v>0</v>
      </c>
      <c r="AI2039" s="143">
        <f t="shared" si="931"/>
        <v>0</v>
      </c>
      <c r="AJ2039" s="133">
        <f t="shared" si="932"/>
        <v>1</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599</v>
      </c>
      <c r="P2040" s="121" t="s">
        <v>382</v>
      </c>
      <c r="Q2040" s="66" t="s">
        <v>386</v>
      </c>
      <c r="R2040" s="121"/>
      <c r="S2040" s="133">
        <f>M2021</f>
        <v>1</v>
      </c>
      <c r="T2040" s="120"/>
      <c r="U2040" s="121" t="s">
        <v>293</v>
      </c>
      <c r="V2040" s="133">
        <f t="shared" si="926"/>
        <v>1</v>
      </c>
      <c r="W2040" s="133">
        <f>VLOOKUP(U2040,Sheet1!$B$6:$C$45,2,FALSE)*V2040</f>
        <v>0</v>
      </c>
      <c r="X2040" s="141"/>
      <c r="Y2040" s="122" t="s">
        <v>324</v>
      </c>
      <c r="Z2040" s="146">
        <f>VLOOKUP(Takeoffs!Y2040,Sheet1!$B$6:$C$124,2,FALSE)</f>
        <v>48</v>
      </c>
      <c r="AA2040" s="146">
        <f t="shared" si="927"/>
        <v>48</v>
      </c>
      <c r="AB2040" s="143">
        <f t="shared" si="928"/>
        <v>1</v>
      </c>
      <c r="AC2040" s="133">
        <f t="shared" si="929"/>
        <v>1</v>
      </c>
      <c r="AD2040" s="142">
        <v>1</v>
      </c>
      <c r="AE2040" s="141"/>
      <c r="AF2040" s="121" t="s">
        <v>293</v>
      </c>
      <c r="AG2040" s="146">
        <f>VLOOKUP(Takeoffs!AF2040,Sheet1!$B$6:$C$124,2,FALSE)</f>
        <v>0</v>
      </c>
      <c r="AH2040" s="146">
        <f t="shared" si="930"/>
        <v>0</v>
      </c>
      <c r="AI2040" s="143">
        <f t="shared" si="931"/>
        <v>0</v>
      </c>
      <c r="AJ2040" s="133">
        <f t="shared" si="932"/>
        <v>1</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600</v>
      </c>
      <c r="P2041" s="121"/>
      <c r="Q2041" s="66"/>
      <c r="R2041" s="121"/>
      <c r="S2041" s="133">
        <f>M2021</f>
        <v>1</v>
      </c>
      <c r="T2041" s="120"/>
      <c r="U2041" s="121" t="s">
        <v>293</v>
      </c>
      <c r="V2041" s="133">
        <f t="shared" si="926"/>
        <v>1</v>
      </c>
      <c r="W2041" s="133">
        <f>VLOOKUP(U2041,Sheet1!$B$6:$C$45,2,FALSE)*V2041</f>
        <v>0</v>
      </c>
      <c r="X2041" s="141"/>
      <c r="Y2041" s="121" t="s">
        <v>293</v>
      </c>
      <c r="Z2041" s="146">
        <f>VLOOKUP(Takeoffs!Y2041,Sheet1!$B$6:$C$124,2,FALSE)</f>
        <v>0</v>
      </c>
      <c r="AA2041" s="146">
        <f t="shared" si="927"/>
        <v>0</v>
      </c>
      <c r="AB2041" s="143">
        <f t="shared" si="928"/>
        <v>1</v>
      </c>
      <c r="AC2041" s="133">
        <f t="shared" si="929"/>
        <v>1</v>
      </c>
      <c r="AD2041" s="142">
        <v>1</v>
      </c>
      <c r="AE2041" s="141"/>
      <c r="AF2041" s="121" t="s">
        <v>293</v>
      </c>
      <c r="AG2041" s="146">
        <f>VLOOKUP(Takeoffs!AF2041,Sheet1!$B$6:$C$124,2,FALSE)</f>
        <v>0</v>
      </c>
      <c r="AH2041" s="146">
        <f t="shared" si="930"/>
        <v>0</v>
      </c>
      <c r="AI2041" s="143">
        <f t="shared" si="931"/>
        <v>0</v>
      </c>
      <c r="AJ2041" s="133">
        <f t="shared" si="932"/>
        <v>1</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379</v>
      </c>
      <c r="L2042" s="128" t="s">
        <v>380</v>
      </c>
      <c r="N2042" s="129"/>
      <c r="O2042" s="130" t="s">
        <v>359</v>
      </c>
      <c r="P2042" s="155">
        <f>V2042+AA2042+AH2042</f>
        <v>1557.0840000000001</v>
      </c>
      <c r="Q2042" s="155"/>
      <c r="R2042" s="131"/>
      <c r="S2042" s="130"/>
      <c r="T2042" s="127"/>
      <c r="U2042" s="126" t="s">
        <v>353</v>
      </c>
      <c r="V2042" s="127">
        <f>W2042*80</f>
        <v>480</v>
      </c>
      <c r="W2042" s="147">
        <f>SUM(W2021:W2041)</f>
        <v>6</v>
      </c>
      <c r="X2042" s="148"/>
      <c r="Y2042" s="127" t="s">
        <v>354</v>
      </c>
      <c r="Z2042" s="116"/>
      <c r="AA2042" s="116">
        <f>SUM(AA2021:AA2041)</f>
        <v>986.36400000000003</v>
      </c>
      <c r="AB2042" s="149"/>
      <c r="AC2042" s="149"/>
      <c r="AD2042" s="149"/>
      <c r="AE2042" s="149"/>
      <c r="AF2042" s="127" t="s">
        <v>358</v>
      </c>
      <c r="AG2042" s="116"/>
      <c r="AH2042" s="116">
        <f>SUM(AH2021:AH2041)</f>
        <v>90.72</v>
      </c>
      <c r="AI2042" s="149"/>
      <c r="AJ2042" s="149"/>
      <c r="AK2042" s="149"/>
      <c r="AL2042" s="149"/>
      <c r="AM2042" s="150">
        <f>P2042</f>
        <v>1557.0840000000001</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494</v>
      </c>
      <c r="C2043" s="217" t="str">
        <f>N2021</f>
        <v>Electric Duct Heater ( 3 phase -Exclude Field cabling)</v>
      </c>
      <c r="D2043" s="260" t="s">
        <v>681</v>
      </c>
      <c r="E2043" s="238"/>
      <c r="F2043" s="217"/>
      <c r="G2043" s="217"/>
      <c r="H2043" s="245">
        <v>28</v>
      </c>
      <c r="I2043" s="270">
        <v>1</v>
      </c>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one (1)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1557.0840000000001</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369</v>
      </c>
      <c r="N2043" s="160" t="str">
        <f>N2021</f>
        <v>Electric Duct Heater ( 3 phase -Exclude Field cabling)</v>
      </c>
      <c r="O2043" s="185" t="s">
        <v>367</v>
      </c>
      <c r="P2043" s="203">
        <f>P2042/M2021</f>
        <v>1557.0840000000001</v>
      </c>
      <c r="Q2043" s="195"/>
      <c r="R2043" s="188"/>
      <c r="S2043" s="160"/>
      <c r="T2043" s="161"/>
      <c r="U2043" s="327" t="s">
        <v>368</v>
      </c>
      <c r="V2043" s="327"/>
      <c r="W2043" s="162">
        <f>W2042/M2021</f>
        <v>6</v>
      </c>
      <c r="X2043" s="163"/>
      <c r="Y2043" s="325" t="s">
        <v>367</v>
      </c>
      <c r="Z2043" s="325"/>
      <c r="AA2043" s="164">
        <f>AA2042/M2021</f>
        <v>986.36400000000003</v>
      </c>
      <c r="AB2043" s="161"/>
      <c r="AC2043" s="161"/>
      <c r="AD2043" s="161"/>
      <c r="AE2043" s="161"/>
      <c r="AF2043" s="325" t="s">
        <v>367</v>
      </c>
      <c r="AG2043" s="325"/>
      <c r="AH2043" s="164">
        <f>AH2042/M2021</f>
        <v>90.72</v>
      </c>
      <c r="AI2043" s="161"/>
      <c r="AJ2043" s="161"/>
      <c r="AK2043" s="161"/>
      <c r="AL2043" s="247"/>
      <c r="AM2043" s="257"/>
      <c r="AN2043" s="230">
        <f>K2043*1.25</f>
        <v>1946.355</v>
      </c>
      <c r="AO2043" s="286"/>
      <c r="AP2043" s="284">
        <f t="shared" si="920"/>
        <v>1557.0840000000001</v>
      </c>
      <c r="AQ2043" s="281">
        <f t="shared" si="921"/>
        <v>480</v>
      </c>
      <c r="AR2043" s="284">
        <f t="shared" si="922"/>
        <v>986.36400000000003</v>
      </c>
      <c r="AS2043" s="281">
        <f t="shared" si="923"/>
        <v>90.72</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495</v>
      </c>
      <c r="D2044" s="211"/>
      <c r="E2044" s="218"/>
      <c r="F2044" s="218"/>
      <c r="G2044" s="218"/>
      <c r="H2044" s="218"/>
      <c r="I2044" s="240" t="s">
        <v>0</v>
      </c>
      <c r="J2044" s="116" t="s">
        <v>642</v>
      </c>
      <c r="K2044" s="222" t="s">
        <v>355</v>
      </c>
      <c r="L2044" s="253" t="s">
        <v>390</v>
      </c>
      <c r="M2044" s="116" t="s">
        <v>107</v>
      </c>
      <c r="N2044" s="116" t="s">
        <v>108</v>
      </c>
      <c r="O2044" s="170" t="s">
        <v>388</v>
      </c>
      <c r="P2044" s="326" t="s">
        <v>377</v>
      </c>
      <c r="Q2044" s="326"/>
      <c r="R2044" s="101" t="s">
        <v>454</v>
      </c>
      <c r="S2044" s="116" t="s">
        <v>0</v>
      </c>
      <c r="T2044" s="118"/>
      <c r="U2044" s="116" t="s">
        <v>288</v>
      </c>
      <c r="V2044" s="116" t="s">
        <v>289</v>
      </c>
      <c r="W2044" s="116" t="s">
        <v>292</v>
      </c>
      <c r="X2044" s="140"/>
      <c r="Y2044" s="116" t="s">
        <v>290</v>
      </c>
      <c r="Z2044" s="116" t="s">
        <v>356</v>
      </c>
      <c r="AA2044" s="116" t="s">
        <v>357</v>
      </c>
      <c r="AB2044" s="116" t="s">
        <v>319</v>
      </c>
      <c r="AC2044" s="116" t="s">
        <v>320</v>
      </c>
      <c r="AD2044" s="116" t="s">
        <v>318</v>
      </c>
      <c r="AE2044" s="140"/>
      <c r="AF2044" s="116" t="s">
        <v>294</v>
      </c>
      <c r="AG2044" s="116" t="s">
        <v>356</v>
      </c>
      <c r="AH2044" s="116" t="s">
        <v>357</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one</v>
      </c>
      <c r="M2045" s="121">
        <f>I2067</f>
        <v>1</v>
      </c>
      <c r="N2045" s="132" t="s">
        <v>705</v>
      </c>
      <c r="O2045" s="121" t="s">
        <v>178</v>
      </c>
      <c r="P2045" s="169" t="s">
        <v>381</v>
      </c>
      <c r="Q2045" s="169" t="s">
        <v>377</v>
      </c>
      <c r="R2045" s="169"/>
      <c r="S2045" s="133">
        <f>M2045</f>
        <v>1</v>
      </c>
      <c r="T2045" s="119"/>
      <c r="U2045" s="117" t="s">
        <v>366</v>
      </c>
      <c r="V2045" s="133">
        <f>S2045</f>
        <v>1</v>
      </c>
      <c r="W2045" s="133">
        <f>VLOOKUP(U2045,Sheet1!$B$6:$C$45,2,FALSE)*V2045</f>
        <v>2</v>
      </c>
      <c r="X2045" s="141"/>
      <c r="Y2045" s="121" t="s">
        <v>293</v>
      </c>
      <c r="Z2045" s="146">
        <f>VLOOKUP(Takeoffs!Y2045,Sheet1!$B$6:$C$124,2,FALSE)</f>
        <v>0</v>
      </c>
      <c r="AA2045" s="146">
        <f>Z2045*AB2045</f>
        <v>0</v>
      </c>
      <c r="AB2045" s="143">
        <f>AD2045*AC2045</f>
        <v>1</v>
      </c>
      <c r="AC2045" s="133">
        <f>S2045</f>
        <v>1</v>
      </c>
      <c r="AD2045" s="142">
        <v>1</v>
      </c>
      <c r="AE2045" s="141"/>
      <c r="AF2045" s="121" t="s">
        <v>293</v>
      </c>
      <c r="AG2045" s="146">
        <f>VLOOKUP(Takeoffs!AF2045,Sheet1!$B$6:$C$124,2,FALSE)</f>
        <v>0</v>
      </c>
      <c r="AH2045" s="146">
        <f>AG2045*AI2045</f>
        <v>0</v>
      </c>
      <c r="AI2045" s="143">
        <f>AK2045*AJ2045</f>
        <v>0</v>
      </c>
      <c r="AJ2045" s="133">
        <f>S2045</f>
        <v>1</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1</v>
      </c>
      <c r="T2046" s="120"/>
      <c r="U2046" s="121" t="s">
        <v>293</v>
      </c>
      <c r="V2046" s="133">
        <f t="shared" ref="V2046:V2065" si="936">S2046</f>
        <v>1</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1</v>
      </c>
      <c r="AC2046" s="133">
        <f t="shared" ref="AC2046:AC2065" si="939">S2046</f>
        <v>1</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1</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706</v>
      </c>
      <c r="P2047" s="121"/>
      <c r="Q2047" s="121"/>
      <c r="R2047" s="121"/>
      <c r="S2047" s="133">
        <f>M2045</f>
        <v>1</v>
      </c>
      <c r="T2047" s="120"/>
      <c r="U2047" s="121" t="s">
        <v>293</v>
      </c>
      <c r="V2047" s="133">
        <f t="shared" si="936"/>
        <v>1</v>
      </c>
      <c r="W2047" s="133">
        <f>VLOOKUP(U2047,Sheet1!$B$6:$C$45,2,FALSE)*V2047</f>
        <v>0</v>
      </c>
      <c r="X2047" s="141"/>
      <c r="Y2047" s="135" t="s">
        <v>707</v>
      </c>
      <c r="Z2047" s="146">
        <f>VLOOKUP(Takeoffs!Y2047,Sheet1!$B$6:$C$124,2,FALSE)</f>
        <v>240</v>
      </c>
      <c r="AA2047" s="146">
        <f t="shared" si="937"/>
        <v>240</v>
      </c>
      <c r="AB2047" s="143">
        <f t="shared" si="938"/>
        <v>1</v>
      </c>
      <c r="AC2047" s="133">
        <f t="shared" si="939"/>
        <v>1</v>
      </c>
      <c r="AD2047" s="142">
        <v>1</v>
      </c>
      <c r="AE2047" s="141"/>
      <c r="AF2047" s="122" t="s">
        <v>268</v>
      </c>
      <c r="AG2047" s="146">
        <f>VLOOKUP(Takeoffs!AF2047,Sheet1!$B$6:$C$124,2,FALSE)</f>
        <v>1.02</v>
      </c>
      <c r="AH2047" s="146">
        <f t="shared" si="940"/>
        <v>20.399999999999999</v>
      </c>
      <c r="AI2047" s="143">
        <f t="shared" si="941"/>
        <v>20</v>
      </c>
      <c r="AJ2047" s="133">
        <f t="shared" si="942"/>
        <v>1</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710</v>
      </c>
      <c r="P2048" s="121"/>
      <c r="Q2048" s="121"/>
      <c r="R2048" s="121"/>
      <c r="S2048" s="133">
        <f>M2045</f>
        <v>1</v>
      </c>
      <c r="T2048" s="120"/>
      <c r="U2048" s="121" t="s">
        <v>293</v>
      </c>
      <c r="V2048" s="133">
        <f t="shared" si="936"/>
        <v>1</v>
      </c>
      <c r="W2048" s="133">
        <f>VLOOKUP(U2048,Sheet1!$B$6:$C$45,2,FALSE)*V2048</f>
        <v>0</v>
      </c>
      <c r="X2048" s="141"/>
      <c r="Y2048" s="135" t="s">
        <v>700</v>
      </c>
      <c r="Z2048" s="146">
        <f>VLOOKUP(Takeoffs!Y2048,Sheet1!$B$6:$C$124,2,FALSE)</f>
        <v>29.04</v>
      </c>
      <c r="AA2048" s="146">
        <f t="shared" si="937"/>
        <v>29.04</v>
      </c>
      <c r="AB2048" s="143">
        <f t="shared" si="938"/>
        <v>1</v>
      </c>
      <c r="AC2048" s="133">
        <f t="shared" si="939"/>
        <v>1</v>
      </c>
      <c r="AD2048" s="142">
        <v>1</v>
      </c>
      <c r="AE2048" s="141"/>
      <c r="AF2048" s="135" t="s">
        <v>269</v>
      </c>
      <c r="AG2048" s="146">
        <f>VLOOKUP(Takeoffs!AF2048,Sheet1!$B$6:$C$124,2,FALSE)</f>
        <v>1.056</v>
      </c>
      <c r="AH2048" s="146">
        <f t="shared" si="940"/>
        <v>21.12</v>
      </c>
      <c r="AI2048" s="143">
        <f t="shared" si="941"/>
        <v>20</v>
      </c>
      <c r="AJ2048" s="133">
        <f t="shared" si="942"/>
        <v>1</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708</v>
      </c>
      <c r="P2049" s="121"/>
      <c r="Q2049" s="121"/>
      <c r="R2049" s="121"/>
      <c r="S2049" s="133">
        <f>M2045</f>
        <v>1</v>
      </c>
      <c r="T2049" s="120"/>
      <c r="U2049" s="121" t="s">
        <v>293</v>
      </c>
      <c r="V2049" s="133">
        <f t="shared" si="936"/>
        <v>1</v>
      </c>
      <c r="W2049" s="133">
        <f>VLOOKUP(U2049,Sheet1!$B$6:$C$45,2,FALSE)*V2049</f>
        <v>0</v>
      </c>
      <c r="X2049" s="141"/>
      <c r="Y2049" s="135" t="s">
        <v>335</v>
      </c>
      <c r="Z2049" s="146">
        <f>VLOOKUP(Takeoffs!Y2049,Sheet1!$B$6:$C$124,2,FALSE)</f>
        <v>60</v>
      </c>
      <c r="AA2049" s="146">
        <f t="shared" si="937"/>
        <v>60</v>
      </c>
      <c r="AB2049" s="143">
        <f t="shared" si="938"/>
        <v>1</v>
      </c>
      <c r="AC2049" s="133">
        <f t="shared" si="939"/>
        <v>1</v>
      </c>
      <c r="AD2049" s="142">
        <v>1</v>
      </c>
      <c r="AE2049" s="141"/>
      <c r="AF2049" s="121" t="s">
        <v>293</v>
      </c>
      <c r="AG2049" s="146">
        <f>VLOOKUP(Takeoffs!AF2049,Sheet1!$B$6:$C$124,2,FALSE)</f>
        <v>0</v>
      </c>
      <c r="AH2049" s="146">
        <f t="shared" si="940"/>
        <v>0</v>
      </c>
      <c r="AI2049" s="143">
        <f t="shared" si="941"/>
        <v>0</v>
      </c>
      <c r="AJ2049" s="133">
        <f t="shared" si="942"/>
        <v>1</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1</v>
      </c>
      <c r="T2050" s="120"/>
      <c r="U2050" s="121" t="s">
        <v>293</v>
      </c>
      <c r="V2050" s="133">
        <f t="shared" si="936"/>
        <v>1</v>
      </c>
      <c r="W2050" s="133">
        <f>VLOOKUP(U2050,Sheet1!$B$6:$C$45,2,FALSE)*V2050</f>
        <v>0</v>
      </c>
      <c r="X2050" s="141"/>
      <c r="Y2050" s="121" t="s">
        <v>293</v>
      </c>
      <c r="Z2050" s="146">
        <f>VLOOKUP(Takeoffs!Y2050,Sheet1!$B$6:$C$124,2,FALSE)</f>
        <v>0</v>
      </c>
      <c r="AA2050" s="146">
        <f t="shared" si="937"/>
        <v>0</v>
      </c>
      <c r="AB2050" s="143">
        <f t="shared" si="938"/>
        <v>1</v>
      </c>
      <c r="AC2050" s="133">
        <f t="shared" si="939"/>
        <v>1</v>
      </c>
      <c r="AD2050" s="142">
        <v>1</v>
      </c>
      <c r="AE2050" s="141"/>
      <c r="AF2050" s="121" t="s">
        <v>293</v>
      </c>
      <c r="AG2050" s="146">
        <f>VLOOKUP(Takeoffs!AF2050,Sheet1!$B$6:$C$124,2,FALSE)</f>
        <v>0</v>
      </c>
      <c r="AH2050" s="146">
        <f t="shared" si="940"/>
        <v>0</v>
      </c>
      <c r="AI2050" s="143">
        <f t="shared" si="941"/>
        <v>0</v>
      </c>
      <c r="AJ2050" s="133">
        <f t="shared" si="942"/>
        <v>1</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1</v>
      </c>
      <c r="T2051" s="120"/>
      <c r="U2051" s="121" t="s">
        <v>293</v>
      </c>
      <c r="V2051" s="133">
        <f t="shared" si="936"/>
        <v>1</v>
      </c>
      <c r="W2051" s="133">
        <f>VLOOKUP(U2051,Sheet1!$B$6:$C$45,2,FALSE)*V2051</f>
        <v>0</v>
      </c>
      <c r="X2051" s="141"/>
      <c r="Y2051" s="121" t="s">
        <v>293</v>
      </c>
      <c r="Z2051" s="146">
        <f>VLOOKUP(Takeoffs!Y2051,Sheet1!$B$6:$C$124,2,FALSE)</f>
        <v>0</v>
      </c>
      <c r="AA2051" s="146">
        <f t="shared" si="937"/>
        <v>0</v>
      </c>
      <c r="AB2051" s="143">
        <f t="shared" si="938"/>
        <v>1</v>
      </c>
      <c r="AC2051" s="133">
        <f t="shared" si="939"/>
        <v>1</v>
      </c>
      <c r="AD2051" s="142">
        <v>1</v>
      </c>
      <c r="AE2051" s="141"/>
      <c r="AF2051" s="121" t="s">
        <v>293</v>
      </c>
      <c r="AG2051" s="146">
        <f>VLOOKUP(Takeoffs!AF2051,Sheet1!$B$6:$C$124,2,FALSE)</f>
        <v>0</v>
      </c>
      <c r="AH2051" s="146">
        <f t="shared" si="940"/>
        <v>0</v>
      </c>
      <c r="AI2051" s="143">
        <f t="shared" si="941"/>
        <v>0</v>
      </c>
      <c r="AJ2051" s="133">
        <f t="shared" si="942"/>
        <v>1</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1</v>
      </c>
      <c r="T2052" s="120"/>
      <c r="U2052" s="121" t="s">
        <v>293</v>
      </c>
      <c r="V2052" s="133">
        <f t="shared" si="936"/>
        <v>1</v>
      </c>
      <c r="W2052" s="133">
        <f>VLOOKUP(U2052,Sheet1!$B$6:$C$45,2,FALSE)*V2052</f>
        <v>0</v>
      </c>
      <c r="X2052" s="141"/>
      <c r="Y2052" s="121" t="s">
        <v>293</v>
      </c>
      <c r="Z2052" s="146">
        <f>VLOOKUP(Takeoffs!Y2052,Sheet1!$B$6:$C$124,2,FALSE)</f>
        <v>0</v>
      </c>
      <c r="AA2052" s="146">
        <f t="shared" si="937"/>
        <v>0</v>
      </c>
      <c r="AB2052" s="143">
        <f t="shared" si="938"/>
        <v>1</v>
      </c>
      <c r="AC2052" s="133">
        <f t="shared" si="939"/>
        <v>1</v>
      </c>
      <c r="AD2052" s="142">
        <v>1</v>
      </c>
      <c r="AE2052" s="141"/>
      <c r="AF2052" s="121" t="s">
        <v>293</v>
      </c>
      <c r="AG2052" s="146">
        <f>VLOOKUP(Takeoffs!AF2052,Sheet1!$B$6:$C$124,2,FALSE)</f>
        <v>0</v>
      </c>
      <c r="AH2052" s="146">
        <f t="shared" si="940"/>
        <v>0</v>
      </c>
      <c r="AI2052" s="143">
        <f t="shared" si="941"/>
        <v>0</v>
      </c>
      <c r="AJ2052" s="133">
        <f t="shared" si="942"/>
        <v>1</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1</v>
      </c>
      <c r="T2053" s="120"/>
      <c r="U2053" s="121" t="s">
        <v>293</v>
      </c>
      <c r="V2053" s="133">
        <f t="shared" si="936"/>
        <v>1</v>
      </c>
      <c r="W2053" s="133">
        <f>VLOOKUP(U2053,Sheet1!$B$6:$C$45,2,FALSE)*V2053</f>
        <v>0</v>
      </c>
      <c r="X2053" s="141"/>
      <c r="Y2053" s="121" t="s">
        <v>293</v>
      </c>
      <c r="Z2053" s="146">
        <f>VLOOKUP(Takeoffs!Y2053,Sheet1!$B$6:$C$124,2,FALSE)</f>
        <v>0</v>
      </c>
      <c r="AA2053" s="146">
        <f t="shared" si="937"/>
        <v>0</v>
      </c>
      <c r="AB2053" s="143">
        <f t="shared" si="938"/>
        <v>1</v>
      </c>
      <c r="AC2053" s="133">
        <f t="shared" si="939"/>
        <v>1</v>
      </c>
      <c r="AD2053" s="142">
        <v>1</v>
      </c>
      <c r="AE2053" s="141"/>
      <c r="AF2053" s="121" t="s">
        <v>293</v>
      </c>
      <c r="AG2053" s="146">
        <f>VLOOKUP(Takeoffs!AF2053,Sheet1!$B$6:$C$124,2,FALSE)</f>
        <v>0</v>
      </c>
      <c r="AH2053" s="146">
        <f t="shared" si="940"/>
        <v>0</v>
      </c>
      <c r="AI2053" s="143">
        <f t="shared" si="941"/>
        <v>0</v>
      </c>
      <c r="AJ2053" s="133">
        <f t="shared" si="942"/>
        <v>1</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1</v>
      </c>
      <c r="T2054" s="120"/>
      <c r="U2054" s="121" t="s">
        <v>293</v>
      </c>
      <c r="V2054" s="133">
        <f t="shared" si="936"/>
        <v>1</v>
      </c>
      <c r="W2054" s="133">
        <f>VLOOKUP(U2054,Sheet1!$B$6:$C$45,2,FALSE)*V2054</f>
        <v>0</v>
      </c>
      <c r="X2054" s="141"/>
      <c r="Y2054" s="121" t="s">
        <v>293</v>
      </c>
      <c r="Z2054" s="146">
        <f>VLOOKUP(Takeoffs!Y2054,Sheet1!$B$6:$C$124,2,FALSE)</f>
        <v>0</v>
      </c>
      <c r="AA2054" s="146">
        <f t="shared" si="937"/>
        <v>0</v>
      </c>
      <c r="AB2054" s="143">
        <f t="shared" si="938"/>
        <v>1</v>
      </c>
      <c r="AC2054" s="133">
        <f t="shared" si="939"/>
        <v>1</v>
      </c>
      <c r="AD2054" s="142">
        <v>1</v>
      </c>
      <c r="AE2054" s="141"/>
      <c r="AF2054" s="121" t="s">
        <v>293</v>
      </c>
      <c r="AG2054" s="146">
        <f>VLOOKUP(Takeoffs!AF2054,Sheet1!$B$6:$C$124,2,FALSE)</f>
        <v>0</v>
      </c>
      <c r="AH2054" s="146">
        <f t="shared" si="940"/>
        <v>0</v>
      </c>
      <c r="AI2054" s="143">
        <f t="shared" si="941"/>
        <v>0</v>
      </c>
      <c r="AJ2054" s="133">
        <f t="shared" si="942"/>
        <v>1</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1</v>
      </c>
      <c r="T2055" s="120"/>
      <c r="U2055" s="121" t="s">
        <v>293</v>
      </c>
      <c r="V2055" s="133">
        <f t="shared" si="936"/>
        <v>1</v>
      </c>
      <c r="W2055" s="133">
        <f>VLOOKUP(U2055,Sheet1!$B$6:$C$45,2,FALSE)*V2055</f>
        <v>0</v>
      </c>
      <c r="X2055" s="141"/>
      <c r="Y2055" s="121" t="s">
        <v>293</v>
      </c>
      <c r="Z2055" s="146">
        <f>VLOOKUP(Takeoffs!Y2055,Sheet1!$B$6:$C$124,2,FALSE)</f>
        <v>0</v>
      </c>
      <c r="AA2055" s="146">
        <f t="shared" si="937"/>
        <v>0</v>
      </c>
      <c r="AB2055" s="143">
        <f t="shared" si="938"/>
        <v>1</v>
      </c>
      <c r="AC2055" s="133">
        <f t="shared" si="939"/>
        <v>1</v>
      </c>
      <c r="AD2055" s="142">
        <v>1</v>
      </c>
      <c r="AE2055" s="141"/>
      <c r="AF2055" s="121" t="s">
        <v>293</v>
      </c>
      <c r="AG2055" s="146">
        <f>VLOOKUP(Takeoffs!AF2055,Sheet1!$B$6:$C$124,2,FALSE)</f>
        <v>0</v>
      </c>
      <c r="AH2055" s="146">
        <f t="shared" si="940"/>
        <v>0</v>
      </c>
      <c r="AI2055" s="143">
        <f t="shared" si="941"/>
        <v>0</v>
      </c>
      <c r="AJ2055" s="133">
        <f t="shared" si="942"/>
        <v>1</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1</v>
      </c>
      <c r="T2056" s="120"/>
      <c r="U2056" s="121" t="s">
        <v>293</v>
      </c>
      <c r="V2056" s="133">
        <f t="shared" si="936"/>
        <v>1</v>
      </c>
      <c r="W2056" s="133">
        <f>VLOOKUP(U2056,Sheet1!$B$6:$C$45,2,FALSE)*V2056</f>
        <v>0</v>
      </c>
      <c r="X2056" s="141"/>
      <c r="Y2056" s="121" t="s">
        <v>293</v>
      </c>
      <c r="Z2056" s="146">
        <f>VLOOKUP(Takeoffs!Y2056,Sheet1!$B$6:$C$124,2,FALSE)</f>
        <v>0</v>
      </c>
      <c r="AA2056" s="146">
        <f t="shared" si="937"/>
        <v>0</v>
      </c>
      <c r="AB2056" s="143">
        <f t="shared" si="938"/>
        <v>1</v>
      </c>
      <c r="AC2056" s="133">
        <f t="shared" si="939"/>
        <v>1</v>
      </c>
      <c r="AD2056" s="142">
        <v>1</v>
      </c>
      <c r="AE2056" s="141"/>
      <c r="AF2056" s="121" t="s">
        <v>293</v>
      </c>
      <c r="AG2056" s="146">
        <f>VLOOKUP(Takeoffs!AF2056,Sheet1!$B$6:$C$124,2,FALSE)</f>
        <v>0</v>
      </c>
      <c r="AH2056" s="146">
        <f t="shared" si="940"/>
        <v>0</v>
      </c>
      <c r="AI2056" s="143">
        <f t="shared" si="941"/>
        <v>0</v>
      </c>
      <c r="AJ2056" s="133">
        <f t="shared" si="942"/>
        <v>1</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1</v>
      </c>
      <c r="T2057" s="120"/>
      <c r="U2057" s="121" t="s">
        <v>293</v>
      </c>
      <c r="V2057" s="133">
        <f t="shared" si="936"/>
        <v>1</v>
      </c>
      <c r="W2057" s="133">
        <f>VLOOKUP(U2057,Sheet1!$B$6:$C$45,2,FALSE)*V2057</f>
        <v>0</v>
      </c>
      <c r="X2057" s="141"/>
      <c r="Y2057" s="121" t="s">
        <v>293</v>
      </c>
      <c r="Z2057" s="146">
        <f>VLOOKUP(Takeoffs!Y2057,Sheet1!$B$6:$C$124,2,FALSE)</f>
        <v>0</v>
      </c>
      <c r="AA2057" s="146">
        <f t="shared" si="937"/>
        <v>0</v>
      </c>
      <c r="AB2057" s="143">
        <f t="shared" si="938"/>
        <v>1</v>
      </c>
      <c r="AC2057" s="133">
        <f t="shared" si="939"/>
        <v>1</v>
      </c>
      <c r="AD2057" s="142">
        <v>1</v>
      </c>
      <c r="AE2057" s="141"/>
      <c r="AF2057" s="121" t="s">
        <v>293</v>
      </c>
      <c r="AG2057" s="146">
        <f>VLOOKUP(Takeoffs!AF2057,Sheet1!$B$6:$C$124,2,FALSE)</f>
        <v>0</v>
      </c>
      <c r="AH2057" s="146">
        <f t="shared" si="940"/>
        <v>0</v>
      </c>
      <c r="AI2057" s="143">
        <f t="shared" si="941"/>
        <v>0</v>
      </c>
      <c r="AJ2057" s="133">
        <f t="shared" si="942"/>
        <v>1</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1</v>
      </c>
      <c r="T2058" s="120"/>
      <c r="U2058" s="121" t="s">
        <v>293</v>
      </c>
      <c r="V2058" s="133">
        <f t="shared" si="936"/>
        <v>1</v>
      </c>
      <c r="W2058" s="133">
        <f>VLOOKUP(U2058,Sheet1!$B$6:$C$45,2,FALSE)*V2058</f>
        <v>0</v>
      </c>
      <c r="X2058" s="141"/>
      <c r="Y2058" s="121" t="s">
        <v>293</v>
      </c>
      <c r="Z2058" s="146">
        <f>VLOOKUP(Takeoffs!Y2058,Sheet1!$B$6:$C$124,2,FALSE)</f>
        <v>0</v>
      </c>
      <c r="AA2058" s="146">
        <f t="shared" si="937"/>
        <v>0</v>
      </c>
      <c r="AB2058" s="143">
        <f t="shared" si="938"/>
        <v>1</v>
      </c>
      <c r="AC2058" s="133">
        <f t="shared" si="939"/>
        <v>1</v>
      </c>
      <c r="AD2058" s="142">
        <v>1</v>
      </c>
      <c r="AE2058" s="141"/>
      <c r="AF2058" s="121" t="s">
        <v>293</v>
      </c>
      <c r="AG2058" s="146">
        <f>VLOOKUP(Takeoffs!AF2058,Sheet1!$B$6:$C$124,2,FALSE)</f>
        <v>0</v>
      </c>
      <c r="AH2058" s="146">
        <f t="shared" si="940"/>
        <v>0</v>
      </c>
      <c r="AI2058" s="143">
        <f t="shared" si="941"/>
        <v>0</v>
      </c>
      <c r="AJ2058" s="133">
        <f t="shared" si="942"/>
        <v>1</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1</v>
      </c>
      <c r="T2059" s="120"/>
      <c r="U2059" s="121" t="s">
        <v>293</v>
      </c>
      <c r="V2059" s="133">
        <f t="shared" si="936"/>
        <v>1</v>
      </c>
      <c r="W2059" s="133">
        <f>VLOOKUP(U2059,Sheet1!$B$6:$C$45,2,FALSE)*V2059</f>
        <v>0</v>
      </c>
      <c r="X2059" s="141"/>
      <c r="Y2059" s="121" t="s">
        <v>293</v>
      </c>
      <c r="Z2059" s="146">
        <f>VLOOKUP(Takeoffs!Y2059,Sheet1!$B$6:$C$124,2,FALSE)</f>
        <v>0</v>
      </c>
      <c r="AA2059" s="146">
        <f t="shared" si="937"/>
        <v>0</v>
      </c>
      <c r="AB2059" s="143">
        <f t="shared" si="938"/>
        <v>1</v>
      </c>
      <c r="AC2059" s="133">
        <f t="shared" si="939"/>
        <v>1</v>
      </c>
      <c r="AD2059" s="142">
        <v>1</v>
      </c>
      <c r="AE2059" s="141"/>
      <c r="AF2059" s="121" t="s">
        <v>293</v>
      </c>
      <c r="AG2059" s="146">
        <f>VLOOKUP(Takeoffs!AF2059,Sheet1!$B$6:$C$124,2,FALSE)</f>
        <v>0</v>
      </c>
      <c r="AH2059" s="146">
        <f t="shared" si="940"/>
        <v>0</v>
      </c>
      <c r="AI2059" s="143">
        <f t="shared" si="941"/>
        <v>0</v>
      </c>
      <c r="AJ2059" s="133">
        <f t="shared" si="942"/>
        <v>1</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1</v>
      </c>
      <c r="T2060" s="120"/>
      <c r="U2060" s="121" t="s">
        <v>293</v>
      </c>
      <c r="V2060" s="133">
        <f t="shared" si="936"/>
        <v>1</v>
      </c>
      <c r="W2060" s="133">
        <f>VLOOKUP(U2060,Sheet1!$B$6:$C$45,2,FALSE)*V2060</f>
        <v>0</v>
      </c>
      <c r="X2060" s="141"/>
      <c r="Y2060" s="121" t="s">
        <v>293</v>
      </c>
      <c r="Z2060" s="146">
        <f>VLOOKUP(Takeoffs!Y2060,Sheet1!$B$6:$C$124,2,FALSE)</f>
        <v>0</v>
      </c>
      <c r="AA2060" s="146">
        <f t="shared" si="937"/>
        <v>0</v>
      </c>
      <c r="AB2060" s="143">
        <f t="shared" si="938"/>
        <v>1</v>
      </c>
      <c r="AC2060" s="133">
        <f t="shared" si="939"/>
        <v>1</v>
      </c>
      <c r="AD2060" s="142">
        <v>1</v>
      </c>
      <c r="AE2060" s="141"/>
      <c r="AF2060" s="121" t="s">
        <v>293</v>
      </c>
      <c r="AG2060" s="146">
        <f>VLOOKUP(Takeoffs!AF2060,Sheet1!$B$6:$C$124,2,FALSE)</f>
        <v>0</v>
      </c>
      <c r="AH2060" s="146">
        <f t="shared" si="940"/>
        <v>0</v>
      </c>
      <c r="AI2060" s="143">
        <f t="shared" si="941"/>
        <v>0</v>
      </c>
      <c r="AJ2060" s="133">
        <f t="shared" si="942"/>
        <v>1</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1</v>
      </c>
      <c r="T2061" s="120"/>
      <c r="U2061" s="121" t="s">
        <v>293</v>
      </c>
      <c r="V2061" s="133">
        <f t="shared" si="936"/>
        <v>1</v>
      </c>
      <c r="W2061" s="133">
        <f>VLOOKUP(U2061,Sheet1!$B$6:$C$45,2,FALSE)*V2061</f>
        <v>0</v>
      </c>
      <c r="X2061" s="141"/>
      <c r="Y2061" s="121" t="s">
        <v>293</v>
      </c>
      <c r="Z2061" s="146">
        <f>VLOOKUP(Takeoffs!Y2061,Sheet1!$B$6:$C$124,2,FALSE)</f>
        <v>0</v>
      </c>
      <c r="AA2061" s="146">
        <f t="shared" si="937"/>
        <v>0</v>
      </c>
      <c r="AB2061" s="143">
        <f t="shared" si="938"/>
        <v>1</v>
      </c>
      <c r="AC2061" s="133">
        <f t="shared" si="939"/>
        <v>1</v>
      </c>
      <c r="AD2061" s="142">
        <v>1</v>
      </c>
      <c r="AE2061" s="141"/>
      <c r="AF2061" s="121" t="s">
        <v>293</v>
      </c>
      <c r="AG2061" s="146">
        <f>VLOOKUP(Takeoffs!AF2061,Sheet1!$B$6:$C$124,2,FALSE)</f>
        <v>0</v>
      </c>
      <c r="AH2061" s="146">
        <f t="shared" si="940"/>
        <v>0</v>
      </c>
      <c r="AI2061" s="143">
        <f t="shared" si="941"/>
        <v>0</v>
      </c>
      <c r="AJ2061" s="133">
        <f t="shared" si="942"/>
        <v>1</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1</v>
      </c>
      <c r="T2062" s="120"/>
      <c r="U2062" s="121" t="s">
        <v>293</v>
      </c>
      <c r="V2062" s="133">
        <f t="shared" si="936"/>
        <v>1</v>
      </c>
      <c r="W2062" s="133">
        <f>VLOOKUP(U2062,Sheet1!$B$6:$C$45,2,FALSE)*V2062</f>
        <v>0</v>
      </c>
      <c r="X2062" s="141"/>
      <c r="Y2062" s="121" t="s">
        <v>293</v>
      </c>
      <c r="Z2062" s="146">
        <f>VLOOKUP(Takeoffs!Y2062,Sheet1!$B$6:$C$124,2,FALSE)</f>
        <v>0</v>
      </c>
      <c r="AA2062" s="146">
        <f t="shared" si="937"/>
        <v>0</v>
      </c>
      <c r="AB2062" s="143">
        <f t="shared" si="938"/>
        <v>1</v>
      </c>
      <c r="AC2062" s="133">
        <f t="shared" si="939"/>
        <v>1</v>
      </c>
      <c r="AD2062" s="142">
        <v>1</v>
      </c>
      <c r="AE2062" s="141"/>
      <c r="AF2062" s="121" t="s">
        <v>293</v>
      </c>
      <c r="AG2062" s="146">
        <f>VLOOKUP(Takeoffs!AF2062,Sheet1!$B$6:$C$124,2,FALSE)</f>
        <v>0</v>
      </c>
      <c r="AH2062" s="146">
        <f t="shared" si="940"/>
        <v>0</v>
      </c>
      <c r="AI2062" s="143">
        <f t="shared" si="941"/>
        <v>0</v>
      </c>
      <c r="AJ2062" s="133">
        <f t="shared" si="942"/>
        <v>1</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1</v>
      </c>
      <c r="T2063" s="120"/>
      <c r="U2063" s="121" t="s">
        <v>293</v>
      </c>
      <c r="V2063" s="133">
        <f t="shared" si="936"/>
        <v>1</v>
      </c>
      <c r="W2063" s="133">
        <f>VLOOKUP(U2063,Sheet1!$B$6:$C$45,2,FALSE)*V2063</f>
        <v>0</v>
      </c>
      <c r="X2063" s="141"/>
      <c r="Y2063" s="121" t="s">
        <v>293</v>
      </c>
      <c r="Z2063" s="146">
        <f>VLOOKUP(Takeoffs!Y2063,Sheet1!$B$6:$C$124,2,FALSE)</f>
        <v>0</v>
      </c>
      <c r="AA2063" s="146">
        <f t="shared" si="937"/>
        <v>0</v>
      </c>
      <c r="AB2063" s="143">
        <f t="shared" si="938"/>
        <v>1</v>
      </c>
      <c r="AC2063" s="133">
        <f t="shared" si="939"/>
        <v>1</v>
      </c>
      <c r="AD2063" s="142">
        <v>1</v>
      </c>
      <c r="AE2063" s="141"/>
      <c r="AF2063" s="121" t="s">
        <v>293</v>
      </c>
      <c r="AG2063" s="146">
        <f>VLOOKUP(Takeoffs!AF2063,Sheet1!$B$6:$C$124,2,FALSE)</f>
        <v>0</v>
      </c>
      <c r="AH2063" s="146">
        <f t="shared" si="940"/>
        <v>0</v>
      </c>
      <c r="AI2063" s="143">
        <f t="shared" si="941"/>
        <v>0</v>
      </c>
      <c r="AJ2063" s="133">
        <f t="shared" si="942"/>
        <v>1</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1</v>
      </c>
      <c r="T2064" s="120"/>
      <c r="U2064" s="121" t="s">
        <v>293</v>
      </c>
      <c r="V2064" s="133">
        <f t="shared" si="936"/>
        <v>1</v>
      </c>
      <c r="W2064" s="133">
        <f>VLOOKUP(U2064,Sheet1!$B$6:$C$45,2,FALSE)*V2064</f>
        <v>0</v>
      </c>
      <c r="X2064" s="141"/>
      <c r="Y2064" s="121" t="s">
        <v>293</v>
      </c>
      <c r="Z2064" s="146">
        <f>VLOOKUP(Takeoffs!Y2064,Sheet1!$B$6:$C$124,2,FALSE)</f>
        <v>0</v>
      </c>
      <c r="AA2064" s="146">
        <f t="shared" si="937"/>
        <v>0</v>
      </c>
      <c r="AB2064" s="143">
        <f t="shared" si="938"/>
        <v>1</v>
      </c>
      <c r="AC2064" s="133">
        <f t="shared" si="939"/>
        <v>1</v>
      </c>
      <c r="AD2064" s="142">
        <v>1</v>
      </c>
      <c r="AE2064" s="141"/>
      <c r="AF2064" s="121" t="s">
        <v>293</v>
      </c>
      <c r="AG2064" s="146">
        <f>VLOOKUP(Takeoffs!AF2064,Sheet1!$B$6:$C$124,2,FALSE)</f>
        <v>0</v>
      </c>
      <c r="AH2064" s="146">
        <f t="shared" si="940"/>
        <v>0</v>
      </c>
      <c r="AI2064" s="143">
        <f t="shared" si="941"/>
        <v>0</v>
      </c>
      <c r="AJ2064" s="133">
        <f t="shared" si="942"/>
        <v>1</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1</v>
      </c>
      <c r="T2065" s="120"/>
      <c r="U2065" s="121" t="s">
        <v>293</v>
      </c>
      <c r="V2065" s="133">
        <f t="shared" si="936"/>
        <v>1</v>
      </c>
      <c r="W2065" s="133">
        <f>VLOOKUP(U2065,Sheet1!$B$6:$C$45,2,FALSE)*V2065</f>
        <v>0</v>
      </c>
      <c r="X2065" s="141"/>
      <c r="Y2065" s="121" t="s">
        <v>293</v>
      </c>
      <c r="Z2065" s="146">
        <f>VLOOKUP(Takeoffs!Y2065,Sheet1!$B$6:$C$124,2,FALSE)</f>
        <v>0</v>
      </c>
      <c r="AA2065" s="146">
        <f t="shared" si="937"/>
        <v>0</v>
      </c>
      <c r="AB2065" s="143">
        <f t="shared" si="938"/>
        <v>1</v>
      </c>
      <c r="AC2065" s="133">
        <f t="shared" si="939"/>
        <v>1</v>
      </c>
      <c r="AD2065" s="142">
        <v>1</v>
      </c>
      <c r="AE2065" s="141"/>
      <c r="AF2065" s="121" t="s">
        <v>293</v>
      </c>
      <c r="AG2065" s="146">
        <f>VLOOKUP(Takeoffs!AF2065,Sheet1!$B$6:$C$124,2,FALSE)</f>
        <v>0</v>
      </c>
      <c r="AH2065" s="146">
        <f t="shared" si="940"/>
        <v>0</v>
      </c>
      <c r="AI2065" s="143">
        <f t="shared" si="941"/>
        <v>0</v>
      </c>
      <c r="AJ2065" s="133">
        <f t="shared" si="942"/>
        <v>1</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379</v>
      </c>
      <c r="L2066" s="128" t="s">
        <v>380</v>
      </c>
      <c r="N2066" s="129"/>
      <c r="O2066" s="154" t="s">
        <v>359</v>
      </c>
      <c r="P2066" s="155">
        <f>V2066+AA2066+AH2066</f>
        <v>530.56000000000006</v>
      </c>
      <c r="Q2066" s="155"/>
      <c r="R2066" s="155"/>
      <c r="S2066" s="154"/>
      <c r="T2066" s="156"/>
      <c r="U2066" s="157" t="s">
        <v>353</v>
      </c>
      <c r="V2066" s="156">
        <f>W2066*80</f>
        <v>160</v>
      </c>
      <c r="W2066" s="158">
        <f>SUM(W2045:W2065)</f>
        <v>2</v>
      </c>
      <c r="X2066" s="159"/>
      <c r="Y2066" s="156" t="s">
        <v>354</v>
      </c>
      <c r="Z2066" s="116"/>
      <c r="AA2066" s="116">
        <f>SUM(AA2045:AA2065)</f>
        <v>329.04</v>
      </c>
      <c r="AB2066" s="149"/>
      <c r="AC2066" s="149"/>
      <c r="AD2066" s="149"/>
      <c r="AE2066" s="149"/>
      <c r="AF2066" s="156" t="s">
        <v>358</v>
      </c>
      <c r="AG2066" s="116"/>
      <c r="AH2066" s="116">
        <f>SUM(AH2045:AH2065)</f>
        <v>41.519999999999996</v>
      </c>
      <c r="AI2066" s="149"/>
      <c r="AJ2066" s="149"/>
      <c r="AK2066" s="149"/>
      <c r="AL2066" s="149"/>
      <c r="AM2066" s="150">
        <f>P2066</f>
        <v>530.56000000000006</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494</v>
      </c>
      <c r="C2067" s="217" t="str">
        <f>N2045</f>
        <v>Motion Sensor ( with internal run on timer) with interlock with other system</v>
      </c>
      <c r="D2067" s="260" t="s">
        <v>709</v>
      </c>
      <c r="E2067" s="238"/>
      <c r="F2067" s="217"/>
      <c r="G2067" s="217"/>
      <c r="H2067" s="245"/>
      <c r="I2067" s="270">
        <v>1</v>
      </c>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one (1) Motion Sensor ( with internal run on timer) with interlock with other system. This includes supply and install of controls cabling, power supply, contactors/relays and enclosure. </v>
      </c>
      <c r="K2067" s="246">
        <f>P2066</f>
        <v>530.56000000000006</v>
      </c>
      <c r="L2067" s="234" t="str">
        <f>CONCATENATE(Q2046,Q2047,Q2048,Q2049,Q2050,Q2051,Q2052,Q2053,Q2054,Q2055,Q2056,Q2057,Q2058,Q2059,Q2060,Q2061,Q2062,Q2063,Q2064,Q2065,)</f>
        <v/>
      </c>
      <c r="M2067" s="166" t="s">
        <v>369</v>
      </c>
      <c r="N2067" s="160" t="str">
        <f>N2045</f>
        <v>Motion Sensor ( with internal run on timer) with interlock with other system</v>
      </c>
      <c r="O2067" s="160" t="s">
        <v>367</v>
      </c>
      <c r="P2067" s="171">
        <f>P2066/M2045</f>
        <v>530.56000000000006</v>
      </c>
      <c r="Q2067" s="161"/>
      <c r="R2067" s="161"/>
      <c r="S2067" s="160"/>
      <c r="T2067" s="161"/>
      <c r="U2067" s="327" t="s">
        <v>368</v>
      </c>
      <c r="V2067" s="327"/>
      <c r="W2067" s="162">
        <f>W2066/M2045</f>
        <v>2</v>
      </c>
      <c r="X2067" s="163"/>
      <c r="Y2067" s="325" t="s">
        <v>367</v>
      </c>
      <c r="Z2067" s="325"/>
      <c r="AA2067" s="164">
        <f>AA2066/M2045</f>
        <v>329.04</v>
      </c>
      <c r="AB2067" s="161"/>
      <c r="AC2067" s="161"/>
      <c r="AD2067" s="161"/>
      <c r="AE2067" s="161"/>
      <c r="AF2067" s="325" t="s">
        <v>367</v>
      </c>
      <c r="AG2067" s="325"/>
      <c r="AH2067" s="164">
        <f>AH2066/M2045</f>
        <v>41.519999999999996</v>
      </c>
      <c r="AI2067" s="161"/>
      <c r="AJ2067" s="161"/>
      <c r="AK2067" s="161"/>
      <c r="AL2067" s="247"/>
      <c r="AM2067" s="257"/>
      <c r="AN2067" s="236">
        <f>K2067*1.25</f>
        <v>663.2</v>
      </c>
      <c r="AO2067" s="286"/>
      <c r="AP2067" s="284">
        <f t="shared" si="920"/>
        <v>530.56000000000006</v>
      </c>
      <c r="AQ2067" s="281">
        <f t="shared" si="921"/>
        <v>160</v>
      </c>
      <c r="AR2067" s="284">
        <f t="shared" si="922"/>
        <v>329.04</v>
      </c>
      <c r="AS2067" s="281">
        <f t="shared" si="923"/>
        <v>41.519999999999996</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495</v>
      </c>
      <c r="D2068" s="211"/>
      <c r="E2068" s="218"/>
      <c r="F2068" s="218"/>
      <c r="G2068" s="218"/>
      <c r="H2068" s="218"/>
      <c r="I2068" s="240" t="s">
        <v>0</v>
      </c>
      <c r="J2068" s="116" t="s">
        <v>642</v>
      </c>
      <c r="K2068" s="222" t="s">
        <v>355</v>
      </c>
      <c r="L2068" s="253" t="s">
        <v>390</v>
      </c>
      <c r="M2068" s="116" t="s">
        <v>107</v>
      </c>
      <c r="N2068" s="116" t="s">
        <v>108</v>
      </c>
      <c r="O2068" s="170" t="s">
        <v>388</v>
      </c>
      <c r="P2068" s="326" t="s">
        <v>377</v>
      </c>
      <c r="Q2068" s="326"/>
      <c r="R2068" s="101" t="s">
        <v>454</v>
      </c>
      <c r="S2068" s="116" t="s">
        <v>0</v>
      </c>
      <c r="T2068" s="118"/>
      <c r="U2068" s="116" t="s">
        <v>288</v>
      </c>
      <c r="V2068" s="116" t="s">
        <v>289</v>
      </c>
      <c r="W2068" s="116" t="s">
        <v>292</v>
      </c>
      <c r="X2068" s="140"/>
      <c r="Y2068" s="116" t="s">
        <v>290</v>
      </c>
      <c r="Z2068" s="116" t="s">
        <v>356</v>
      </c>
      <c r="AA2068" s="116" t="s">
        <v>357</v>
      </c>
      <c r="AB2068" s="116" t="s">
        <v>319</v>
      </c>
      <c r="AC2068" s="116" t="s">
        <v>320</v>
      </c>
      <c r="AD2068" s="116" t="s">
        <v>318</v>
      </c>
      <c r="AE2068" s="140"/>
      <c r="AF2068" s="116" t="s">
        <v>294</v>
      </c>
      <c r="AG2068" s="116" t="s">
        <v>356</v>
      </c>
      <c r="AH2068" s="116" t="s">
        <v>357</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one</v>
      </c>
      <c r="M2069" s="121">
        <f>I2091</f>
        <v>1</v>
      </c>
      <c r="N2069" s="132" t="s">
        <v>673</v>
      </c>
      <c r="O2069" s="121" t="s">
        <v>178</v>
      </c>
      <c r="P2069" s="169" t="s">
        <v>381</v>
      </c>
      <c r="Q2069" s="169" t="s">
        <v>377</v>
      </c>
      <c r="R2069" s="169"/>
      <c r="S2069" s="133">
        <f>M2069</f>
        <v>1</v>
      </c>
      <c r="T2069" s="119"/>
      <c r="U2069" s="117" t="s">
        <v>366</v>
      </c>
      <c r="V2069" s="133">
        <f>S2069</f>
        <v>1</v>
      </c>
      <c r="W2069" s="133">
        <f>VLOOKUP(U2069,Sheet1!$B$6:$C$45,2,FALSE)*V2069</f>
        <v>2</v>
      </c>
      <c r="X2069" s="141"/>
      <c r="Y2069" s="121" t="s">
        <v>293</v>
      </c>
      <c r="Z2069" s="146">
        <f>VLOOKUP(Takeoffs!Y2069,Sheet1!$B$6:$C$124,2,FALSE)</f>
        <v>0</v>
      </c>
      <c r="AA2069" s="146">
        <f>Z2069*AB2069</f>
        <v>0</v>
      </c>
      <c r="AB2069" s="143">
        <f>AD2069*AC2069</f>
        <v>1</v>
      </c>
      <c r="AC2069" s="133">
        <f>S2069</f>
        <v>1</v>
      </c>
      <c r="AD2069" s="142">
        <v>1</v>
      </c>
      <c r="AE2069" s="141"/>
      <c r="AF2069" s="121" t="s">
        <v>293</v>
      </c>
      <c r="AG2069" s="146">
        <f>VLOOKUP(Takeoffs!AF2069,Sheet1!$B$6:$C$124,2,FALSE)</f>
        <v>0</v>
      </c>
      <c r="AH2069" s="146">
        <f>AG2069*AI2069</f>
        <v>0</v>
      </c>
      <c r="AI2069" s="143">
        <f>AK2069*AJ2069</f>
        <v>0</v>
      </c>
      <c r="AJ2069" s="133">
        <f>S2069</f>
        <v>1</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1</v>
      </c>
      <c r="T2070" s="120"/>
      <c r="U2070" s="121" t="s">
        <v>293</v>
      </c>
      <c r="V2070" s="133">
        <f t="shared" ref="V2070:V2089" si="951">S2070</f>
        <v>1</v>
      </c>
      <c r="W2070" s="133">
        <f>VLOOKUP(U2070,Sheet1!$B$6:$C$45,2,FALSE)*V2070</f>
        <v>0</v>
      </c>
      <c r="X2070" s="141"/>
      <c r="Y2070" s="135" t="s">
        <v>245</v>
      </c>
      <c r="Z2070" s="146">
        <f>VLOOKUP(Takeoffs!Y2070,Sheet1!$B$6:$C$124,2,FALSE)</f>
        <v>46.463999999999999</v>
      </c>
      <c r="AA2070" s="146">
        <f t="shared" ref="AA2070:AA2089" si="952">Z2070*AB2070</f>
        <v>46.463999999999999</v>
      </c>
      <c r="AB2070" s="143">
        <f t="shared" ref="AB2070:AB2089" si="953">AD2070*AC2070</f>
        <v>1</v>
      </c>
      <c r="AC2070" s="133">
        <f t="shared" ref="AC2070:AC2089" si="954">S2070</f>
        <v>1</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1</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391</v>
      </c>
      <c r="P2071" s="121"/>
      <c r="Q2071" s="121"/>
      <c r="R2071" s="121"/>
      <c r="S2071" s="133">
        <f>M2069</f>
        <v>1</v>
      </c>
      <c r="T2071" s="120"/>
      <c r="U2071" s="121" t="s">
        <v>293</v>
      </c>
      <c r="V2071" s="133">
        <f t="shared" si="951"/>
        <v>1</v>
      </c>
      <c r="W2071" s="133">
        <f>VLOOKUP(U2071,Sheet1!$B$6:$C$45,2,FALSE)*V2071</f>
        <v>0</v>
      </c>
      <c r="X2071" s="141"/>
      <c r="Y2071" s="121" t="s">
        <v>293</v>
      </c>
      <c r="Z2071" s="146">
        <f>VLOOKUP(Takeoffs!Y2071,Sheet1!$B$6:$C$124,2,FALSE)</f>
        <v>0</v>
      </c>
      <c r="AA2071" s="146">
        <f t="shared" si="952"/>
        <v>0</v>
      </c>
      <c r="AB2071" s="143">
        <f t="shared" si="953"/>
        <v>1</v>
      </c>
      <c r="AC2071" s="133">
        <f t="shared" si="954"/>
        <v>1</v>
      </c>
      <c r="AD2071" s="142">
        <v>1</v>
      </c>
      <c r="AE2071" s="141"/>
      <c r="AF2071" s="122" t="s">
        <v>268</v>
      </c>
      <c r="AG2071" s="146">
        <f>VLOOKUP(Takeoffs!AF2071,Sheet1!$B$6:$C$124,2,FALSE)</f>
        <v>1.02</v>
      </c>
      <c r="AH2071" s="146">
        <f t="shared" si="955"/>
        <v>20.399999999999999</v>
      </c>
      <c r="AI2071" s="143">
        <f t="shared" si="956"/>
        <v>20</v>
      </c>
      <c r="AJ2071" s="133">
        <f t="shared" si="957"/>
        <v>1</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1</v>
      </c>
      <c r="T2072" s="120"/>
      <c r="U2072" s="121" t="s">
        <v>293</v>
      </c>
      <c r="V2072" s="133">
        <f t="shared" si="951"/>
        <v>1</v>
      </c>
      <c r="W2072" s="133">
        <f>VLOOKUP(U2072,Sheet1!$B$6:$C$45,2,FALSE)*V2072</f>
        <v>0</v>
      </c>
      <c r="X2072" s="141"/>
      <c r="Y2072" s="135" t="s">
        <v>281</v>
      </c>
      <c r="Z2072" s="146">
        <f>VLOOKUP(Takeoffs!Y2072,Sheet1!$B$6:$C$124,2,FALSE)</f>
        <v>109.25999999999999</v>
      </c>
      <c r="AA2072" s="146">
        <f t="shared" si="952"/>
        <v>109.25999999999999</v>
      </c>
      <c r="AB2072" s="143">
        <f t="shared" si="953"/>
        <v>1</v>
      </c>
      <c r="AC2072" s="133">
        <f t="shared" si="954"/>
        <v>1</v>
      </c>
      <c r="AD2072" s="142">
        <v>1</v>
      </c>
      <c r="AE2072" s="141"/>
      <c r="AF2072" s="121" t="s">
        <v>293</v>
      </c>
      <c r="AG2072" s="146">
        <f>VLOOKUP(Takeoffs!AF2072,Sheet1!$B$6:$C$124,2,FALSE)</f>
        <v>0</v>
      </c>
      <c r="AH2072" s="146">
        <f t="shared" si="955"/>
        <v>0</v>
      </c>
      <c r="AI2072" s="143">
        <f t="shared" si="956"/>
        <v>20</v>
      </c>
      <c r="AJ2072" s="133">
        <f t="shared" si="957"/>
        <v>1</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674</v>
      </c>
      <c r="P2073" s="121"/>
      <c r="Q2073" s="121"/>
      <c r="R2073" s="121"/>
      <c r="S2073" s="133">
        <f>M2069</f>
        <v>1</v>
      </c>
      <c r="T2073" s="120"/>
      <c r="U2073" s="121" t="s">
        <v>293</v>
      </c>
      <c r="V2073" s="133">
        <f t="shared" si="951"/>
        <v>1</v>
      </c>
      <c r="W2073" s="133">
        <f>VLOOKUP(U2073,Sheet1!$B$6:$C$45,2,FALSE)*V2073</f>
        <v>0</v>
      </c>
      <c r="X2073" s="141"/>
      <c r="Y2073" s="121" t="s">
        <v>293</v>
      </c>
      <c r="Z2073" s="146">
        <f>VLOOKUP(Takeoffs!Y2073,Sheet1!$B$6:$C$124,2,FALSE)</f>
        <v>0</v>
      </c>
      <c r="AA2073" s="146">
        <f t="shared" si="952"/>
        <v>0</v>
      </c>
      <c r="AB2073" s="143">
        <f t="shared" si="953"/>
        <v>1</v>
      </c>
      <c r="AC2073" s="133">
        <f t="shared" si="954"/>
        <v>1</v>
      </c>
      <c r="AD2073" s="142">
        <v>1</v>
      </c>
      <c r="AE2073" s="141"/>
      <c r="AF2073" s="121" t="s">
        <v>293</v>
      </c>
      <c r="AG2073" s="146">
        <f>VLOOKUP(Takeoffs!AF2073,Sheet1!$B$6:$C$124,2,FALSE)</f>
        <v>0</v>
      </c>
      <c r="AH2073" s="146">
        <f t="shared" si="955"/>
        <v>0</v>
      </c>
      <c r="AI2073" s="143">
        <f t="shared" si="956"/>
        <v>0</v>
      </c>
      <c r="AJ2073" s="133">
        <f t="shared" si="957"/>
        <v>1</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1</v>
      </c>
      <c r="T2074" s="120"/>
      <c r="U2074" s="121" t="s">
        <v>293</v>
      </c>
      <c r="V2074" s="133">
        <f t="shared" si="951"/>
        <v>1</v>
      </c>
      <c r="W2074" s="133">
        <f>VLOOKUP(U2074,Sheet1!$B$6:$C$45,2,FALSE)*V2074</f>
        <v>0</v>
      </c>
      <c r="X2074" s="141"/>
      <c r="Y2074" s="52" t="s">
        <v>252</v>
      </c>
      <c r="Z2074" s="146">
        <f>VLOOKUP(Takeoffs!Y2074,Sheet1!$B$6:$C$124,2,FALSE)</f>
        <v>43.440000000000005</v>
      </c>
      <c r="AA2074" s="146">
        <f t="shared" si="952"/>
        <v>43.440000000000005</v>
      </c>
      <c r="AB2074" s="143">
        <f t="shared" si="953"/>
        <v>1</v>
      </c>
      <c r="AC2074" s="133">
        <f t="shared" si="954"/>
        <v>1</v>
      </c>
      <c r="AD2074" s="142">
        <v>1</v>
      </c>
      <c r="AE2074" s="141"/>
      <c r="AF2074" s="121" t="s">
        <v>293</v>
      </c>
      <c r="AG2074" s="146">
        <f>VLOOKUP(Takeoffs!AF2074,Sheet1!$B$6:$C$124,2,FALSE)</f>
        <v>0</v>
      </c>
      <c r="AH2074" s="146">
        <f t="shared" si="955"/>
        <v>0</v>
      </c>
      <c r="AI2074" s="143">
        <f t="shared" si="956"/>
        <v>0</v>
      </c>
      <c r="AJ2074" s="133">
        <f t="shared" si="957"/>
        <v>1</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1</v>
      </c>
      <c r="T2075" s="120"/>
      <c r="U2075" s="121" t="s">
        <v>293</v>
      </c>
      <c r="V2075" s="133">
        <f t="shared" si="951"/>
        <v>1</v>
      </c>
      <c r="W2075" s="133">
        <f>VLOOKUP(U2075,Sheet1!$B$6:$C$45,2,FALSE)*V2075</f>
        <v>0</v>
      </c>
      <c r="X2075" s="141"/>
      <c r="Y2075" s="121" t="s">
        <v>293</v>
      </c>
      <c r="Z2075" s="146">
        <f>VLOOKUP(Takeoffs!Y2075,Sheet1!$B$6:$C$124,2,FALSE)</f>
        <v>0</v>
      </c>
      <c r="AA2075" s="146">
        <f t="shared" si="952"/>
        <v>0</v>
      </c>
      <c r="AB2075" s="143">
        <f t="shared" si="953"/>
        <v>1</v>
      </c>
      <c r="AC2075" s="133">
        <f t="shared" si="954"/>
        <v>1</v>
      </c>
      <c r="AD2075" s="142">
        <v>1</v>
      </c>
      <c r="AE2075" s="141"/>
      <c r="AF2075" s="121" t="s">
        <v>293</v>
      </c>
      <c r="AG2075" s="146">
        <f>VLOOKUP(Takeoffs!AF2075,Sheet1!$B$6:$C$124,2,FALSE)</f>
        <v>0</v>
      </c>
      <c r="AH2075" s="146">
        <f t="shared" si="955"/>
        <v>0</v>
      </c>
      <c r="AI2075" s="143">
        <f t="shared" si="956"/>
        <v>0</v>
      </c>
      <c r="AJ2075" s="133">
        <f t="shared" si="957"/>
        <v>1</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1</v>
      </c>
      <c r="T2076" s="120"/>
      <c r="U2076" s="121" t="s">
        <v>293</v>
      </c>
      <c r="V2076" s="133">
        <f t="shared" si="951"/>
        <v>1</v>
      </c>
      <c r="W2076" s="133">
        <f>VLOOKUP(U2076,Sheet1!$B$6:$C$45,2,FALSE)*V2076</f>
        <v>0</v>
      </c>
      <c r="X2076" s="141"/>
      <c r="Y2076" s="121" t="s">
        <v>293</v>
      </c>
      <c r="Z2076" s="146">
        <f>VLOOKUP(Takeoffs!Y2076,Sheet1!$B$6:$C$124,2,FALSE)</f>
        <v>0</v>
      </c>
      <c r="AA2076" s="146">
        <f t="shared" si="952"/>
        <v>0</v>
      </c>
      <c r="AB2076" s="143">
        <f t="shared" si="953"/>
        <v>1</v>
      </c>
      <c r="AC2076" s="133">
        <f t="shared" si="954"/>
        <v>1</v>
      </c>
      <c r="AD2076" s="142">
        <v>1</v>
      </c>
      <c r="AE2076" s="141"/>
      <c r="AF2076" s="121" t="s">
        <v>293</v>
      </c>
      <c r="AG2076" s="146">
        <f>VLOOKUP(Takeoffs!AF2076,Sheet1!$B$6:$C$124,2,FALSE)</f>
        <v>0</v>
      </c>
      <c r="AH2076" s="146">
        <f t="shared" si="955"/>
        <v>0</v>
      </c>
      <c r="AI2076" s="143">
        <f t="shared" si="956"/>
        <v>0</v>
      </c>
      <c r="AJ2076" s="133">
        <f t="shared" si="957"/>
        <v>1</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1</v>
      </c>
      <c r="T2077" s="120"/>
      <c r="U2077" s="121" t="s">
        <v>293</v>
      </c>
      <c r="V2077" s="133">
        <f t="shared" si="951"/>
        <v>1</v>
      </c>
      <c r="W2077" s="133">
        <f>VLOOKUP(U2077,Sheet1!$B$6:$C$45,2,FALSE)*V2077</f>
        <v>0</v>
      </c>
      <c r="X2077" s="141"/>
      <c r="Y2077" s="121" t="s">
        <v>293</v>
      </c>
      <c r="Z2077" s="146">
        <f>VLOOKUP(Takeoffs!Y2077,Sheet1!$B$6:$C$124,2,FALSE)</f>
        <v>0</v>
      </c>
      <c r="AA2077" s="146">
        <f t="shared" si="952"/>
        <v>0</v>
      </c>
      <c r="AB2077" s="143">
        <f t="shared" si="953"/>
        <v>1</v>
      </c>
      <c r="AC2077" s="133">
        <f t="shared" si="954"/>
        <v>1</v>
      </c>
      <c r="AD2077" s="142">
        <v>1</v>
      </c>
      <c r="AE2077" s="141"/>
      <c r="AF2077" s="121" t="s">
        <v>293</v>
      </c>
      <c r="AG2077" s="146">
        <f>VLOOKUP(Takeoffs!AF2077,Sheet1!$B$6:$C$124,2,FALSE)</f>
        <v>0</v>
      </c>
      <c r="AH2077" s="146">
        <f t="shared" si="955"/>
        <v>0</v>
      </c>
      <c r="AI2077" s="143">
        <f t="shared" si="956"/>
        <v>0</v>
      </c>
      <c r="AJ2077" s="133">
        <f t="shared" si="957"/>
        <v>1</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1</v>
      </c>
      <c r="T2078" s="120"/>
      <c r="U2078" s="121" t="s">
        <v>293</v>
      </c>
      <c r="V2078" s="133">
        <f t="shared" si="951"/>
        <v>1</v>
      </c>
      <c r="W2078" s="133">
        <f>VLOOKUP(U2078,Sheet1!$B$6:$C$45,2,FALSE)*V2078</f>
        <v>0</v>
      </c>
      <c r="X2078" s="141"/>
      <c r="Y2078" s="121" t="s">
        <v>293</v>
      </c>
      <c r="Z2078" s="146">
        <f>VLOOKUP(Takeoffs!Y2078,Sheet1!$B$6:$C$124,2,FALSE)</f>
        <v>0</v>
      </c>
      <c r="AA2078" s="146">
        <f t="shared" si="952"/>
        <v>0</v>
      </c>
      <c r="AB2078" s="143">
        <f t="shared" si="953"/>
        <v>1</v>
      </c>
      <c r="AC2078" s="133">
        <f t="shared" si="954"/>
        <v>1</v>
      </c>
      <c r="AD2078" s="142">
        <v>1</v>
      </c>
      <c r="AE2078" s="141"/>
      <c r="AF2078" s="121" t="s">
        <v>293</v>
      </c>
      <c r="AG2078" s="146">
        <f>VLOOKUP(Takeoffs!AF2078,Sheet1!$B$6:$C$124,2,FALSE)</f>
        <v>0</v>
      </c>
      <c r="AH2078" s="146">
        <f t="shared" si="955"/>
        <v>0</v>
      </c>
      <c r="AI2078" s="143">
        <f t="shared" si="956"/>
        <v>0</v>
      </c>
      <c r="AJ2078" s="133">
        <f t="shared" si="957"/>
        <v>1</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1</v>
      </c>
      <c r="T2079" s="120"/>
      <c r="U2079" s="121" t="s">
        <v>293</v>
      </c>
      <c r="V2079" s="133">
        <f t="shared" si="951"/>
        <v>1</v>
      </c>
      <c r="W2079" s="133">
        <f>VLOOKUP(U2079,Sheet1!$B$6:$C$45,2,FALSE)*V2079</f>
        <v>0</v>
      </c>
      <c r="X2079" s="141"/>
      <c r="Y2079" s="121" t="s">
        <v>293</v>
      </c>
      <c r="Z2079" s="146">
        <f>VLOOKUP(Takeoffs!Y2079,Sheet1!$B$6:$C$124,2,FALSE)</f>
        <v>0</v>
      </c>
      <c r="AA2079" s="146">
        <f t="shared" si="952"/>
        <v>0</v>
      </c>
      <c r="AB2079" s="143">
        <f t="shared" si="953"/>
        <v>1</v>
      </c>
      <c r="AC2079" s="133">
        <f t="shared" si="954"/>
        <v>1</v>
      </c>
      <c r="AD2079" s="142">
        <v>1</v>
      </c>
      <c r="AE2079" s="141"/>
      <c r="AF2079" s="121" t="s">
        <v>293</v>
      </c>
      <c r="AG2079" s="146">
        <f>VLOOKUP(Takeoffs!AF2079,Sheet1!$B$6:$C$124,2,FALSE)</f>
        <v>0</v>
      </c>
      <c r="AH2079" s="146">
        <f t="shared" si="955"/>
        <v>0</v>
      </c>
      <c r="AI2079" s="143">
        <f t="shared" si="956"/>
        <v>0</v>
      </c>
      <c r="AJ2079" s="133">
        <f t="shared" si="957"/>
        <v>1</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1</v>
      </c>
      <c r="T2080" s="120"/>
      <c r="U2080" s="121" t="s">
        <v>293</v>
      </c>
      <c r="V2080" s="133">
        <f t="shared" si="951"/>
        <v>1</v>
      </c>
      <c r="W2080" s="133">
        <f>VLOOKUP(U2080,Sheet1!$B$6:$C$45,2,FALSE)*V2080</f>
        <v>0</v>
      </c>
      <c r="X2080" s="141"/>
      <c r="Y2080" s="121" t="s">
        <v>293</v>
      </c>
      <c r="Z2080" s="146">
        <f>VLOOKUP(Takeoffs!Y2080,Sheet1!$B$6:$C$124,2,FALSE)</f>
        <v>0</v>
      </c>
      <c r="AA2080" s="146">
        <f t="shared" si="952"/>
        <v>0</v>
      </c>
      <c r="AB2080" s="143">
        <f t="shared" si="953"/>
        <v>1</v>
      </c>
      <c r="AC2080" s="133">
        <f t="shared" si="954"/>
        <v>1</v>
      </c>
      <c r="AD2080" s="142">
        <v>1</v>
      </c>
      <c r="AE2080" s="141"/>
      <c r="AF2080" s="121" t="s">
        <v>293</v>
      </c>
      <c r="AG2080" s="146">
        <f>VLOOKUP(Takeoffs!AF2080,Sheet1!$B$6:$C$124,2,FALSE)</f>
        <v>0</v>
      </c>
      <c r="AH2080" s="146">
        <f t="shared" si="955"/>
        <v>0</v>
      </c>
      <c r="AI2080" s="143">
        <f t="shared" si="956"/>
        <v>0</v>
      </c>
      <c r="AJ2080" s="133">
        <f t="shared" si="957"/>
        <v>1</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1</v>
      </c>
      <c r="T2081" s="120"/>
      <c r="U2081" s="121" t="s">
        <v>293</v>
      </c>
      <c r="V2081" s="133">
        <f t="shared" si="951"/>
        <v>1</v>
      </c>
      <c r="W2081" s="133">
        <f>VLOOKUP(U2081,Sheet1!$B$6:$C$45,2,FALSE)*V2081</f>
        <v>0</v>
      </c>
      <c r="X2081" s="141"/>
      <c r="Y2081" s="121" t="s">
        <v>293</v>
      </c>
      <c r="Z2081" s="146">
        <f>VLOOKUP(Takeoffs!Y2081,Sheet1!$B$6:$C$124,2,FALSE)</f>
        <v>0</v>
      </c>
      <c r="AA2081" s="146">
        <f t="shared" si="952"/>
        <v>0</v>
      </c>
      <c r="AB2081" s="143">
        <f t="shared" si="953"/>
        <v>1</v>
      </c>
      <c r="AC2081" s="133">
        <f t="shared" si="954"/>
        <v>1</v>
      </c>
      <c r="AD2081" s="142">
        <v>1</v>
      </c>
      <c r="AE2081" s="141"/>
      <c r="AF2081" s="121" t="s">
        <v>293</v>
      </c>
      <c r="AG2081" s="146">
        <f>VLOOKUP(Takeoffs!AF2081,Sheet1!$B$6:$C$124,2,FALSE)</f>
        <v>0</v>
      </c>
      <c r="AH2081" s="146">
        <f t="shared" si="955"/>
        <v>0</v>
      </c>
      <c r="AI2081" s="143">
        <f t="shared" si="956"/>
        <v>0</v>
      </c>
      <c r="AJ2081" s="133">
        <f t="shared" si="957"/>
        <v>1</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1</v>
      </c>
      <c r="T2082" s="120"/>
      <c r="U2082" s="121" t="s">
        <v>293</v>
      </c>
      <c r="V2082" s="133">
        <f t="shared" si="951"/>
        <v>1</v>
      </c>
      <c r="W2082" s="133">
        <f>VLOOKUP(U2082,Sheet1!$B$6:$C$45,2,FALSE)*V2082</f>
        <v>0</v>
      </c>
      <c r="X2082" s="141"/>
      <c r="Y2082" s="121" t="s">
        <v>293</v>
      </c>
      <c r="Z2082" s="146">
        <f>VLOOKUP(Takeoffs!Y2082,Sheet1!$B$6:$C$124,2,FALSE)</f>
        <v>0</v>
      </c>
      <c r="AA2082" s="146">
        <f t="shared" si="952"/>
        <v>0</v>
      </c>
      <c r="AB2082" s="143">
        <f t="shared" si="953"/>
        <v>1</v>
      </c>
      <c r="AC2082" s="133">
        <f t="shared" si="954"/>
        <v>1</v>
      </c>
      <c r="AD2082" s="142">
        <v>1</v>
      </c>
      <c r="AE2082" s="141"/>
      <c r="AF2082" s="121" t="s">
        <v>293</v>
      </c>
      <c r="AG2082" s="146">
        <f>VLOOKUP(Takeoffs!AF2082,Sheet1!$B$6:$C$124,2,FALSE)</f>
        <v>0</v>
      </c>
      <c r="AH2082" s="146">
        <f t="shared" si="955"/>
        <v>0</v>
      </c>
      <c r="AI2082" s="143">
        <f t="shared" si="956"/>
        <v>0</v>
      </c>
      <c r="AJ2082" s="133">
        <f t="shared" si="957"/>
        <v>1</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1</v>
      </c>
      <c r="T2083" s="120"/>
      <c r="U2083" s="121" t="s">
        <v>293</v>
      </c>
      <c r="V2083" s="133">
        <f t="shared" si="951"/>
        <v>1</v>
      </c>
      <c r="W2083" s="133">
        <f>VLOOKUP(U2083,Sheet1!$B$6:$C$45,2,FALSE)*V2083</f>
        <v>0</v>
      </c>
      <c r="X2083" s="141"/>
      <c r="Y2083" s="121" t="s">
        <v>293</v>
      </c>
      <c r="Z2083" s="146">
        <f>VLOOKUP(Takeoffs!Y2083,Sheet1!$B$6:$C$124,2,FALSE)</f>
        <v>0</v>
      </c>
      <c r="AA2083" s="146">
        <f t="shared" si="952"/>
        <v>0</v>
      </c>
      <c r="AB2083" s="143">
        <f t="shared" si="953"/>
        <v>1</v>
      </c>
      <c r="AC2083" s="133">
        <f t="shared" si="954"/>
        <v>1</v>
      </c>
      <c r="AD2083" s="142">
        <v>1</v>
      </c>
      <c r="AE2083" s="141"/>
      <c r="AF2083" s="121" t="s">
        <v>293</v>
      </c>
      <c r="AG2083" s="146">
        <f>VLOOKUP(Takeoffs!AF2083,Sheet1!$B$6:$C$124,2,FALSE)</f>
        <v>0</v>
      </c>
      <c r="AH2083" s="146">
        <f t="shared" si="955"/>
        <v>0</v>
      </c>
      <c r="AI2083" s="143">
        <f t="shared" si="956"/>
        <v>0</v>
      </c>
      <c r="AJ2083" s="133">
        <f t="shared" si="957"/>
        <v>1</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1</v>
      </c>
      <c r="T2084" s="120"/>
      <c r="U2084" s="121" t="s">
        <v>293</v>
      </c>
      <c r="V2084" s="133">
        <f t="shared" si="951"/>
        <v>1</v>
      </c>
      <c r="W2084" s="133">
        <f>VLOOKUP(U2084,Sheet1!$B$6:$C$45,2,FALSE)*V2084</f>
        <v>0</v>
      </c>
      <c r="X2084" s="141"/>
      <c r="Y2084" s="121" t="s">
        <v>293</v>
      </c>
      <c r="Z2084" s="146">
        <f>VLOOKUP(Takeoffs!Y2084,Sheet1!$B$6:$C$124,2,FALSE)</f>
        <v>0</v>
      </c>
      <c r="AA2084" s="146">
        <f t="shared" si="952"/>
        <v>0</v>
      </c>
      <c r="AB2084" s="143">
        <f t="shared" si="953"/>
        <v>1</v>
      </c>
      <c r="AC2084" s="133">
        <f t="shared" si="954"/>
        <v>1</v>
      </c>
      <c r="AD2084" s="142">
        <v>1</v>
      </c>
      <c r="AE2084" s="141"/>
      <c r="AF2084" s="121" t="s">
        <v>293</v>
      </c>
      <c r="AG2084" s="146">
        <f>VLOOKUP(Takeoffs!AF2084,Sheet1!$B$6:$C$124,2,FALSE)</f>
        <v>0</v>
      </c>
      <c r="AH2084" s="146">
        <f t="shared" si="955"/>
        <v>0</v>
      </c>
      <c r="AI2084" s="143">
        <f t="shared" si="956"/>
        <v>0</v>
      </c>
      <c r="AJ2084" s="133">
        <f t="shared" si="957"/>
        <v>1</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1</v>
      </c>
      <c r="T2085" s="120"/>
      <c r="U2085" s="121" t="s">
        <v>293</v>
      </c>
      <c r="V2085" s="133">
        <f t="shared" si="951"/>
        <v>1</v>
      </c>
      <c r="W2085" s="133">
        <f>VLOOKUP(U2085,Sheet1!$B$6:$C$45,2,FALSE)*V2085</f>
        <v>0</v>
      </c>
      <c r="X2085" s="141"/>
      <c r="Y2085" s="121" t="s">
        <v>293</v>
      </c>
      <c r="Z2085" s="146">
        <f>VLOOKUP(Takeoffs!Y2085,Sheet1!$B$6:$C$124,2,FALSE)</f>
        <v>0</v>
      </c>
      <c r="AA2085" s="146">
        <f t="shared" si="952"/>
        <v>0</v>
      </c>
      <c r="AB2085" s="143">
        <f t="shared" si="953"/>
        <v>1</v>
      </c>
      <c r="AC2085" s="133">
        <f t="shared" si="954"/>
        <v>1</v>
      </c>
      <c r="AD2085" s="142">
        <v>1</v>
      </c>
      <c r="AE2085" s="141"/>
      <c r="AF2085" s="121" t="s">
        <v>293</v>
      </c>
      <c r="AG2085" s="146">
        <f>VLOOKUP(Takeoffs!AF2085,Sheet1!$B$6:$C$124,2,FALSE)</f>
        <v>0</v>
      </c>
      <c r="AH2085" s="146">
        <f t="shared" si="955"/>
        <v>0</v>
      </c>
      <c r="AI2085" s="143">
        <f t="shared" si="956"/>
        <v>0</v>
      </c>
      <c r="AJ2085" s="133">
        <f t="shared" si="957"/>
        <v>1</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1</v>
      </c>
      <c r="T2086" s="120"/>
      <c r="U2086" s="121" t="s">
        <v>293</v>
      </c>
      <c r="V2086" s="133">
        <f t="shared" si="951"/>
        <v>1</v>
      </c>
      <c r="W2086" s="133">
        <f>VLOOKUP(U2086,Sheet1!$B$6:$C$45,2,FALSE)*V2086</f>
        <v>0</v>
      </c>
      <c r="X2086" s="141"/>
      <c r="Y2086" s="121" t="s">
        <v>293</v>
      </c>
      <c r="Z2086" s="146">
        <f>VLOOKUP(Takeoffs!Y2086,Sheet1!$B$6:$C$124,2,FALSE)</f>
        <v>0</v>
      </c>
      <c r="AA2086" s="146">
        <f t="shared" si="952"/>
        <v>0</v>
      </c>
      <c r="AB2086" s="143">
        <f t="shared" si="953"/>
        <v>1</v>
      </c>
      <c r="AC2086" s="133">
        <f t="shared" si="954"/>
        <v>1</v>
      </c>
      <c r="AD2086" s="142">
        <v>1</v>
      </c>
      <c r="AE2086" s="141"/>
      <c r="AF2086" s="121" t="s">
        <v>293</v>
      </c>
      <c r="AG2086" s="146">
        <f>VLOOKUP(Takeoffs!AF2086,Sheet1!$B$6:$C$124,2,FALSE)</f>
        <v>0</v>
      </c>
      <c r="AH2086" s="146">
        <f t="shared" si="955"/>
        <v>0</v>
      </c>
      <c r="AI2086" s="143">
        <f t="shared" si="956"/>
        <v>0</v>
      </c>
      <c r="AJ2086" s="133">
        <f t="shared" si="957"/>
        <v>1</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1</v>
      </c>
      <c r="T2087" s="120"/>
      <c r="U2087" s="121" t="s">
        <v>293</v>
      </c>
      <c r="V2087" s="133">
        <f t="shared" si="951"/>
        <v>1</v>
      </c>
      <c r="W2087" s="133">
        <f>VLOOKUP(U2087,Sheet1!$B$6:$C$45,2,FALSE)*V2087</f>
        <v>0</v>
      </c>
      <c r="X2087" s="141"/>
      <c r="Y2087" s="121" t="s">
        <v>293</v>
      </c>
      <c r="Z2087" s="146">
        <f>VLOOKUP(Takeoffs!Y2087,Sheet1!$B$6:$C$124,2,FALSE)</f>
        <v>0</v>
      </c>
      <c r="AA2087" s="146">
        <f t="shared" si="952"/>
        <v>0</v>
      </c>
      <c r="AB2087" s="143">
        <f t="shared" si="953"/>
        <v>1</v>
      </c>
      <c r="AC2087" s="133">
        <f t="shared" si="954"/>
        <v>1</v>
      </c>
      <c r="AD2087" s="142">
        <v>1</v>
      </c>
      <c r="AE2087" s="141"/>
      <c r="AF2087" s="121" t="s">
        <v>293</v>
      </c>
      <c r="AG2087" s="146">
        <f>VLOOKUP(Takeoffs!AF2087,Sheet1!$B$6:$C$124,2,FALSE)</f>
        <v>0</v>
      </c>
      <c r="AH2087" s="146">
        <f t="shared" si="955"/>
        <v>0</v>
      </c>
      <c r="AI2087" s="143">
        <f t="shared" si="956"/>
        <v>0</v>
      </c>
      <c r="AJ2087" s="133">
        <f t="shared" si="957"/>
        <v>1</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1</v>
      </c>
      <c r="T2088" s="120"/>
      <c r="U2088" s="121" t="s">
        <v>293</v>
      </c>
      <c r="V2088" s="133">
        <f t="shared" si="951"/>
        <v>1</v>
      </c>
      <c r="W2088" s="133">
        <f>VLOOKUP(U2088,Sheet1!$B$6:$C$45,2,FALSE)*V2088</f>
        <v>0</v>
      </c>
      <c r="X2088" s="141"/>
      <c r="Y2088" s="121" t="s">
        <v>293</v>
      </c>
      <c r="Z2088" s="146">
        <f>VLOOKUP(Takeoffs!Y2088,Sheet1!$B$6:$C$124,2,FALSE)</f>
        <v>0</v>
      </c>
      <c r="AA2088" s="146">
        <f t="shared" si="952"/>
        <v>0</v>
      </c>
      <c r="AB2088" s="143">
        <f t="shared" si="953"/>
        <v>1</v>
      </c>
      <c r="AC2088" s="133">
        <f t="shared" si="954"/>
        <v>1</v>
      </c>
      <c r="AD2088" s="142">
        <v>1</v>
      </c>
      <c r="AE2088" s="141"/>
      <c r="AF2088" s="121" t="s">
        <v>293</v>
      </c>
      <c r="AG2088" s="146">
        <f>VLOOKUP(Takeoffs!AF2088,Sheet1!$B$6:$C$124,2,FALSE)</f>
        <v>0</v>
      </c>
      <c r="AH2088" s="146">
        <f t="shared" si="955"/>
        <v>0</v>
      </c>
      <c r="AI2088" s="143">
        <f t="shared" si="956"/>
        <v>0</v>
      </c>
      <c r="AJ2088" s="133">
        <f t="shared" si="957"/>
        <v>1</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1</v>
      </c>
      <c r="T2089" s="120"/>
      <c r="U2089" s="121" t="s">
        <v>293</v>
      </c>
      <c r="V2089" s="133">
        <f t="shared" si="951"/>
        <v>1</v>
      </c>
      <c r="W2089" s="133">
        <f>VLOOKUP(U2089,Sheet1!$B$6:$C$45,2,FALSE)*V2089</f>
        <v>0</v>
      </c>
      <c r="X2089" s="141"/>
      <c r="Y2089" s="121" t="s">
        <v>293</v>
      </c>
      <c r="Z2089" s="146">
        <f>VLOOKUP(Takeoffs!Y2089,Sheet1!$B$6:$C$124,2,FALSE)</f>
        <v>0</v>
      </c>
      <c r="AA2089" s="146">
        <f t="shared" si="952"/>
        <v>0</v>
      </c>
      <c r="AB2089" s="143">
        <f t="shared" si="953"/>
        <v>1</v>
      </c>
      <c r="AC2089" s="133">
        <f t="shared" si="954"/>
        <v>1</v>
      </c>
      <c r="AD2089" s="142">
        <v>1</v>
      </c>
      <c r="AE2089" s="141"/>
      <c r="AF2089" s="121" t="s">
        <v>293</v>
      </c>
      <c r="AG2089" s="146">
        <f>VLOOKUP(Takeoffs!AF2089,Sheet1!$B$6:$C$124,2,FALSE)</f>
        <v>0</v>
      </c>
      <c r="AH2089" s="146">
        <f t="shared" si="955"/>
        <v>0</v>
      </c>
      <c r="AI2089" s="143">
        <f t="shared" si="956"/>
        <v>0</v>
      </c>
      <c r="AJ2089" s="133">
        <f t="shared" si="957"/>
        <v>1</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379</v>
      </c>
      <c r="L2090" s="128" t="s">
        <v>380</v>
      </c>
      <c r="N2090" s="129"/>
      <c r="O2090" s="154" t="s">
        <v>359</v>
      </c>
      <c r="P2090" s="155">
        <f>V2090+AA2090+AH2090</f>
        <v>379.56399999999996</v>
      </c>
      <c r="Q2090" s="155"/>
      <c r="R2090" s="155"/>
      <c r="S2090" s="154"/>
      <c r="T2090" s="156"/>
      <c r="U2090" s="157" t="s">
        <v>353</v>
      </c>
      <c r="V2090" s="156">
        <f>W2090*80</f>
        <v>160</v>
      </c>
      <c r="W2090" s="158">
        <f>SUM(W2069:W2089)</f>
        <v>2</v>
      </c>
      <c r="X2090" s="159"/>
      <c r="Y2090" s="156" t="s">
        <v>354</v>
      </c>
      <c r="Z2090" s="116"/>
      <c r="AA2090" s="116">
        <f>SUM(AA2069:AA2089)</f>
        <v>199.16399999999999</v>
      </c>
      <c r="AB2090" s="149"/>
      <c r="AC2090" s="149"/>
      <c r="AD2090" s="149"/>
      <c r="AE2090" s="149"/>
      <c r="AF2090" s="156" t="s">
        <v>358</v>
      </c>
      <c r="AG2090" s="116"/>
      <c r="AH2090" s="116">
        <f>SUM(AH2069:AH2089)</f>
        <v>20.399999999999999</v>
      </c>
      <c r="AI2090" s="149"/>
      <c r="AJ2090" s="149"/>
      <c r="AK2090" s="149"/>
      <c r="AL2090" s="149"/>
      <c r="AM2090" s="150">
        <f>P2090</f>
        <v>379.56399999999996</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494</v>
      </c>
      <c r="C2091" s="217" t="str">
        <f>N2069</f>
        <v>Humidifier</v>
      </c>
      <c r="D2091" s="260" t="s">
        <v>681</v>
      </c>
      <c r="E2091" s="238"/>
      <c r="F2091" s="217"/>
      <c r="G2091" s="217"/>
      <c r="H2091" s="245"/>
      <c r="I2091" s="270">
        <v>1</v>
      </c>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one (1) Humidifier. This includes supply and install of circuit breaker, power supply from MSSB, contactors/relays, isolator at  unit. </v>
      </c>
      <c r="K2091" s="246">
        <f>P2090</f>
        <v>379.56399999999996</v>
      </c>
      <c r="L2091" s="234" t="str">
        <f>CONCATENATE(Q2070,Q2071,Q2072,Q2073,Q2074,Q2075,Q2076,Q2077,Q2078,Q2079,Q2080,Q2081,Q2082,Q2083,Q2084,Q2085,Q2086,Q2087,Q2088,Q2089,)</f>
        <v/>
      </c>
      <c r="M2091" s="166" t="s">
        <v>369</v>
      </c>
      <c r="N2091" s="160" t="str">
        <f>N2069</f>
        <v>Humidifier</v>
      </c>
      <c r="O2091" s="160" t="s">
        <v>367</v>
      </c>
      <c r="P2091" s="171">
        <f>P2090/M2069</f>
        <v>379.56399999999996</v>
      </c>
      <c r="Q2091" s="161"/>
      <c r="R2091" s="161"/>
      <c r="S2091" s="160"/>
      <c r="T2091" s="161"/>
      <c r="U2091" s="327" t="s">
        <v>368</v>
      </c>
      <c r="V2091" s="327"/>
      <c r="W2091" s="162">
        <f>W2090/M2069</f>
        <v>2</v>
      </c>
      <c r="X2091" s="163"/>
      <c r="Y2091" s="325" t="s">
        <v>367</v>
      </c>
      <c r="Z2091" s="325"/>
      <c r="AA2091" s="164">
        <f>AA2090/M2069</f>
        <v>199.16399999999999</v>
      </c>
      <c r="AB2091" s="161"/>
      <c r="AC2091" s="161"/>
      <c r="AD2091" s="161"/>
      <c r="AE2091" s="161"/>
      <c r="AF2091" s="325" t="s">
        <v>367</v>
      </c>
      <c r="AG2091" s="325"/>
      <c r="AH2091" s="164">
        <f>AH2090/M2069</f>
        <v>20.399999999999999</v>
      </c>
      <c r="AI2091" s="161"/>
      <c r="AJ2091" s="161"/>
      <c r="AK2091" s="161"/>
      <c r="AL2091" s="247"/>
      <c r="AM2091" s="257"/>
      <c r="AN2091" s="236">
        <f>K2091*1.25</f>
        <v>474.45499999999993</v>
      </c>
      <c r="AO2091" s="286"/>
      <c r="AP2091" s="284">
        <f t="shared" si="946"/>
        <v>379.56399999999996</v>
      </c>
      <c r="AQ2091" s="281">
        <f t="shared" si="947"/>
        <v>160</v>
      </c>
      <c r="AR2091" s="284">
        <f t="shared" si="948"/>
        <v>199.16399999999999</v>
      </c>
      <c r="AS2091" s="281">
        <f t="shared" si="949"/>
        <v>20.399999999999999</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454</v>
      </c>
      <c r="M2094" s="2" t="s">
        <v>107</v>
      </c>
      <c r="N2094" s="2" t="s">
        <v>108</v>
      </c>
      <c r="O2094" s="2" t="s">
        <v>4</v>
      </c>
      <c r="R2094" s="101" t="s">
        <v>454</v>
      </c>
      <c r="S2094" s="2" t="s">
        <v>0</v>
      </c>
      <c r="T2094" s="9"/>
      <c r="U2094" s="2" t="s">
        <v>288</v>
      </c>
      <c r="V2094" s="2" t="s">
        <v>289</v>
      </c>
      <c r="W2094" s="2" t="s">
        <v>292</v>
      </c>
      <c r="X2094" s="58"/>
      <c r="Y2094" s="2" t="s">
        <v>290</v>
      </c>
      <c r="Z2094" s="2" t="s">
        <v>356</v>
      </c>
      <c r="AA2094" s="2" t="s">
        <v>357</v>
      </c>
      <c r="AB2094" s="2" t="s">
        <v>319</v>
      </c>
      <c r="AC2094" s="2" t="s">
        <v>320</v>
      </c>
      <c r="AD2094" s="2" t="s">
        <v>318</v>
      </c>
      <c r="AE2094" s="58"/>
      <c r="AF2094" s="2" t="s">
        <v>294</v>
      </c>
      <c r="AG2094" s="2" t="s">
        <v>356</v>
      </c>
      <c r="AH2094" s="2" t="s">
        <v>357</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372</v>
      </c>
      <c r="M2095" s="94">
        <f>ROUND(SUM(AI210:AI1628)/1000,1)</f>
        <v>1.6</v>
      </c>
      <c r="N2095" s="27" t="s">
        <v>398</v>
      </c>
      <c r="O2095" s="12" t="s">
        <v>376</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1565.5</v>
      </c>
      <c r="N2096" s="15" t="s">
        <v>113</v>
      </c>
      <c r="O2096" s="12" t="s">
        <v>431</v>
      </c>
      <c r="P2096" s="12"/>
      <c r="Q2096" s="12"/>
      <c r="R2096" s="12"/>
      <c r="S2096" s="12">
        <f>I2119</f>
        <v>1</v>
      </c>
      <c r="T2096" s="11"/>
      <c r="U2096" s="12" t="s">
        <v>435</v>
      </c>
      <c r="V2096" s="28">
        <f t="shared" ref="V2096:V2115" si="961">S2096</f>
        <v>1</v>
      </c>
      <c r="W2096" s="28">
        <f>VLOOKUP(U2096,Sheet1!$B$6:$C$45,2,FALSE)*V2096</f>
        <v>0.33333333333333331</v>
      </c>
      <c r="X2096" s="59"/>
      <c r="Y2096" s="12" t="s">
        <v>293</v>
      </c>
      <c r="Z2096" s="68">
        <f>VLOOKUP(Takeoffs!Y2096,Sheet1!$B$6:$C$124,2,FALSE)</f>
        <v>0</v>
      </c>
      <c r="AA2096" s="68">
        <f t="shared" ref="AA2096:AA2103" si="962">Z2096*AB2096</f>
        <v>0</v>
      </c>
      <c r="AB2096" s="63">
        <f t="shared" ref="AB2096:AB2103" si="963">AD2096*AC2096</f>
        <v>1</v>
      </c>
      <c r="AC2096" s="28">
        <f>S2096</f>
        <v>1</v>
      </c>
      <c r="AD2096" s="61">
        <v>1</v>
      </c>
      <c r="AE2096" s="75"/>
      <c r="AF2096" s="12" t="s">
        <v>434</v>
      </c>
      <c r="AG2096" s="68">
        <f>VLOOKUP(Takeoffs!AF2096,Sheet1!$B$6:$C$124,2,FALSE)</f>
        <v>117</v>
      </c>
      <c r="AH2096" s="68">
        <f t="shared" ref="AH2096:AH2105" si="964">AG2096*AI2096</f>
        <v>117</v>
      </c>
      <c r="AI2096" s="63">
        <f t="shared" ref="AI2096:AI2106" si="965">AK2096*AJ2096</f>
        <v>1</v>
      </c>
      <c r="AJ2096" s="28">
        <f t="shared" ref="AJ2096:AJ2106" si="966">S2096</f>
        <v>1</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373</v>
      </c>
      <c r="P2097" s="12"/>
      <c r="Q2097" s="12"/>
      <c r="R2097" s="12"/>
      <c r="S2097" s="12">
        <f>I2120</f>
        <v>1</v>
      </c>
      <c r="T2097" s="11"/>
      <c r="U2097" s="12" t="s">
        <v>436</v>
      </c>
      <c r="V2097" s="28">
        <f t="shared" si="961"/>
        <v>1</v>
      </c>
      <c r="W2097" s="28">
        <f>VLOOKUP(U2097,Sheet1!$B$6:$C$45,2,FALSE)*V2097</f>
        <v>0.1388888888888889</v>
      </c>
      <c r="X2097" s="59"/>
      <c r="Y2097" s="12" t="s">
        <v>293</v>
      </c>
      <c r="Z2097" s="68">
        <f>VLOOKUP(Takeoffs!Y2097,Sheet1!$B$6:$C$124,2,FALSE)</f>
        <v>0</v>
      </c>
      <c r="AA2097" s="68">
        <f t="shared" si="962"/>
        <v>0</v>
      </c>
      <c r="AB2097" s="63">
        <f t="shared" si="963"/>
        <v>1</v>
      </c>
      <c r="AC2097" s="28">
        <f>S2097</f>
        <v>1</v>
      </c>
      <c r="AD2097" s="61">
        <v>1</v>
      </c>
      <c r="AE2097" s="75"/>
      <c r="AF2097" s="12" t="s">
        <v>432</v>
      </c>
      <c r="AG2097" s="68">
        <f>VLOOKUP(Takeoffs!AF2097,Sheet1!$B$6:$C$124,2,FALSE)</f>
        <v>21.599999999999998</v>
      </c>
      <c r="AH2097" s="68">
        <f t="shared" si="964"/>
        <v>21.599999999999998</v>
      </c>
      <c r="AI2097" s="63">
        <f t="shared" si="965"/>
        <v>1</v>
      </c>
      <c r="AJ2097" s="28">
        <f t="shared" si="966"/>
        <v>1</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439</v>
      </c>
      <c r="P2098" s="12"/>
      <c r="Q2098" s="12"/>
      <c r="R2098" s="17"/>
      <c r="S2098" s="68">
        <f>M2096-S2096-S2097</f>
        <v>1563.5</v>
      </c>
      <c r="T2098" s="11"/>
      <c r="U2098" s="12" t="s">
        <v>293</v>
      </c>
      <c r="V2098" s="28">
        <f t="shared" si="961"/>
        <v>1563.5</v>
      </c>
      <c r="W2098" s="28">
        <f>VLOOKUP(U2098,Sheet1!$B$6:$C$45,2,FALSE)*V2098</f>
        <v>0</v>
      </c>
      <c r="X2098" s="59"/>
      <c r="Y2098" s="12" t="s">
        <v>293</v>
      </c>
      <c r="Z2098" s="68">
        <f>VLOOKUP(Takeoffs!Y2098,Sheet1!$B$6:$C$124,2,FALSE)</f>
        <v>0</v>
      </c>
      <c r="AA2098" s="68">
        <f t="shared" si="962"/>
        <v>0</v>
      </c>
      <c r="AB2098" s="63">
        <f t="shared" si="963"/>
        <v>1563.5</v>
      </c>
      <c r="AC2098" s="28">
        <f t="shared" ref="AC2098:AC2115" si="968">S2098</f>
        <v>1563.5</v>
      </c>
      <c r="AD2098" s="61">
        <v>1</v>
      </c>
      <c r="AE2098" s="75"/>
      <c r="AF2098" s="12" t="s">
        <v>438</v>
      </c>
      <c r="AG2098" s="68">
        <f>VLOOKUP(Takeoffs!AF2098,Sheet1!$B$6:$C$124,2,FALSE)</f>
        <v>1.2</v>
      </c>
      <c r="AH2098" s="68">
        <f t="shared" si="964"/>
        <v>1876.1999999999998</v>
      </c>
      <c r="AI2098" s="63">
        <f t="shared" si="965"/>
        <v>1563.5</v>
      </c>
      <c r="AJ2098" s="28">
        <f t="shared" si="966"/>
        <v>1563.5</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399</v>
      </c>
      <c r="P2100" s="12"/>
      <c r="Q2100" s="12"/>
      <c r="R2100" s="12"/>
      <c r="S2100" s="28">
        <f>M2095*1000</f>
        <v>1600</v>
      </c>
      <c r="T2100" s="11"/>
      <c r="U2100" s="12" t="s">
        <v>293</v>
      </c>
      <c r="V2100" s="28">
        <f t="shared" si="961"/>
        <v>1600</v>
      </c>
      <c r="W2100" s="28">
        <f>VLOOKUP(U2100,Sheet1!$B$6:$C$45,2,FALSE)*V2100</f>
        <v>0</v>
      </c>
      <c r="X2100" s="59"/>
      <c r="Y2100" s="73" t="s">
        <v>441</v>
      </c>
      <c r="Z2100" s="68">
        <f>VLOOKUP(Takeoffs!Y2100,Sheet1!$B$6:$C$124,2,FALSE)</f>
        <v>0.6</v>
      </c>
      <c r="AA2100" s="68">
        <f t="shared" si="962"/>
        <v>960</v>
      </c>
      <c r="AB2100" s="63">
        <f t="shared" si="963"/>
        <v>1600</v>
      </c>
      <c r="AC2100" s="28">
        <f t="shared" si="968"/>
        <v>1600</v>
      </c>
      <c r="AD2100" s="61">
        <v>1</v>
      </c>
      <c r="AE2100" s="75"/>
      <c r="AF2100" s="12" t="s">
        <v>293</v>
      </c>
      <c r="AG2100" s="68">
        <f>VLOOKUP(Takeoffs!AF2100,Sheet1!$B$6:$C$124,2,FALSE)</f>
        <v>0</v>
      </c>
      <c r="AH2100" s="68">
        <f t="shared" si="964"/>
        <v>0</v>
      </c>
      <c r="AI2100" s="63">
        <f t="shared" si="965"/>
        <v>0</v>
      </c>
      <c r="AJ2100" s="28">
        <f t="shared" si="966"/>
        <v>1600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359</v>
      </c>
      <c r="P2116" s="100">
        <f>V2116+AA2116+AH2116</f>
        <v>3012.5777777777776</v>
      </c>
      <c r="Q2116" s="77"/>
      <c r="R2116" s="77"/>
      <c r="S2116" s="76"/>
      <c r="T2116" s="78"/>
      <c r="U2116" s="79" t="s">
        <v>353</v>
      </c>
      <c r="V2116" s="78">
        <f>W2116*80</f>
        <v>37.777777777777779</v>
      </c>
      <c r="W2116" s="80">
        <f>SUM(W2095:W2115)</f>
        <v>0.47222222222222221</v>
      </c>
      <c r="X2116" s="81"/>
      <c r="Y2116" s="78" t="s">
        <v>354</v>
      </c>
      <c r="Z2116" s="2"/>
      <c r="AA2116" s="2">
        <f>SUM(AA2095:AA2115)</f>
        <v>960</v>
      </c>
      <c r="AB2116" s="71"/>
      <c r="AC2116" s="71"/>
      <c r="AD2116" s="71"/>
      <c r="AE2116" s="71"/>
      <c r="AF2116" s="78" t="s">
        <v>358</v>
      </c>
      <c r="AG2116" s="2"/>
      <c r="AH2116" s="2">
        <f>SUM(AH2095:AH2115)</f>
        <v>2014.7999999999997</v>
      </c>
      <c r="AI2116" s="71"/>
      <c r="AJ2116" s="71"/>
      <c r="AK2116" s="71"/>
      <c r="AL2116" s="71"/>
      <c r="AM2116" s="150">
        <f>P2116</f>
        <v>3012.5777777777776</v>
      </c>
      <c r="AO2116" s="286"/>
      <c r="AP2116" s="284">
        <f t="shared" si="946"/>
        <v>0</v>
      </c>
      <c r="AQ2116" s="281">
        <f t="shared" si="947"/>
        <v>0</v>
      </c>
      <c r="AR2116" s="284">
        <f t="shared" si="948"/>
        <v>0</v>
      </c>
      <c r="AS2116" s="281">
        <f t="shared" si="949"/>
        <v>0</v>
      </c>
      <c r="AT2116" s="284">
        <f t="shared" si="950"/>
        <v>0</v>
      </c>
    </row>
    <row r="2117" spans="1:97" s="261" customFormat="1" ht="92.6" x14ac:dyDescent="1.2">
      <c r="A2117" s="262">
        <f>ROW()</f>
        <v>2117</v>
      </c>
      <c r="B2117" s="261" t="s">
        <v>494</v>
      </c>
      <c r="D2117" s="261" t="str">
        <f>IF(B2117="Shopping List",IF(ISNUMBER(SEARCH("MSSB",C2117)),"MSSB",IF(ISNUMBER(SEARCH("local",C2117)),"LOCAL","")))</f>
        <v/>
      </c>
      <c r="I2117" s="272">
        <v>1</v>
      </c>
      <c r="J2117" s="261" t="s">
        <v>627</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494</v>
      </c>
      <c r="C2118" s="217"/>
      <c r="D2118" s="260" t="s">
        <v>680</v>
      </c>
      <c r="E2118" s="238"/>
      <c r="F2118" s="217"/>
      <c r="G2118" s="217"/>
      <c r="H2118" s="245"/>
      <c r="I2118" s="273">
        <v>1</v>
      </c>
      <c r="J2118" s="241" t="str">
        <f>CONCATENATE(O2095," ",L2095," (",M2095,") ",N2095,". This includes a combination of ",O2096,O2097,O2098,O2099,O2100,O2101,O2102,O2103,O2104,O2105,O2106,O2107,O2108,O2109,O2110,O2111,O2112,O2113,O2114,O2115,)</f>
        <v>Supply and install appropriate cabling support/fixings for an estimated  (1.6)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3012.5777777777776</v>
      </c>
      <c r="L2118" s="235"/>
      <c r="M2118" s="91" t="s">
        <v>369</v>
      </c>
      <c r="N2118" s="83" t="str">
        <f>N2095</f>
        <v>kilometres of cabling required throughout this project</v>
      </c>
      <c r="O2118" s="185" t="s">
        <v>440</v>
      </c>
      <c r="P2118" s="202">
        <f>P2116/(M2095*1000)</f>
        <v>1.8828611111111109</v>
      </c>
      <c r="Q2118" s="196"/>
      <c r="R2118" s="188"/>
      <c r="S2118" s="83"/>
      <c r="T2118" s="84"/>
      <c r="U2118" s="327"/>
      <c r="V2118" s="327"/>
      <c r="W2118" s="85"/>
      <c r="X2118" s="86"/>
      <c r="Y2118" s="325"/>
      <c r="Z2118" s="325"/>
      <c r="AA2118" s="87"/>
      <c r="AB2118" s="84"/>
      <c r="AC2118" s="84"/>
      <c r="AD2118" s="84"/>
      <c r="AE2118" s="84"/>
      <c r="AF2118" s="325" t="s">
        <v>367</v>
      </c>
      <c r="AG2118" s="325"/>
      <c r="AH2118" s="87">
        <f>AH2116/(M2095*1000)</f>
        <v>1.2592499999999998</v>
      </c>
      <c r="AI2118" s="84"/>
      <c r="AJ2118" s="84"/>
      <c r="AK2118" s="84"/>
      <c r="AL2118" s="247"/>
      <c r="AM2118" s="257"/>
      <c r="AN2118" s="230">
        <f>K2118*1.25</f>
        <v>3765.7222222222217</v>
      </c>
      <c r="AO2118" s="286"/>
      <c r="AP2118" s="284">
        <f>K2118</f>
        <v>3012.5777777777776</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684</v>
      </c>
      <c r="C2119" s="266" t="s">
        <v>686</v>
      </c>
      <c r="D2119" s="260" t="s">
        <v>680</v>
      </c>
      <c r="E2119" s="266"/>
      <c r="F2119" s="266"/>
      <c r="G2119" s="266"/>
      <c r="H2119" s="266"/>
      <c r="I2119" s="271">
        <v>1</v>
      </c>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684</v>
      </c>
      <c r="C2120" s="266" t="s">
        <v>685</v>
      </c>
      <c r="D2120" s="260" t="s">
        <v>680</v>
      </c>
      <c r="E2120" s="266"/>
      <c r="F2120" s="266"/>
      <c r="G2120" s="266"/>
      <c r="H2120" s="266"/>
      <c r="I2120" s="271">
        <v>1</v>
      </c>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v>1</v>
      </c>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8">
      <customFilters>
        <customFilter operator="notEqual" val=" "/>
      </customFilters>
    </filterColumn>
  </autoFilter>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339" priority="402">
      <formula>RIGHT(O213,2)="  "</formula>
    </cfRule>
    <cfRule type="expression" dxfId="338" priority="403">
      <formula>RIGHT(O213,1)=" "</formula>
    </cfRule>
  </conditionalFormatting>
  <conditionalFormatting sqref="O261:O280">
    <cfRule type="expression" dxfId="337" priority="400">
      <formula>RIGHT(O261,2)="  "</formula>
    </cfRule>
    <cfRule type="expression" dxfId="336" priority="401">
      <formula>RIGHT(O261,1)=" "</formula>
    </cfRule>
  </conditionalFormatting>
  <conditionalFormatting sqref="O309:O328">
    <cfRule type="expression" dxfId="335" priority="398">
      <formula>RIGHT(O309,2)="  "</formula>
    </cfRule>
    <cfRule type="expression" dxfId="334" priority="399">
      <formula>RIGHT(O309,1)=" "</formula>
    </cfRule>
  </conditionalFormatting>
  <conditionalFormatting sqref="O549:O568">
    <cfRule type="expression" dxfId="333" priority="396">
      <formula>RIGHT(O549,2)="  "</formula>
    </cfRule>
    <cfRule type="expression" dxfId="332" priority="397">
      <formula>RIGHT(O549,1)=" "</formula>
    </cfRule>
  </conditionalFormatting>
  <conditionalFormatting sqref="O765:O784">
    <cfRule type="expression" dxfId="331" priority="394">
      <formula>RIGHT(O765,2)="  "</formula>
    </cfRule>
    <cfRule type="expression" dxfId="330" priority="395">
      <formula>RIGHT(O765,1)=" "</formula>
    </cfRule>
  </conditionalFormatting>
  <conditionalFormatting sqref="O933:O952">
    <cfRule type="expression" dxfId="329" priority="392">
      <formula>RIGHT(O933,2)="  "</formula>
    </cfRule>
    <cfRule type="expression" dxfId="328" priority="393">
      <formula>RIGHT(O933,1)=" "</formula>
    </cfRule>
  </conditionalFormatting>
  <conditionalFormatting sqref="O958:O977">
    <cfRule type="expression" dxfId="327" priority="390">
      <formula>RIGHT(O958,2)="  "</formula>
    </cfRule>
    <cfRule type="expression" dxfId="326" priority="391">
      <formula>RIGHT(O958,1)=" "</formula>
    </cfRule>
  </conditionalFormatting>
  <conditionalFormatting sqref="O1078:O1080 O1082:O1097">
    <cfRule type="expression" dxfId="325" priority="388">
      <formula>RIGHT(O1078,2)="  "</formula>
    </cfRule>
    <cfRule type="expression" dxfId="324" priority="389">
      <formula>RIGHT(O1078,1)=" "</formula>
    </cfRule>
  </conditionalFormatting>
  <conditionalFormatting sqref="O1102:O1104 O1106:O1121">
    <cfRule type="expression" dxfId="323" priority="386">
      <formula>RIGHT(O1102,2)="  "</formula>
    </cfRule>
    <cfRule type="expression" dxfId="322" priority="387">
      <formula>RIGHT(O1102,1)=" "</formula>
    </cfRule>
  </conditionalFormatting>
  <conditionalFormatting sqref="O1150:O1169">
    <cfRule type="expression" dxfId="321" priority="384">
      <formula>RIGHT(O1150,2)="  "</formula>
    </cfRule>
    <cfRule type="expression" dxfId="320" priority="385">
      <formula>RIGHT(O1150,1)=" "</formula>
    </cfRule>
  </conditionalFormatting>
  <conditionalFormatting sqref="O1175:O1194">
    <cfRule type="expression" dxfId="319" priority="382">
      <formula>RIGHT(O1175,2)="  "</formula>
    </cfRule>
    <cfRule type="expression" dxfId="318" priority="383">
      <formula>RIGHT(O1175,1)=" "</formula>
    </cfRule>
  </conditionalFormatting>
  <conditionalFormatting sqref="O1223:O1242">
    <cfRule type="expression" dxfId="317" priority="380">
      <formula>RIGHT(O1223,2)="  "</formula>
    </cfRule>
    <cfRule type="expression" dxfId="316" priority="381">
      <formula>RIGHT(O1223,1)=" "</formula>
    </cfRule>
  </conditionalFormatting>
  <conditionalFormatting sqref="O1439:O1458">
    <cfRule type="expression" dxfId="315" priority="378">
      <formula>RIGHT(O1439,2)="  "</formula>
    </cfRule>
    <cfRule type="expression" dxfId="314" priority="379">
      <formula>RIGHT(O1439,1)=" "</formula>
    </cfRule>
  </conditionalFormatting>
  <conditionalFormatting sqref="O1511:O1530">
    <cfRule type="expression" dxfId="313" priority="376">
      <formula>RIGHT(O1511,2)="  "</formula>
    </cfRule>
    <cfRule type="expression" dxfId="312" priority="377">
      <formula>RIGHT(O1511,1)=" "</formula>
    </cfRule>
  </conditionalFormatting>
  <conditionalFormatting sqref="O1535:O1554">
    <cfRule type="expression" dxfId="311" priority="374">
      <formula>RIGHT(O1535,2)="  "</formula>
    </cfRule>
    <cfRule type="expression" dxfId="310" priority="375">
      <formula>RIGHT(O1535,1)=" "</formula>
    </cfRule>
  </conditionalFormatting>
  <conditionalFormatting sqref="O1609:O1628">
    <cfRule type="expression" dxfId="309" priority="372">
      <formula>RIGHT(O1609,2)="  "</formula>
    </cfRule>
    <cfRule type="expression" dxfId="308" priority="373">
      <formula>RIGHT(O1609,1)=" "</formula>
    </cfRule>
  </conditionalFormatting>
  <conditionalFormatting sqref="O1754:O1773">
    <cfRule type="expression" dxfId="307" priority="370">
      <formula>RIGHT(O1754,2)="  "</formula>
    </cfRule>
    <cfRule type="expression" dxfId="306" priority="371">
      <formula>RIGHT(O1754,1)=" "</formula>
    </cfRule>
  </conditionalFormatting>
  <conditionalFormatting sqref="O1803:O1822">
    <cfRule type="expression" dxfId="305" priority="368">
      <formula>RIGHT(O1803,2)="  "</formula>
    </cfRule>
    <cfRule type="expression" dxfId="304" priority="369">
      <formula>RIGHT(O1803,1)=" "</formula>
    </cfRule>
  </conditionalFormatting>
  <conditionalFormatting sqref="O1827:O1846">
    <cfRule type="expression" dxfId="303" priority="366">
      <formula>RIGHT(O1827,2)="  "</formula>
    </cfRule>
    <cfRule type="expression" dxfId="302" priority="367">
      <formula>RIGHT(O1827,1)=" "</formula>
    </cfRule>
  </conditionalFormatting>
  <conditionalFormatting sqref="O1851:O1870">
    <cfRule type="expression" dxfId="301" priority="364">
      <formula>RIGHT(O1851,2)="  "</formula>
    </cfRule>
    <cfRule type="expression" dxfId="300" priority="365">
      <formula>RIGHT(O1851,1)=" "</formula>
    </cfRule>
  </conditionalFormatting>
  <conditionalFormatting sqref="Q958:Q977">
    <cfRule type="expression" dxfId="299" priority="334">
      <formula>RIGHT(Q958,2)="  "</formula>
    </cfRule>
    <cfRule type="expression" dxfId="298" priority="335">
      <formula>RIGHT(Q958,1)=" "</formula>
    </cfRule>
  </conditionalFormatting>
  <conditionalFormatting sqref="O1875:O1894">
    <cfRule type="expression" dxfId="297" priority="362">
      <formula>RIGHT(O1875,2)="  "</formula>
    </cfRule>
    <cfRule type="expression" dxfId="296" priority="363">
      <formula>RIGHT(O1875,1)=" "</formula>
    </cfRule>
  </conditionalFormatting>
  <conditionalFormatting sqref="O140:O159">
    <cfRule type="expression" dxfId="295" priority="360">
      <formula>RIGHT(O140,2)="  "</formula>
    </cfRule>
    <cfRule type="expression" dxfId="294" priority="361">
      <formula>RIGHT(O140,1)=" "</formula>
    </cfRule>
  </conditionalFormatting>
  <conditionalFormatting sqref="O164:O183">
    <cfRule type="expression" dxfId="293" priority="358">
      <formula>RIGHT(O164,2)="  "</formula>
    </cfRule>
    <cfRule type="expression" dxfId="292" priority="359">
      <formula>RIGHT(O164,1)=" "</formula>
    </cfRule>
  </conditionalFormatting>
  <conditionalFormatting sqref="O188:O207">
    <cfRule type="expression" dxfId="291" priority="356">
      <formula>RIGHT(O188,2)="  "</formula>
    </cfRule>
    <cfRule type="expression" dxfId="290" priority="357">
      <formula>RIGHT(O188,1)=" "</formula>
    </cfRule>
  </conditionalFormatting>
  <conditionalFormatting sqref="O1925:O1944">
    <cfRule type="expression" dxfId="289" priority="354">
      <formula>RIGHT(O1925,2)="  "</formula>
    </cfRule>
    <cfRule type="expression" dxfId="288" priority="355">
      <formula>RIGHT(O1925,1)=" "</formula>
    </cfRule>
  </conditionalFormatting>
  <conditionalFormatting sqref="Q933:Q952">
    <cfRule type="expression" dxfId="287" priority="336">
      <formula>RIGHT(Q933,2)="  "</formula>
    </cfRule>
    <cfRule type="expression" dxfId="286" priority="337">
      <formula>RIGHT(Q933,1)=" "</formula>
    </cfRule>
  </conditionalFormatting>
  <conditionalFormatting sqref="O1973:O1992">
    <cfRule type="expression" dxfId="285" priority="350">
      <formula>RIGHT(O1973,2)="  "</formula>
    </cfRule>
    <cfRule type="expression" dxfId="284" priority="351">
      <formula>RIGHT(O1973,1)=" "</formula>
    </cfRule>
  </conditionalFormatting>
  <conditionalFormatting sqref="O1949:O1968">
    <cfRule type="expression" dxfId="283" priority="348">
      <formula>RIGHT(O1949,2)="  "</formula>
    </cfRule>
    <cfRule type="expression" dxfId="282" priority="349">
      <formula>RIGHT(O1949,1)=" "</formula>
    </cfRule>
  </conditionalFormatting>
  <conditionalFormatting sqref="O45:O63">
    <cfRule type="expression" dxfId="281" priority="332">
      <formula>RIGHT(O45,2)="  "</formula>
    </cfRule>
    <cfRule type="expression" dxfId="280" priority="333">
      <formula>RIGHT(O45,1)=" "</formula>
    </cfRule>
  </conditionalFormatting>
  <conditionalFormatting sqref="O20:O28 O30:O39">
    <cfRule type="expression" dxfId="279" priority="330">
      <formula>RIGHT(O20,2)="  "</formula>
    </cfRule>
    <cfRule type="expression" dxfId="278" priority="331">
      <formula>RIGHT(O20,1)=" "</formula>
    </cfRule>
  </conditionalFormatting>
  <conditionalFormatting sqref="Q213:Q232">
    <cfRule type="expression" dxfId="277" priority="346">
      <formula>RIGHT(Q213,2)="  "</formula>
    </cfRule>
    <cfRule type="expression" dxfId="276" priority="347">
      <formula>RIGHT(Q213,1)=" "</formula>
    </cfRule>
  </conditionalFormatting>
  <conditionalFormatting sqref="Q261:Q280">
    <cfRule type="expression" dxfId="275" priority="344">
      <formula>RIGHT(Q261,2)="  "</formula>
    </cfRule>
    <cfRule type="expression" dxfId="274" priority="345">
      <formula>RIGHT(Q261,1)=" "</formula>
    </cfRule>
  </conditionalFormatting>
  <conditionalFormatting sqref="Q309:Q328">
    <cfRule type="expression" dxfId="273" priority="342">
      <formula>RIGHT(Q309,2)="  "</formula>
    </cfRule>
    <cfRule type="expression" dxfId="272" priority="343">
      <formula>RIGHT(Q309,1)=" "</formula>
    </cfRule>
  </conditionalFormatting>
  <conditionalFormatting sqref="Q549:Q568">
    <cfRule type="expression" dxfId="271" priority="340">
      <formula>RIGHT(Q549,2)="  "</formula>
    </cfRule>
    <cfRule type="expression" dxfId="270" priority="341">
      <formula>RIGHT(Q549,1)=" "</formula>
    </cfRule>
  </conditionalFormatting>
  <conditionalFormatting sqref="Q765:Q784">
    <cfRule type="expression" dxfId="269" priority="338">
      <formula>RIGHT(Q765,2)="  "</formula>
    </cfRule>
    <cfRule type="expression" dxfId="268" priority="339">
      <formula>RIGHT(Q765,1)=" "</formula>
    </cfRule>
  </conditionalFormatting>
  <conditionalFormatting sqref="O117:O135">
    <cfRule type="expression" dxfId="267" priority="328">
      <formula>RIGHT(O117,2)="  "</formula>
    </cfRule>
    <cfRule type="expression" dxfId="266" priority="329">
      <formula>RIGHT(O117,1)=" "</formula>
    </cfRule>
  </conditionalFormatting>
  <conditionalFormatting sqref="O1682:O1701">
    <cfRule type="expression" dxfId="265" priority="326">
      <formula>RIGHT(O1682,2)="  "</formula>
    </cfRule>
    <cfRule type="expression" dxfId="264" priority="327">
      <formula>RIGHT(O1682,1)=" "</formula>
    </cfRule>
  </conditionalFormatting>
  <conditionalFormatting sqref="O29">
    <cfRule type="expression" dxfId="263" priority="324">
      <formula>RIGHT(O29,2)="  "</formula>
    </cfRule>
    <cfRule type="expression" dxfId="262" priority="325">
      <formula>RIGHT(O29,1)=" "</formula>
    </cfRule>
  </conditionalFormatting>
  <conditionalFormatting sqref="O44">
    <cfRule type="expression" dxfId="261" priority="322">
      <formula>RIGHT(O44,2)="  "</formula>
    </cfRule>
    <cfRule type="expression" dxfId="260" priority="323">
      <formula>RIGHT(O44,1)=" "</formula>
    </cfRule>
  </conditionalFormatting>
  <conditionalFormatting sqref="O116">
    <cfRule type="expression" dxfId="259" priority="320">
      <formula>RIGHT(O116,2)="  "</formula>
    </cfRule>
    <cfRule type="expression" dxfId="258" priority="321">
      <formula>RIGHT(O116,1)=" "</formula>
    </cfRule>
  </conditionalFormatting>
  <conditionalFormatting sqref="O621:O640">
    <cfRule type="expression" dxfId="257" priority="318">
      <formula>RIGHT(O621,2)="  "</formula>
    </cfRule>
    <cfRule type="expression" dxfId="256" priority="319">
      <formula>RIGHT(O621,1)=" "</formula>
    </cfRule>
  </conditionalFormatting>
  <conditionalFormatting sqref="Q621:Q640">
    <cfRule type="expression" dxfId="255" priority="316">
      <formula>RIGHT(Q621,2)="  "</formula>
    </cfRule>
    <cfRule type="expression" dxfId="254" priority="317">
      <formula>RIGHT(Q621,1)=" "</formula>
    </cfRule>
  </conditionalFormatting>
  <conditionalFormatting sqref="O525:O544">
    <cfRule type="expression" dxfId="253" priority="314">
      <formula>RIGHT(O525,2)="  "</formula>
    </cfRule>
    <cfRule type="expression" dxfId="252" priority="315">
      <formula>RIGHT(O525,1)=" "</formula>
    </cfRule>
  </conditionalFormatting>
  <conditionalFormatting sqref="Q525:Q544">
    <cfRule type="expression" dxfId="251" priority="312">
      <formula>RIGHT(Q525,2)="  "</formula>
    </cfRule>
    <cfRule type="expression" dxfId="250" priority="313">
      <formula>RIGHT(Q525,1)=" "</formula>
    </cfRule>
  </conditionalFormatting>
  <conditionalFormatting sqref="O837:O856">
    <cfRule type="expression" dxfId="249" priority="310">
      <formula>RIGHT(O837,2)="  "</formula>
    </cfRule>
    <cfRule type="expression" dxfId="248" priority="311">
      <formula>RIGHT(O837,1)=" "</formula>
    </cfRule>
  </conditionalFormatting>
  <conditionalFormatting sqref="Q837:Q856">
    <cfRule type="expression" dxfId="247" priority="308">
      <formula>RIGHT(Q837,2)="  "</formula>
    </cfRule>
    <cfRule type="expression" dxfId="246" priority="309">
      <formula>RIGHT(Q837,1)=" "</formula>
    </cfRule>
  </conditionalFormatting>
  <conditionalFormatting sqref="O1054:O1056 O1058:O1073">
    <cfRule type="expression" dxfId="245" priority="306">
      <formula>RIGHT(O1054,2)="  "</formula>
    </cfRule>
    <cfRule type="expression" dxfId="244" priority="307">
      <formula>RIGHT(O1054,1)=" "</formula>
    </cfRule>
  </conditionalFormatting>
  <conditionalFormatting sqref="O1030:O1049">
    <cfRule type="expression" dxfId="243" priority="304">
      <formula>RIGHT(O1030,2)="  "</formula>
    </cfRule>
    <cfRule type="expression" dxfId="242" priority="305">
      <formula>RIGHT(O1030,1)=" "</formula>
    </cfRule>
  </conditionalFormatting>
  <conditionalFormatting sqref="O982:O1001">
    <cfRule type="expression" dxfId="241" priority="302">
      <formula>RIGHT(O982,2)="  "</formula>
    </cfRule>
    <cfRule type="expression" dxfId="240" priority="303">
      <formula>RIGHT(O982,1)=" "</formula>
    </cfRule>
  </conditionalFormatting>
  <conditionalFormatting sqref="O1057">
    <cfRule type="expression" dxfId="239" priority="300">
      <formula>RIGHT(O1057,2)="  "</formula>
    </cfRule>
    <cfRule type="expression" dxfId="238" priority="301">
      <formula>RIGHT(O1057,1)=" "</formula>
    </cfRule>
  </conditionalFormatting>
  <conditionalFormatting sqref="O1081">
    <cfRule type="expression" dxfId="237" priority="298">
      <formula>RIGHT(O1081,2)="  "</formula>
    </cfRule>
    <cfRule type="expression" dxfId="236" priority="299">
      <formula>RIGHT(O1081,1)=" "</formula>
    </cfRule>
  </conditionalFormatting>
  <conditionalFormatting sqref="O1105">
    <cfRule type="expression" dxfId="235" priority="296">
      <formula>RIGHT(O1105,2)="  "</formula>
    </cfRule>
    <cfRule type="expression" dxfId="234" priority="297">
      <formula>RIGHT(O1105,1)=" "</formula>
    </cfRule>
  </conditionalFormatting>
  <conditionalFormatting sqref="O1706:O1725">
    <cfRule type="expression" dxfId="233" priority="294">
      <formula>RIGHT(O1706,2)="  "</formula>
    </cfRule>
    <cfRule type="expression" dxfId="232" priority="295">
      <formula>RIGHT(O1706,1)=" "</formula>
    </cfRule>
  </conditionalFormatting>
  <conditionalFormatting sqref="O1730:O1749">
    <cfRule type="expression" dxfId="231" priority="292">
      <formula>RIGHT(O1730,2)="  "</formula>
    </cfRule>
    <cfRule type="expression" dxfId="230" priority="293">
      <formula>RIGHT(O1730,1)=" "</formula>
    </cfRule>
  </conditionalFormatting>
  <conditionalFormatting sqref="O1634:O1653">
    <cfRule type="expression" dxfId="229" priority="290">
      <formula>RIGHT(O1634,2)="  "</formula>
    </cfRule>
    <cfRule type="expression" dxfId="228" priority="291">
      <formula>RIGHT(O1634,1)=" "</formula>
    </cfRule>
  </conditionalFormatting>
  <conditionalFormatting sqref="O1126:O1145">
    <cfRule type="expression" dxfId="227" priority="288">
      <formula>RIGHT(O1126,2)="  "</formula>
    </cfRule>
    <cfRule type="expression" dxfId="226" priority="289">
      <formula>RIGHT(O1126,1)=" "</formula>
    </cfRule>
  </conditionalFormatting>
  <conditionalFormatting sqref="O69:O87">
    <cfRule type="expression" dxfId="225" priority="286">
      <formula>RIGHT(O69,2)="  "</formula>
    </cfRule>
    <cfRule type="expression" dxfId="224" priority="287">
      <formula>RIGHT(O69,1)=" "</formula>
    </cfRule>
  </conditionalFormatting>
  <conditionalFormatting sqref="O68">
    <cfRule type="expression" dxfId="223" priority="284">
      <formula>RIGHT(O68,2)="  "</formula>
    </cfRule>
    <cfRule type="expression" dxfId="222" priority="285">
      <formula>RIGHT(O68,1)=" "</formula>
    </cfRule>
  </conditionalFormatting>
  <conditionalFormatting sqref="O1561 O1563:O1564 O1571:O1580 O1568">
    <cfRule type="expression" dxfId="221" priority="282">
      <formula>RIGHT(O1561,2)="  "</formula>
    </cfRule>
    <cfRule type="expression" dxfId="220" priority="283">
      <formula>RIGHT(O1561,1)=" "</formula>
    </cfRule>
  </conditionalFormatting>
  <conditionalFormatting sqref="O1415:O1434">
    <cfRule type="expression" dxfId="219" priority="280">
      <formula>RIGHT(O1415,2)="  "</formula>
    </cfRule>
    <cfRule type="expression" dxfId="218" priority="281">
      <formula>RIGHT(O1415,1)=" "</formula>
    </cfRule>
  </conditionalFormatting>
  <conditionalFormatting sqref="O1779:O1798">
    <cfRule type="expression" dxfId="217" priority="278">
      <formula>RIGHT(O1779,2)="  "</formula>
    </cfRule>
    <cfRule type="expression" dxfId="216" priority="279">
      <formula>RIGHT(O1779,1)=" "</formula>
    </cfRule>
  </conditionalFormatting>
  <conditionalFormatting sqref="O885:O904">
    <cfRule type="expression" dxfId="215" priority="276">
      <formula>RIGHT(O885,2)="  "</formula>
    </cfRule>
    <cfRule type="expression" dxfId="214" priority="277">
      <formula>RIGHT(O885,1)=" "</formula>
    </cfRule>
  </conditionalFormatting>
  <conditionalFormatting sqref="Q885:Q904">
    <cfRule type="expression" dxfId="213" priority="274">
      <formula>RIGHT(Q885,2)="  "</formula>
    </cfRule>
    <cfRule type="expression" dxfId="212" priority="275">
      <formula>RIGHT(Q885,1)=" "</formula>
    </cfRule>
  </conditionalFormatting>
  <conditionalFormatting sqref="O285:O304">
    <cfRule type="expression" dxfId="211" priority="272">
      <formula>RIGHT(O285,2)="  "</formula>
    </cfRule>
    <cfRule type="expression" dxfId="210" priority="273">
      <formula>RIGHT(O285,1)=" "</formula>
    </cfRule>
  </conditionalFormatting>
  <conditionalFormatting sqref="O909:O928">
    <cfRule type="expression" dxfId="209" priority="270">
      <formula>RIGHT(O909,2)="  "</formula>
    </cfRule>
    <cfRule type="expression" dxfId="208" priority="271">
      <formula>RIGHT(O909,1)=" "</formula>
    </cfRule>
  </conditionalFormatting>
  <conditionalFormatting sqref="Q909:Q928">
    <cfRule type="expression" dxfId="207" priority="268">
      <formula>RIGHT(Q909,2)="  "</formula>
    </cfRule>
    <cfRule type="expression" dxfId="206" priority="269">
      <formula>RIGHT(Q909,1)=" "</formula>
    </cfRule>
  </conditionalFormatting>
  <conditionalFormatting sqref="O861:O880">
    <cfRule type="expression" dxfId="205" priority="266">
      <formula>RIGHT(O861,2)="  "</formula>
    </cfRule>
    <cfRule type="expression" dxfId="204" priority="267">
      <formula>RIGHT(O861,1)=" "</formula>
    </cfRule>
  </conditionalFormatting>
  <conditionalFormatting sqref="Q861:Q880">
    <cfRule type="expression" dxfId="203" priority="264">
      <formula>RIGHT(Q861,2)="  "</formula>
    </cfRule>
    <cfRule type="expression" dxfId="202" priority="265">
      <formula>RIGHT(Q861,1)=" "</formula>
    </cfRule>
  </conditionalFormatting>
  <conditionalFormatting sqref="O1199:O1218">
    <cfRule type="expression" dxfId="201" priority="262">
      <formula>RIGHT(O1199,2)="  "</formula>
    </cfRule>
    <cfRule type="expression" dxfId="200" priority="263">
      <formula>RIGHT(O1199,1)=" "</formula>
    </cfRule>
  </conditionalFormatting>
  <conditionalFormatting sqref="O789:O808">
    <cfRule type="expression" dxfId="199" priority="260">
      <formula>RIGHT(O789,2)="  "</formula>
    </cfRule>
    <cfRule type="expression" dxfId="198" priority="261">
      <formula>RIGHT(O789,1)=" "</formula>
    </cfRule>
  </conditionalFormatting>
  <conditionalFormatting sqref="Q789:Q808">
    <cfRule type="expression" dxfId="197" priority="258">
      <formula>RIGHT(Q789,2)="  "</formula>
    </cfRule>
    <cfRule type="expression" dxfId="196" priority="259">
      <formula>RIGHT(Q789,1)=" "</formula>
    </cfRule>
  </conditionalFormatting>
  <conditionalFormatting sqref="O1006:O1025">
    <cfRule type="expression" dxfId="195" priority="256">
      <formula>RIGHT(O1006,2)="  "</formula>
    </cfRule>
    <cfRule type="expression" dxfId="194" priority="257">
      <formula>RIGHT(O1006,1)=" "</formula>
    </cfRule>
  </conditionalFormatting>
  <conditionalFormatting sqref="O1319:O1338">
    <cfRule type="expression" dxfId="193" priority="254">
      <formula>RIGHT(O1319,2)="  "</formula>
    </cfRule>
    <cfRule type="expression" dxfId="192" priority="255">
      <formula>RIGHT(O1319,1)=" "</formula>
    </cfRule>
  </conditionalFormatting>
  <conditionalFormatting sqref="O693:O712">
    <cfRule type="expression" dxfId="191" priority="252">
      <formula>RIGHT(O693,2)="  "</formula>
    </cfRule>
    <cfRule type="expression" dxfId="190" priority="253">
      <formula>RIGHT(O693,1)=" "</formula>
    </cfRule>
  </conditionalFormatting>
  <conditionalFormatting sqref="Q693:Q712">
    <cfRule type="expression" dxfId="189" priority="250">
      <formula>RIGHT(Q693,2)="  "</formula>
    </cfRule>
    <cfRule type="expression" dxfId="188" priority="251">
      <formula>RIGHT(Q693,1)=" "</formula>
    </cfRule>
  </conditionalFormatting>
  <conditionalFormatting sqref="O429:O448">
    <cfRule type="expression" dxfId="187" priority="248">
      <formula>RIGHT(O429,2)="  "</formula>
    </cfRule>
    <cfRule type="expression" dxfId="186" priority="249">
      <formula>RIGHT(O429,1)=" "</formula>
    </cfRule>
  </conditionalFormatting>
  <conditionalFormatting sqref="Q429:Q448">
    <cfRule type="expression" dxfId="185" priority="246">
      <formula>RIGHT(Q429,2)="  "</formula>
    </cfRule>
    <cfRule type="expression" dxfId="184" priority="247">
      <formula>RIGHT(Q429,1)=" "</formula>
    </cfRule>
  </conditionalFormatting>
  <conditionalFormatting sqref="O1271:O1290">
    <cfRule type="expression" dxfId="183" priority="244">
      <formula>RIGHT(O1271,2)="  "</formula>
    </cfRule>
    <cfRule type="expression" dxfId="182" priority="245">
      <formula>RIGHT(O1271,1)=" "</formula>
    </cfRule>
  </conditionalFormatting>
  <conditionalFormatting sqref="Q1271">
    <cfRule type="expression" dxfId="181" priority="242">
      <formula>RIGHT(Q1271,2)="  "</formula>
    </cfRule>
    <cfRule type="expression" dxfId="180" priority="243">
      <formula>RIGHT(Q1271,1)=" "</formula>
    </cfRule>
  </conditionalFormatting>
  <conditionalFormatting sqref="Q1272">
    <cfRule type="expression" dxfId="179" priority="240">
      <formula>RIGHT(Q1272,2)="  "</formula>
    </cfRule>
    <cfRule type="expression" dxfId="178" priority="241">
      <formula>RIGHT(Q1272,1)=" "</formula>
    </cfRule>
  </conditionalFormatting>
  <conditionalFormatting sqref="Q1273">
    <cfRule type="expression" dxfId="177" priority="238">
      <formula>RIGHT(Q1273,2)="  "</formula>
    </cfRule>
    <cfRule type="expression" dxfId="176" priority="239">
      <formula>RIGHT(Q1273,1)=" "</formula>
    </cfRule>
  </conditionalFormatting>
  <conditionalFormatting sqref="O453:O456 O460:O472">
    <cfRule type="expression" dxfId="175" priority="236">
      <formula>RIGHT(O453,2)="  "</formula>
    </cfRule>
    <cfRule type="expression" dxfId="174" priority="237">
      <formula>RIGHT(O453,1)=" "</formula>
    </cfRule>
  </conditionalFormatting>
  <conditionalFormatting sqref="O457:O459">
    <cfRule type="expression" dxfId="173" priority="226">
      <formula>RIGHT(O457,2)="  "</formula>
    </cfRule>
    <cfRule type="expression" dxfId="172" priority="227">
      <formula>RIGHT(O457,1)=" "</formula>
    </cfRule>
  </conditionalFormatting>
  <conditionalFormatting sqref="Q453">
    <cfRule type="expression" dxfId="171" priority="232">
      <formula>RIGHT(Q453,2)="  "</formula>
    </cfRule>
    <cfRule type="expression" dxfId="170" priority="233">
      <formula>RIGHT(Q453,1)=" "</formula>
    </cfRule>
  </conditionalFormatting>
  <conditionalFormatting sqref="Q455">
    <cfRule type="expression" dxfId="169" priority="228">
      <formula>RIGHT(Q455,2)="  "</formula>
    </cfRule>
    <cfRule type="expression" dxfId="168" priority="229">
      <formula>RIGHT(Q455,1)=" "</formula>
    </cfRule>
  </conditionalFormatting>
  <conditionalFormatting sqref="Q719">
    <cfRule type="expression" dxfId="167" priority="216">
      <formula>RIGHT(Q719,2)="  "</formula>
    </cfRule>
    <cfRule type="expression" dxfId="166" priority="217">
      <formula>RIGHT(Q719,1)=" "</formula>
    </cfRule>
  </conditionalFormatting>
  <conditionalFormatting sqref="O719:O721">
    <cfRule type="expression" dxfId="165" priority="214">
      <formula>RIGHT(O719,2)="  "</formula>
    </cfRule>
    <cfRule type="expression" dxfId="164" priority="215">
      <formula>RIGHT(O719,1)=" "</formula>
    </cfRule>
  </conditionalFormatting>
  <conditionalFormatting sqref="O717:O718 O722:O736">
    <cfRule type="expression" dxfId="163" priority="224">
      <formula>RIGHT(O717,2)="  "</formula>
    </cfRule>
    <cfRule type="expression" dxfId="162" priority="225">
      <formula>RIGHT(O717,1)=" "</formula>
    </cfRule>
  </conditionalFormatting>
  <conditionalFormatting sqref="Q1249">
    <cfRule type="expression" dxfId="161" priority="206">
      <formula>RIGHT(Q1249,2)="  "</formula>
    </cfRule>
    <cfRule type="expression" dxfId="160" priority="207">
      <formula>RIGHT(Q1249,1)=" "</formula>
    </cfRule>
  </conditionalFormatting>
  <conditionalFormatting sqref="Q717">
    <cfRule type="expression" dxfId="159" priority="220">
      <formula>RIGHT(Q717,2)="  "</formula>
    </cfRule>
    <cfRule type="expression" dxfId="158" priority="221">
      <formula>RIGHT(Q717,1)=" "</formula>
    </cfRule>
  </conditionalFormatting>
  <conditionalFormatting sqref="Q1247">
    <cfRule type="expression" dxfId="157" priority="210">
      <formula>RIGHT(Q1247,2)="  "</formula>
    </cfRule>
    <cfRule type="expression" dxfId="156" priority="211">
      <formula>RIGHT(Q1247,1)=" "</formula>
    </cfRule>
  </conditionalFormatting>
  <conditionalFormatting sqref="Q1248">
    <cfRule type="expression" dxfId="155" priority="208">
      <formula>RIGHT(Q1248,2)="  "</formula>
    </cfRule>
    <cfRule type="expression" dxfId="154" priority="209">
      <formula>RIGHT(Q1248,1)=" "</formula>
    </cfRule>
  </conditionalFormatting>
  <conditionalFormatting sqref="Q1590">
    <cfRule type="expression" dxfId="153" priority="174">
      <formula>RIGHT(Q1590,2)="  "</formula>
    </cfRule>
    <cfRule type="expression" dxfId="152" priority="175">
      <formula>RIGHT(Q1590,1)=" "</formula>
    </cfRule>
  </conditionalFormatting>
  <conditionalFormatting sqref="O1247:O1266">
    <cfRule type="expression" dxfId="151" priority="212">
      <formula>RIGHT(O1247,2)="  "</formula>
    </cfRule>
    <cfRule type="expression" dxfId="150" priority="213">
      <formula>RIGHT(O1247,1)=" "</formula>
    </cfRule>
  </conditionalFormatting>
  <conditionalFormatting sqref="O1586">
    <cfRule type="expression" dxfId="149" priority="178">
      <formula>RIGHT(O1586,2)="  "</formula>
    </cfRule>
    <cfRule type="expression" dxfId="148" priority="179">
      <formula>RIGHT(O1586,1)=" "</formula>
    </cfRule>
  </conditionalFormatting>
  <conditionalFormatting sqref="Q2022:Q2028 Q2030:Q2041">
    <cfRule type="expression" dxfId="147" priority="170">
      <formula>RIGHT(Q2022,2)="  "</formula>
    </cfRule>
    <cfRule type="expression" dxfId="146" priority="171">
      <formula>RIGHT(Q2022,1)=" "</formula>
    </cfRule>
  </conditionalFormatting>
  <conditionalFormatting sqref="O1585 O1591:O1604 O1587">
    <cfRule type="expression" dxfId="145" priority="204">
      <formula>RIGHT(O1585,2)="  "</formula>
    </cfRule>
    <cfRule type="expression" dxfId="144" priority="205">
      <formula>RIGHT(O1585,1)=" "</formula>
    </cfRule>
  </conditionalFormatting>
  <conditionalFormatting sqref="Q1585">
    <cfRule type="expression" dxfId="143" priority="202">
      <formula>RIGHT(Q1585,2)="  "</formula>
    </cfRule>
    <cfRule type="expression" dxfId="142" priority="203">
      <formula>RIGHT(Q1585,1)=" "</formula>
    </cfRule>
  </conditionalFormatting>
  <conditionalFormatting sqref="Q1586">
    <cfRule type="expression" dxfId="141" priority="200">
      <formula>RIGHT(Q1586,2)="  "</formula>
    </cfRule>
    <cfRule type="expression" dxfId="140" priority="201">
      <formula>RIGHT(Q1586,1)=" "</formula>
    </cfRule>
  </conditionalFormatting>
  <conditionalFormatting sqref="Q1587">
    <cfRule type="expression" dxfId="139" priority="198">
      <formula>RIGHT(Q1587,2)="  "</formula>
    </cfRule>
    <cfRule type="expression" dxfId="138" priority="199">
      <formula>RIGHT(Q1587,1)=" "</formula>
    </cfRule>
  </conditionalFormatting>
  <conditionalFormatting sqref="O1588:O1590">
    <cfRule type="expression" dxfId="137" priority="196">
      <formula>RIGHT(O1588,2)="  "</formula>
    </cfRule>
    <cfRule type="expression" dxfId="136" priority="197">
      <formula>RIGHT(O1588,1)=" "</formula>
    </cfRule>
  </conditionalFormatting>
  <conditionalFormatting sqref="O1562">
    <cfRule type="expression" dxfId="135" priority="194">
      <formula>RIGHT(O1562,2)="  "</formula>
    </cfRule>
    <cfRule type="expression" dxfId="134" priority="195">
      <formula>RIGHT(O1562,1)=" "</formula>
    </cfRule>
  </conditionalFormatting>
  <conditionalFormatting sqref="O1570">
    <cfRule type="expression" dxfId="133" priority="192">
      <formula>RIGHT(O1570,2)="  "</formula>
    </cfRule>
    <cfRule type="expression" dxfId="132" priority="193">
      <formula>RIGHT(O1570,1)=" "</formula>
    </cfRule>
  </conditionalFormatting>
  <conditionalFormatting sqref="O1569">
    <cfRule type="expression" dxfId="131" priority="190">
      <formula>RIGHT(O1569,2)="  "</formula>
    </cfRule>
    <cfRule type="expression" dxfId="130" priority="191">
      <formula>RIGHT(O1569,1)=" "</formula>
    </cfRule>
  </conditionalFormatting>
  <conditionalFormatting sqref="Q1561">
    <cfRule type="expression" dxfId="129" priority="188">
      <formula>RIGHT(Q1561,2)="  "</formula>
    </cfRule>
    <cfRule type="expression" dxfId="128" priority="189">
      <formula>RIGHT(Q1561,1)=" "</formula>
    </cfRule>
  </conditionalFormatting>
  <conditionalFormatting sqref="Q1562">
    <cfRule type="expression" dxfId="127" priority="186">
      <formula>RIGHT(Q1562,2)="  "</formula>
    </cfRule>
    <cfRule type="expression" dxfId="126" priority="187">
      <formula>RIGHT(Q1562,1)=" "</formula>
    </cfRule>
  </conditionalFormatting>
  <conditionalFormatting sqref="Q1563">
    <cfRule type="expression" dxfId="125" priority="184">
      <formula>RIGHT(Q1563,2)="  "</formula>
    </cfRule>
    <cfRule type="expression" dxfId="124" priority="185">
      <formula>RIGHT(Q1563,1)=" "</formula>
    </cfRule>
  </conditionalFormatting>
  <conditionalFormatting sqref="O1565:O1567">
    <cfRule type="expression" dxfId="123" priority="182">
      <formula>RIGHT(O1565,2)="  "</formula>
    </cfRule>
    <cfRule type="expression" dxfId="122" priority="183">
      <formula>RIGHT(O1565,1)=" "</formula>
    </cfRule>
  </conditionalFormatting>
  <conditionalFormatting sqref="O2022:O2023 O2025:O2038">
    <cfRule type="expression" dxfId="121" priority="172">
      <formula>RIGHT(O2022,2)="  "</formula>
    </cfRule>
    <cfRule type="expression" dxfId="120" priority="173">
      <formula>RIGHT(O2022,1)=" "</formula>
    </cfRule>
  </conditionalFormatting>
  <conditionalFormatting sqref="Q2029">
    <cfRule type="expression" dxfId="119" priority="166">
      <formula>RIGHT(Q2029,2)="  "</formula>
    </cfRule>
    <cfRule type="expression" dxfId="118" priority="167">
      <formula>RIGHT(Q2029,1)=" "</formula>
    </cfRule>
  </conditionalFormatting>
  <conditionalFormatting sqref="O2016:O2017 O2000">
    <cfRule type="expression" dxfId="117" priority="164">
      <formula>RIGHT(O2000,2)="  "</formula>
    </cfRule>
    <cfRule type="expression" dxfId="116" priority="165">
      <formula>RIGHT(O2000,1)=" "</formula>
    </cfRule>
  </conditionalFormatting>
  <conditionalFormatting sqref="Q1998:Q2004 Q2006:Q2017">
    <cfRule type="expression" dxfId="115" priority="160">
      <formula>RIGHT(Q1998,2)="  "</formula>
    </cfRule>
    <cfRule type="expression" dxfId="114" priority="161">
      <formula>RIGHT(Q1998,1)=" "</formula>
    </cfRule>
  </conditionalFormatting>
  <conditionalFormatting sqref="O1998:O1999 O2001:O2014">
    <cfRule type="expression" dxfId="113" priority="162">
      <formula>RIGHT(O1998,2)="  "</formula>
    </cfRule>
    <cfRule type="expression" dxfId="112" priority="163">
      <formula>RIGHT(O1998,1)=" "</formula>
    </cfRule>
  </conditionalFormatting>
  <conditionalFormatting sqref="Q2005">
    <cfRule type="expression" dxfId="111" priority="158">
      <formula>RIGHT(Q2005,2)="  "</formula>
    </cfRule>
    <cfRule type="expression" dxfId="110" priority="159">
      <formula>RIGHT(Q2005,1)=" "</formula>
    </cfRule>
  </conditionalFormatting>
  <conditionalFormatting sqref="O237:O256">
    <cfRule type="expression" dxfId="109" priority="156">
      <formula>RIGHT(O237,2)="  "</formula>
    </cfRule>
    <cfRule type="expression" dxfId="108" priority="157">
      <formula>RIGHT(O237,1)=" "</formula>
    </cfRule>
  </conditionalFormatting>
  <conditionalFormatting sqref="Q237:Q256">
    <cfRule type="expression" dxfId="107" priority="154">
      <formula>RIGHT(Q237,2)="  "</formula>
    </cfRule>
    <cfRule type="expression" dxfId="106" priority="155">
      <formula>RIGHT(Q237,1)=" "</formula>
    </cfRule>
  </conditionalFormatting>
  <conditionalFormatting sqref="O1658:O1677">
    <cfRule type="expression" dxfId="105" priority="152">
      <formula>RIGHT(O1658,2)="  "</formula>
    </cfRule>
    <cfRule type="expression" dxfId="104" priority="153">
      <formula>RIGHT(O1658,1)=" "</formula>
    </cfRule>
  </conditionalFormatting>
  <conditionalFormatting sqref="O1295:O1314">
    <cfRule type="expression" dxfId="103" priority="150">
      <formula>RIGHT(O1295,2)="  "</formula>
    </cfRule>
    <cfRule type="expression" dxfId="102" priority="151">
      <formula>RIGHT(O1295,1)=" "</formula>
    </cfRule>
  </conditionalFormatting>
  <conditionalFormatting sqref="O1487:O1506">
    <cfRule type="expression" dxfId="101" priority="146">
      <formula>RIGHT(O1487,2)="  "</formula>
    </cfRule>
    <cfRule type="expression" dxfId="100" priority="147">
      <formula>RIGHT(O1487,1)=" "</formula>
    </cfRule>
  </conditionalFormatting>
  <conditionalFormatting sqref="O1463:O1482">
    <cfRule type="expression" dxfId="99" priority="144">
      <formula>RIGHT(O1463,2)="  "</formula>
    </cfRule>
    <cfRule type="expression" dxfId="98" priority="145">
      <formula>RIGHT(O1463,1)=" "</formula>
    </cfRule>
  </conditionalFormatting>
  <conditionalFormatting sqref="O597:O616">
    <cfRule type="expression" dxfId="97" priority="142">
      <formula>RIGHT(O597,2)="  "</formula>
    </cfRule>
    <cfRule type="expression" dxfId="96" priority="143">
      <formula>RIGHT(O597,1)=" "</formula>
    </cfRule>
  </conditionalFormatting>
  <conditionalFormatting sqref="Q597:Q616">
    <cfRule type="expression" dxfId="95" priority="140">
      <formula>RIGHT(Q597,2)="  "</formula>
    </cfRule>
    <cfRule type="expression" dxfId="94" priority="141">
      <formula>RIGHT(Q597,1)=" "</formula>
    </cfRule>
  </conditionalFormatting>
  <conditionalFormatting sqref="O501:O520">
    <cfRule type="expression" dxfId="93" priority="138">
      <formula>RIGHT(O501,2)="  "</formula>
    </cfRule>
    <cfRule type="expression" dxfId="92" priority="139">
      <formula>RIGHT(O501,1)=" "</formula>
    </cfRule>
  </conditionalFormatting>
  <conditionalFormatting sqref="Q501:Q520">
    <cfRule type="expression" dxfId="91" priority="136">
      <formula>RIGHT(Q501,2)="  "</formula>
    </cfRule>
    <cfRule type="expression" dxfId="90" priority="137">
      <formula>RIGHT(Q501,1)=" "</formula>
    </cfRule>
  </conditionalFormatting>
  <conditionalFormatting sqref="O741:O760">
    <cfRule type="expression" dxfId="89" priority="134">
      <formula>RIGHT(O741,2)="  "</formula>
    </cfRule>
    <cfRule type="expression" dxfId="88" priority="135">
      <formula>RIGHT(O741,1)=" "</formula>
    </cfRule>
  </conditionalFormatting>
  <conditionalFormatting sqref="Q741:Q760">
    <cfRule type="expression" dxfId="87" priority="132">
      <formula>RIGHT(Q741,2)="  "</formula>
    </cfRule>
    <cfRule type="expression" dxfId="86" priority="133">
      <formula>RIGHT(Q741,1)=" "</formula>
    </cfRule>
  </conditionalFormatting>
  <conditionalFormatting sqref="O669:O688">
    <cfRule type="expression" dxfId="85" priority="129">
      <formula>RIGHT(O669,2)="  "</formula>
    </cfRule>
    <cfRule type="expression" dxfId="84" priority="130">
      <formula>RIGHT(O669,1)=" "</formula>
    </cfRule>
  </conditionalFormatting>
  <conditionalFormatting sqref="Q669:Q688">
    <cfRule type="expression" dxfId="83" priority="127">
      <formula>RIGHT(Q669,2)="  "</formula>
    </cfRule>
    <cfRule type="expression" dxfId="82" priority="128">
      <formula>RIGHT(Q669,1)=" "</formula>
    </cfRule>
  </conditionalFormatting>
  <conditionalFormatting sqref="O333:O352">
    <cfRule type="expression" dxfId="81" priority="124">
      <formula>RIGHT(O333,2)="  "</formula>
    </cfRule>
    <cfRule type="expression" dxfId="80" priority="125">
      <formula>RIGHT(O333,1)=" "</formula>
    </cfRule>
  </conditionalFormatting>
  <conditionalFormatting sqref="Q333:Q352">
    <cfRule type="expression" dxfId="79" priority="122">
      <formula>RIGHT(Q333,2)="  "</formula>
    </cfRule>
    <cfRule type="expression" dxfId="78" priority="123">
      <formula>RIGHT(Q333,1)=" "</formula>
    </cfRule>
  </conditionalFormatting>
  <conditionalFormatting sqref="O357:O376">
    <cfRule type="expression" dxfId="77" priority="119">
      <formula>RIGHT(O357,2)="  "</formula>
    </cfRule>
    <cfRule type="expression" dxfId="76" priority="120">
      <formula>RIGHT(O357,1)=" "</formula>
    </cfRule>
  </conditionalFormatting>
  <conditionalFormatting sqref="Q357:Q376">
    <cfRule type="expression" dxfId="75" priority="117">
      <formula>RIGHT(Q357,2)="  "</formula>
    </cfRule>
    <cfRule type="expression" dxfId="74" priority="118">
      <formula>RIGHT(Q357,1)=" "</formula>
    </cfRule>
  </conditionalFormatting>
  <conditionalFormatting sqref="O405:O424">
    <cfRule type="expression" dxfId="73" priority="114">
      <formula>RIGHT(O405,2)="  "</formula>
    </cfRule>
    <cfRule type="expression" dxfId="72" priority="115">
      <formula>RIGHT(O405,1)=" "</formula>
    </cfRule>
  </conditionalFormatting>
  <conditionalFormatting sqref="Q405:Q424">
    <cfRule type="expression" dxfId="71" priority="112">
      <formula>RIGHT(Q405,2)="  "</formula>
    </cfRule>
    <cfRule type="expression" dxfId="70" priority="113">
      <formula>RIGHT(Q405,1)=" "</formula>
    </cfRule>
  </conditionalFormatting>
  <conditionalFormatting sqref="O2070:O2089">
    <cfRule type="expression" dxfId="69" priority="109">
      <formula>RIGHT(O2070,2)="  "</formula>
    </cfRule>
    <cfRule type="expression" dxfId="68" priority="110">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1:XFD14 AP2118:AT2601 AU25:XFD474 AO15 J19:AO474 AV19:XFD24 A16:H16 AW15:XFD16 J16:AO16 B10:H11 B9:C9 E9:H9">
    <cfRule type="expression" dxfId="67" priority="107">
      <formula>IF(ROW() = ROW(), TRUE, FALSE)</formula>
    </cfRule>
  </conditionalFormatting>
  <conditionalFormatting sqref="O813:O832">
    <cfRule type="expression" dxfId="66" priority="105">
      <formula>RIGHT(O813,2)="  "</formula>
    </cfRule>
    <cfRule type="expression" dxfId="65" priority="106">
      <formula>RIGHT(O813,1)=" "</formula>
    </cfRule>
  </conditionalFormatting>
  <conditionalFormatting sqref="Q813:Q832">
    <cfRule type="expression" dxfId="64" priority="103">
      <formula>RIGHT(Q813,2)="  "</formula>
    </cfRule>
    <cfRule type="expression" dxfId="63" priority="104">
      <formula>RIGHT(Q813,1)=" "</formula>
    </cfRule>
  </conditionalFormatting>
  <conditionalFormatting sqref="D499:D570 D595:D642 D2068:D1048576 D667:D1898 D1923:D2043 D1:D8 D13:D474 D10:D11">
    <cfRule type="cellIs" dxfId="62" priority="100" operator="equal">
      <formula>"EITHER"</formula>
    </cfRule>
    <cfRule type="cellIs" dxfId="61" priority="101" operator="equal">
      <formula>"MSSB"</formula>
    </cfRule>
    <cfRule type="cellIs" dxfId="60" priority="102" operator="equal">
      <formula>"LOCAL"</formula>
    </cfRule>
  </conditionalFormatting>
  <conditionalFormatting sqref="D8 D10:D11">
    <cfRule type="cellIs" dxfId="59" priority="74" operator="notEqual">
      <formula>0</formula>
    </cfRule>
  </conditionalFormatting>
  <conditionalFormatting sqref="D475:D498">
    <cfRule type="cellIs" dxfId="58" priority="66" operator="equal">
      <formula>"EITHER"</formula>
    </cfRule>
    <cfRule type="cellIs" dxfId="57" priority="67" operator="equal">
      <formula>"MSSB"</formula>
    </cfRule>
    <cfRule type="cellIs" dxfId="56" priority="68" operator="equal">
      <formula>"LOCAL"</formula>
    </cfRule>
  </conditionalFormatting>
  <conditionalFormatting sqref="D571:D594">
    <cfRule type="cellIs" dxfId="55" priority="55" operator="equal">
      <formula>"EITHER"</formula>
    </cfRule>
    <cfRule type="cellIs" dxfId="54" priority="56" operator="equal">
      <formula>"MSSB"</formula>
    </cfRule>
    <cfRule type="cellIs" dxfId="53" priority="57" operator="equal">
      <formula>"LOCAL"</formula>
    </cfRule>
  </conditionalFormatting>
  <conditionalFormatting sqref="D2044:D2067">
    <cfRule type="cellIs" dxfId="52" priority="48" operator="equal">
      <formula>"EITHER"</formula>
    </cfRule>
    <cfRule type="cellIs" dxfId="51" priority="49" operator="equal">
      <formula>"MSSB"</formula>
    </cfRule>
    <cfRule type="cellIs" dxfId="50" priority="50" operator="equal">
      <formula>"LOCAL"</formula>
    </cfRule>
  </conditionalFormatting>
  <conditionalFormatting sqref="D643:D666">
    <cfRule type="cellIs" dxfId="49" priority="39" operator="equal">
      <formula>"EITHER"</formula>
    </cfRule>
    <cfRule type="cellIs" dxfId="48" priority="40" operator="equal">
      <formula>"MSSB"</formula>
    </cfRule>
    <cfRule type="cellIs" dxfId="47" priority="41" operator="equal">
      <formula>"LOCAL"</formula>
    </cfRule>
  </conditionalFormatting>
  <conditionalFormatting sqref="O1901:O1920">
    <cfRule type="expression" dxfId="46" priority="36">
      <formula>RIGHT(O1901,2)="  "</formula>
    </cfRule>
    <cfRule type="expression" dxfId="45" priority="37">
      <formula>RIGHT(O1901,1)=" "</formula>
    </cfRule>
  </conditionalFormatting>
  <conditionalFormatting sqref="A1899:H1922 J1899:AO1922 AU1899:XFD1922">
    <cfRule type="expression" dxfId="44" priority="35">
      <formula>IF(ROW() = ROW(), TRUE, FALSE)</formula>
    </cfRule>
  </conditionalFormatting>
  <conditionalFormatting sqref="D1899:D192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AP19:AU19 AU20:AU24 AP20:AT2117">
    <cfRule type="expression" dxfId="40" priority="29">
      <formula>IF(ROW() = ROW(), TRUE, FALSE)</formula>
    </cfRule>
  </conditionalFormatting>
  <conditionalFormatting sqref="AP16:AV16 AP15:AS15 AU15:AV15">
    <cfRule type="expression" dxfId="39" priority="28">
      <formula>IF(ROW() = ROW(), TRUE, FALSE)</formula>
    </cfRule>
  </conditionalFormatting>
  <conditionalFormatting sqref="D9">
    <cfRule type="expression" dxfId="38" priority="17">
      <formula>IF(ROW() = ROW(), TRUE, FALSE)</formula>
    </cfRule>
  </conditionalFormatting>
  <conditionalFormatting sqref="D9">
    <cfRule type="cellIs" dxfId="37" priority="14" operator="equal">
      <formula>"EITHER"</formula>
    </cfRule>
    <cfRule type="cellIs" dxfId="36" priority="15" operator="equal">
      <formula>"MSSB"</formula>
    </cfRule>
    <cfRule type="cellIs" dxfId="35" priority="16" operator="equal">
      <formula>"LOCAL"</formula>
    </cfRule>
  </conditionalFormatting>
  <conditionalFormatting sqref="D9">
    <cfRule type="cellIs" dxfId="34" priority="13" operator="notEqual">
      <formula>0</formula>
    </cfRule>
  </conditionalFormatting>
  <conditionalFormatting sqref="AT15">
    <cfRule type="expression" dxfId="33" priority="11">
      <formula>IF(ROW() = ROW(), TRUE, FALSE)</formula>
    </cfRule>
  </conditionalFormatting>
  <conditionalFormatting sqref="I11">
    <cfRule type="expression" dxfId="32" priority="10">
      <formula>IF(ROW() = ROW(), TRUE, FALSE)</formula>
    </cfRule>
  </conditionalFormatting>
  <conditionalFormatting sqref="I11">
    <cfRule type="cellIs" dxfId="31" priority="7" operator="equal">
      <formula>"EITHER"</formula>
    </cfRule>
    <cfRule type="cellIs" dxfId="30" priority="8" operator="equal">
      <formula>"MSSB"</formula>
    </cfRule>
    <cfRule type="cellIs" dxfId="29" priority="9" operator="equal">
      <formula>"LOCAL"</formula>
    </cfRule>
  </conditionalFormatting>
  <conditionalFormatting sqref="I499:I570 I595:I642 I1:I7 I667:I1898 I1923:I2043 I11:I474 I2068:I1048576">
    <cfRule type="cellIs" dxfId="28" priority="6" operator="notEqual">
      <formula>0</formula>
    </cfRule>
  </conditionalFormatting>
  <conditionalFormatting sqref="I475:I498">
    <cfRule type="cellIs" dxfId="27" priority="5" operator="notEqual">
      <formula>0</formula>
    </cfRule>
  </conditionalFormatting>
  <conditionalFormatting sqref="I571:I594">
    <cfRule type="cellIs" dxfId="26" priority="4" operator="notEqual">
      <formula>0</formula>
    </cfRule>
  </conditionalFormatting>
  <conditionalFormatting sqref="I2044:I2067">
    <cfRule type="cellIs" dxfId="25" priority="3" operator="notEqual">
      <formula>0</formula>
    </cfRule>
  </conditionalFormatting>
  <conditionalFormatting sqref="I643:I666">
    <cfRule type="cellIs" dxfId="24" priority="2" operator="notEqual">
      <formula>0</formula>
    </cfRule>
  </conditionalFormatting>
  <conditionalFormatting sqref="I1899:I1922">
    <cfRule type="cellIs" dxfId="23" priority="1" operator="notEqual">
      <formula>0</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Y1802:Y182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U1976:U199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38"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topLeftCell="A85" workbookViewId="0">
      <selection activeCell="D2" sqref="D2:E102"/>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topLeftCell="A7" workbookViewId="0">
      <selection activeCell="D19" sqref="D19"/>
    </sheetView>
  </sheetViews>
  <sheetFormatPr defaultRowHeight="14.6" x14ac:dyDescent="0.4"/>
  <cols>
    <col min="3" max="3" width="15.69140625" customWidth="1"/>
    <col min="4" max="4" width="22.3046875" customWidth="1"/>
  </cols>
  <sheetData>
    <row r="8" spans="3:4" x14ac:dyDescent="0.4">
      <c r="C8" s="121" t="s">
        <v>596</v>
      </c>
      <c r="D8" s="66" t="s">
        <v>428</v>
      </c>
    </row>
    <row r="9" spans="3:4" x14ac:dyDescent="0.4">
      <c r="C9" s="121"/>
      <c r="D9" s="66"/>
    </row>
    <row r="10" spans="3:4" x14ac:dyDescent="0.4">
      <c r="C10" s="121" t="s">
        <v>596</v>
      </c>
      <c r="D10" s="66" t="s">
        <v>415</v>
      </c>
    </row>
    <row r="11" spans="3:4" x14ac:dyDescent="0.4">
      <c r="C11" s="121" t="s">
        <v>596</v>
      </c>
      <c r="D11" s="121" t="s">
        <v>597</v>
      </c>
    </row>
    <row r="12" spans="3:4" x14ac:dyDescent="0.4">
      <c r="C12" s="121"/>
      <c r="D12" s="121"/>
    </row>
    <row r="13" spans="3:4" x14ac:dyDescent="0.4">
      <c r="C13" s="121" t="s">
        <v>596</v>
      </c>
      <c r="D13" s="121" t="s">
        <v>606</v>
      </c>
    </row>
    <row r="14" spans="3:4" x14ac:dyDescent="0.4">
      <c r="C14" s="121" t="s">
        <v>596</v>
      </c>
      <c r="D14" s="121" t="s">
        <v>605</v>
      </c>
    </row>
    <row r="15" spans="3:4" x14ac:dyDescent="0.4">
      <c r="C15" s="121" t="s">
        <v>449</v>
      </c>
      <c r="D15" s="121" t="s">
        <v>604</v>
      </c>
    </row>
    <row r="16" spans="3:4" x14ac:dyDescent="0.4">
      <c r="C16" s="121"/>
      <c r="D16" s="121"/>
    </row>
    <row r="17" spans="3:9" x14ac:dyDescent="0.4">
      <c r="C17" s="121"/>
      <c r="D17" s="121"/>
    </row>
    <row r="18" spans="3:9" x14ac:dyDescent="0.4">
      <c r="C18" s="121"/>
      <c r="D18" s="121"/>
    </row>
    <row r="19" spans="3:9" x14ac:dyDescent="0.4">
      <c r="C19" s="121" t="s">
        <v>596</v>
      </c>
      <c r="D19" s="121" t="s">
        <v>602</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598</v>
      </c>
    </row>
    <row r="26" spans="3:9" x14ac:dyDescent="0.4">
      <c r="C26" s="121"/>
      <c r="D26" s="121"/>
      <c r="I26" s="66" t="s">
        <v>599</v>
      </c>
    </row>
    <row r="27" spans="3:9" x14ac:dyDescent="0.4">
      <c r="C27" s="121"/>
      <c r="D27" s="121"/>
      <c r="I27" s="66" t="s">
        <v>600</v>
      </c>
    </row>
  </sheetData>
  <conditionalFormatting sqref="D8">
    <cfRule type="expression" dxfId="22" priority="7">
      <formula>RIGHT(D8,2)="  "</formula>
    </cfRule>
    <cfRule type="expression" dxfId="21" priority="8">
      <formula>RIGHT(D8,1)=" "</formula>
    </cfRule>
  </conditionalFormatting>
  <conditionalFormatting sqref="D9">
    <cfRule type="expression" dxfId="20" priority="5">
      <formula>RIGHT(D9,2)="  "</formula>
    </cfRule>
    <cfRule type="expression" dxfId="19" priority="6">
      <formula>RIGHT(D9,1)=" "</formula>
    </cfRule>
  </conditionalFormatting>
  <conditionalFormatting sqref="D10">
    <cfRule type="expression" dxfId="18" priority="3">
      <formula>RIGHT(D10,2)="  "</formula>
    </cfRule>
    <cfRule type="expression" dxfId="17" priority="4">
      <formula>RIGHT(D10,1)=" "</formula>
    </cfRule>
  </conditionalFormatting>
  <conditionalFormatting sqref="I25:I27">
    <cfRule type="expression" dxfId="16" priority="1">
      <formula>RIGHT(I25,2)="  "</formula>
    </cfRule>
    <cfRule type="expression" dxfId="15" priority="2">
      <formula>RIGHT(I25,1)="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0932C-4C05-49E6-8C0A-ED84E40B3973}">
  <dimension ref="A1:C2"/>
  <sheetViews>
    <sheetView workbookViewId="0">
      <selection activeCell="C2" sqref="C2"/>
    </sheetView>
  </sheetViews>
  <sheetFormatPr defaultRowHeight="14.6" x14ac:dyDescent="0.4"/>
  <sheetData>
    <row r="1" spans="1:3" x14ac:dyDescent="0.4">
      <c r="A1" t="s">
        <v>808</v>
      </c>
    </row>
    <row r="2" spans="1:3" x14ac:dyDescent="0.4">
      <c r="A2" t="s">
        <v>805</v>
      </c>
      <c r="B2" t="s">
        <v>806</v>
      </c>
      <c r="C2" t="s">
        <v>807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79844-B5E3-4DA1-8ABC-8FEE8B6B5D68}">
  <dimension ref="A1:G329"/>
  <sheetViews>
    <sheetView topLeftCell="A229" workbookViewId="0">
      <selection activeCell="F22" sqref="F22"/>
    </sheetView>
  </sheetViews>
  <sheetFormatPr defaultRowHeight="14.6" x14ac:dyDescent="0.4"/>
  <cols>
    <col min="1" max="2" width="9.23046875" style="319"/>
  </cols>
  <sheetData>
    <row r="1" spans="1:6" x14ac:dyDescent="0.4">
      <c r="A1" s="319" t="s">
        <v>838</v>
      </c>
      <c r="C1" s="319">
        <v>0</v>
      </c>
      <c r="D1" s="319" t="s">
        <v>106</v>
      </c>
      <c r="F1" t="str">
        <f>CHAR(ROW())</f>
        <v>_x0001_</v>
      </c>
    </row>
    <row r="2" spans="1:6" x14ac:dyDescent="0.4">
      <c r="A2" s="319" t="s">
        <v>839</v>
      </c>
      <c r="C2" s="319">
        <v>1</v>
      </c>
      <c r="D2" s="319" t="s">
        <v>6</v>
      </c>
      <c r="F2" s="114" t="str">
        <f t="shared" ref="F2:F65" si="0">CHAR(ROW())</f>
        <v>_x0002_</v>
      </c>
    </row>
    <row r="3" spans="1:6" x14ac:dyDescent="0.4">
      <c r="C3" s="319">
        <v>2</v>
      </c>
      <c r="D3" s="319" t="s">
        <v>7</v>
      </c>
      <c r="F3" s="114" t="str">
        <f t="shared" si="0"/>
        <v>_x0003_</v>
      </c>
    </row>
    <row r="4" spans="1:6" x14ac:dyDescent="0.4">
      <c r="C4" s="319">
        <v>3</v>
      </c>
      <c r="D4" s="319" t="s">
        <v>8</v>
      </c>
      <c r="F4" s="114" t="str">
        <f t="shared" si="0"/>
        <v>_x0004_</v>
      </c>
    </row>
    <row r="5" spans="1:6" x14ac:dyDescent="0.4">
      <c r="C5" s="319">
        <v>4</v>
      </c>
      <c r="D5" s="319" t="s">
        <v>9</v>
      </c>
      <c r="F5" s="114" t="str">
        <f t="shared" si="0"/>
        <v>_x0005_</v>
      </c>
    </row>
    <row r="6" spans="1:6" x14ac:dyDescent="0.4">
      <c r="C6" s="319">
        <v>5</v>
      </c>
      <c r="D6" s="319" t="s">
        <v>10</v>
      </c>
      <c r="F6" s="114" t="str">
        <f t="shared" si="0"/>
        <v>_x0006_</v>
      </c>
    </row>
    <row r="7" spans="1:6" x14ac:dyDescent="0.4">
      <c r="C7" s="319">
        <v>6</v>
      </c>
      <c r="D7" s="319" t="s">
        <v>11</v>
      </c>
      <c r="F7" s="114" t="str">
        <f t="shared" si="0"/>
        <v>_x0007_</v>
      </c>
    </row>
    <row r="8" spans="1:6" x14ac:dyDescent="0.4">
      <c r="C8" s="319">
        <v>7</v>
      </c>
      <c r="D8" s="319" t="s">
        <v>12</v>
      </c>
      <c r="F8" s="114" t="str">
        <f t="shared" si="0"/>
        <v>_x0008_</v>
      </c>
    </row>
    <row r="9" spans="1:6" x14ac:dyDescent="0.4">
      <c r="C9" s="319">
        <v>8</v>
      </c>
      <c r="D9" s="319" t="s">
        <v>13</v>
      </c>
      <c r="F9" s="114" t="str">
        <f t="shared" si="0"/>
        <v xml:space="preserve">	</v>
      </c>
    </row>
    <row r="10" spans="1:6" x14ac:dyDescent="0.4">
      <c r="C10" s="319">
        <v>9</v>
      </c>
      <c r="D10" s="319" t="s">
        <v>14</v>
      </c>
      <c r="F10" s="114" t="str">
        <f t="shared" si="0"/>
        <v xml:space="preserve">
</v>
      </c>
    </row>
    <row r="11" spans="1:6" x14ac:dyDescent="0.4">
      <c r="C11" s="319">
        <v>10</v>
      </c>
      <c r="D11" s="319" t="s">
        <v>15</v>
      </c>
      <c r="F11" s="114" t="str">
        <f t="shared" si="0"/>
        <v>_x000B_</v>
      </c>
    </row>
    <row r="12" spans="1:6" x14ac:dyDescent="0.4">
      <c r="C12" s="319">
        <v>11</v>
      </c>
      <c r="D12" s="319" t="s">
        <v>16</v>
      </c>
      <c r="F12" s="114" t="str">
        <f t="shared" si="0"/>
        <v>_x000C_</v>
      </c>
    </row>
    <row r="13" spans="1:6" x14ac:dyDescent="0.4">
      <c r="C13" s="319">
        <v>12</v>
      </c>
      <c r="D13" s="319" t="s">
        <v>17</v>
      </c>
      <c r="F13" s="114" t="str">
        <f t="shared" si="0"/>
        <v>_x000D_</v>
      </c>
    </row>
    <row r="14" spans="1:6" x14ac:dyDescent="0.4">
      <c r="C14" s="319">
        <v>13</v>
      </c>
      <c r="D14" s="319" t="s">
        <v>18</v>
      </c>
      <c r="F14" s="114" t="str">
        <f t="shared" si="0"/>
        <v>_x000E_</v>
      </c>
    </row>
    <row r="15" spans="1:6" x14ac:dyDescent="0.4">
      <c r="C15" s="319">
        <v>14</v>
      </c>
      <c r="D15" s="319" t="s">
        <v>19</v>
      </c>
      <c r="F15" s="114" t="str">
        <f t="shared" si="0"/>
        <v>_x000F_</v>
      </c>
    </row>
    <row r="16" spans="1:6" x14ac:dyDescent="0.4">
      <c r="C16" s="319">
        <v>15</v>
      </c>
      <c r="D16" s="319" t="s">
        <v>20</v>
      </c>
      <c r="F16" s="114" t="str">
        <f t="shared" si="0"/>
        <v>_x0010_</v>
      </c>
    </row>
    <row r="17" spans="3:6" x14ac:dyDescent="0.4">
      <c r="C17" s="319">
        <v>16</v>
      </c>
      <c r="D17" s="319" t="s">
        <v>21</v>
      </c>
      <c r="F17" s="114" t="str">
        <f t="shared" si="0"/>
        <v>_x0011_</v>
      </c>
    </row>
    <row r="18" spans="3:6" x14ac:dyDescent="0.4">
      <c r="C18" s="319">
        <v>17</v>
      </c>
      <c r="D18" s="319" t="s">
        <v>22</v>
      </c>
      <c r="F18" s="114" t="str">
        <f t="shared" si="0"/>
        <v>_x0012_</v>
      </c>
    </row>
    <row r="19" spans="3:6" x14ac:dyDescent="0.4">
      <c r="C19" s="319">
        <v>18</v>
      </c>
      <c r="D19" s="319" t="s">
        <v>23</v>
      </c>
      <c r="F19" s="114" t="str">
        <f t="shared" si="0"/>
        <v>_x0013_</v>
      </c>
    </row>
    <row r="20" spans="3:6" x14ac:dyDescent="0.4">
      <c r="C20" s="319">
        <v>19</v>
      </c>
      <c r="D20" s="319" t="s">
        <v>24</v>
      </c>
      <c r="F20" s="114" t="str">
        <f t="shared" si="0"/>
        <v>_x0014_</v>
      </c>
    </row>
    <row r="21" spans="3:6" x14ac:dyDescent="0.4">
      <c r="C21" s="319">
        <v>20</v>
      </c>
      <c r="D21" s="319" t="s">
        <v>25</v>
      </c>
      <c r="F21" s="114" t="str">
        <f t="shared" si="0"/>
        <v>_x0015_</v>
      </c>
    </row>
    <row r="22" spans="3:6" x14ac:dyDescent="0.4">
      <c r="C22" s="319">
        <v>21</v>
      </c>
      <c r="D22" s="319" t="s">
        <v>26</v>
      </c>
      <c r="F22" s="114" t="str">
        <f t="shared" si="0"/>
        <v>_x0016_</v>
      </c>
    </row>
    <row r="23" spans="3:6" x14ac:dyDescent="0.4">
      <c r="C23" s="319">
        <v>22</v>
      </c>
      <c r="D23" s="319" t="s">
        <v>27</v>
      </c>
      <c r="F23" s="114" t="str">
        <f t="shared" si="0"/>
        <v>_x0017_</v>
      </c>
    </row>
    <row r="24" spans="3:6" x14ac:dyDescent="0.4">
      <c r="C24" s="319">
        <v>23</v>
      </c>
      <c r="D24" s="319" t="s">
        <v>28</v>
      </c>
      <c r="F24" s="114" t="str">
        <f t="shared" si="0"/>
        <v>_x0018_</v>
      </c>
    </row>
    <row r="25" spans="3:6" x14ac:dyDescent="0.4">
      <c r="C25" s="319">
        <v>24</v>
      </c>
      <c r="D25" s="319" t="s">
        <v>29</v>
      </c>
      <c r="F25" s="114" t="str">
        <f t="shared" si="0"/>
        <v>_x0019_</v>
      </c>
    </row>
    <row r="26" spans="3:6" x14ac:dyDescent="0.4">
      <c r="C26" s="319">
        <v>25</v>
      </c>
      <c r="D26" s="319" t="s">
        <v>30</v>
      </c>
      <c r="F26" s="114" t="str">
        <f t="shared" si="0"/>
        <v>_x001A_</v>
      </c>
    </row>
    <row r="27" spans="3:6" x14ac:dyDescent="0.4">
      <c r="C27" s="319">
        <v>26</v>
      </c>
      <c r="D27" s="319" t="s">
        <v>31</v>
      </c>
      <c r="F27" s="114" t="str">
        <f t="shared" si="0"/>
        <v>_x001B_</v>
      </c>
    </row>
    <row r="28" spans="3:6" x14ac:dyDescent="0.4">
      <c r="C28" s="319">
        <v>27</v>
      </c>
      <c r="D28" s="319" t="s">
        <v>32</v>
      </c>
      <c r="F28" s="114" t="str">
        <f t="shared" si="0"/>
        <v>_x001C_</v>
      </c>
    </row>
    <row r="29" spans="3:6" x14ac:dyDescent="0.4">
      <c r="C29" s="319">
        <v>28</v>
      </c>
      <c r="D29" s="319" t="s">
        <v>33</v>
      </c>
      <c r="F29" s="114" t="str">
        <f t="shared" si="0"/>
        <v>_x001D_</v>
      </c>
    </row>
    <row r="30" spans="3:6" x14ac:dyDescent="0.4">
      <c r="C30" s="319">
        <v>29</v>
      </c>
      <c r="D30" s="319" t="s">
        <v>34</v>
      </c>
      <c r="F30" s="114" t="str">
        <f t="shared" si="0"/>
        <v>_x001E_</v>
      </c>
    </row>
    <row r="31" spans="3:6" x14ac:dyDescent="0.4">
      <c r="C31" s="319">
        <v>30</v>
      </c>
      <c r="D31" s="319" t="s">
        <v>35</v>
      </c>
      <c r="F31" s="114" t="str">
        <f t="shared" si="0"/>
        <v>_x001F_</v>
      </c>
    </row>
    <row r="32" spans="3:6" x14ac:dyDescent="0.4">
      <c r="C32" s="319">
        <v>31</v>
      </c>
      <c r="D32" s="319" t="s">
        <v>36</v>
      </c>
      <c r="F32" s="114" t="str">
        <f t="shared" si="0"/>
        <v xml:space="preserve"> </v>
      </c>
    </row>
    <row r="33" spans="3:6" x14ac:dyDescent="0.4">
      <c r="C33" s="319">
        <v>32</v>
      </c>
      <c r="D33" s="319" t="s">
        <v>37</v>
      </c>
      <c r="F33" s="114" t="str">
        <f t="shared" si="0"/>
        <v>!</v>
      </c>
    </row>
    <row r="34" spans="3:6" x14ac:dyDescent="0.4">
      <c r="C34" s="319">
        <v>33</v>
      </c>
      <c r="D34" s="319" t="s">
        <v>38</v>
      </c>
      <c r="F34" s="114" t="str">
        <f t="shared" si="0"/>
        <v>"</v>
      </c>
    </row>
    <row r="35" spans="3:6" x14ac:dyDescent="0.4">
      <c r="C35" s="319">
        <v>34</v>
      </c>
      <c r="D35" s="319" t="s">
        <v>39</v>
      </c>
      <c r="F35" s="114" t="str">
        <f t="shared" si="0"/>
        <v>#</v>
      </c>
    </row>
    <row r="36" spans="3:6" x14ac:dyDescent="0.4">
      <c r="C36" s="319">
        <v>35</v>
      </c>
      <c r="D36" s="319" t="s">
        <v>40</v>
      </c>
      <c r="F36" s="114" t="str">
        <f t="shared" si="0"/>
        <v>$</v>
      </c>
    </row>
    <row r="37" spans="3:6" x14ac:dyDescent="0.4">
      <c r="C37" s="319">
        <v>36</v>
      </c>
      <c r="D37" s="319" t="s">
        <v>41</v>
      </c>
      <c r="F37" s="114" t="str">
        <f t="shared" si="0"/>
        <v>%</v>
      </c>
    </row>
    <row r="38" spans="3:6" x14ac:dyDescent="0.4">
      <c r="C38" s="319">
        <v>37</v>
      </c>
      <c r="D38" s="319" t="s">
        <v>42</v>
      </c>
      <c r="F38" s="114" t="str">
        <f t="shared" si="0"/>
        <v>&amp;</v>
      </c>
    </row>
    <row r="39" spans="3:6" x14ac:dyDescent="0.4">
      <c r="C39" s="319">
        <v>38</v>
      </c>
      <c r="D39" s="319" t="s">
        <v>43</v>
      </c>
      <c r="F39" s="114" t="str">
        <f t="shared" si="0"/>
        <v>'</v>
      </c>
    </row>
    <row r="40" spans="3:6" x14ac:dyDescent="0.4">
      <c r="C40" s="319">
        <v>39</v>
      </c>
      <c r="D40" s="319" t="s">
        <v>44</v>
      </c>
      <c r="F40" s="114" t="str">
        <f t="shared" si="0"/>
        <v>(</v>
      </c>
    </row>
    <row r="41" spans="3:6" x14ac:dyDescent="0.4">
      <c r="C41" s="319">
        <v>40</v>
      </c>
      <c r="D41" s="319" t="s">
        <v>45</v>
      </c>
      <c r="F41" s="114" t="str">
        <f t="shared" si="0"/>
        <v>)</v>
      </c>
    </row>
    <row r="42" spans="3:6" x14ac:dyDescent="0.4">
      <c r="C42" s="319">
        <v>41</v>
      </c>
      <c r="D42" s="319" t="s">
        <v>46</v>
      </c>
      <c r="F42" s="114" t="str">
        <f t="shared" si="0"/>
        <v>*</v>
      </c>
    </row>
    <row r="43" spans="3:6" x14ac:dyDescent="0.4">
      <c r="C43" s="319">
        <v>42</v>
      </c>
      <c r="D43" s="319" t="s">
        <v>47</v>
      </c>
      <c r="F43" s="114" t="str">
        <f t="shared" si="0"/>
        <v>+</v>
      </c>
    </row>
    <row r="44" spans="3:6" x14ac:dyDescent="0.4">
      <c r="C44" s="319">
        <v>43</v>
      </c>
      <c r="D44" s="319" t="s">
        <v>48</v>
      </c>
      <c r="F44" s="114" t="str">
        <f t="shared" si="0"/>
        <v>,</v>
      </c>
    </row>
    <row r="45" spans="3:6" x14ac:dyDescent="0.4">
      <c r="C45" s="319">
        <v>44</v>
      </c>
      <c r="D45" s="319" t="s">
        <v>49</v>
      </c>
      <c r="F45" s="114" t="str">
        <f t="shared" si="0"/>
        <v>-</v>
      </c>
    </row>
    <row r="46" spans="3:6" x14ac:dyDescent="0.4">
      <c r="C46" s="319">
        <v>45</v>
      </c>
      <c r="D46" s="319" t="s">
        <v>50</v>
      </c>
      <c r="F46" s="114" t="str">
        <f t="shared" si="0"/>
        <v>.</v>
      </c>
    </row>
    <row r="47" spans="3:6" x14ac:dyDescent="0.4">
      <c r="C47" s="319">
        <v>46</v>
      </c>
      <c r="D47" s="319" t="s">
        <v>51</v>
      </c>
      <c r="F47" s="114" t="str">
        <f t="shared" si="0"/>
        <v>/</v>
      </c>
    </row>
    <row r="48" spans="3:6" x14ac:dyDescent="0.4">
      <c r="C48" s="319">
        <v>47</v>
      </c>
      <c r="D48" s="319" t="s">
        <v>52</v>
      </c>
      <c r="F48" s="114" t="str">
        <f t="shared" si="0"/>
        <v>0</v>
      </c>
    </row>
    <row r="49" spans="3:6" x14ac:dyDescent="0.4">
      <c r="C49" s="319">
        <v>48</v>
      </c>
      <c r="D49" s="319" t="s">
        <v>53</v>
      </c>
      <c r="F49" s="114" t="str">
        <f t="shared" si="0"/>
        <v>1</v>
      </c>
    </row>
    <row r="50" spans="3:6" x14ac:dyDescent="0.4">
      <c r="C50" s="319">
        <v>49</v>
      </c>
      <c r="D50" s="319" t="s">
        <v>54</v>
      </c>
      <c r="F50" s="114" t="str">
        <f t="shared" si="0"/>
        <v>2</v>
      </c>
    </row>
    <row r="51" spans="3:6" x14ac:dyDescent="0.4">
      <c r="C51" s="319">
        <v>50</v>
      </c>
      <c r="D51" s="319" t="s">
        <v>55</v>
      </c>
      <c r="F51" s="114" t="str">
        <f t="shared" si="0"/>
        <v>3</v>
      </c>
    </row>
    <row r="52" spans="3:6" x14ac:dyDescent="0.4">
      <c r="C52" s="319">
        <v>51</v>
      </c>
      <c r="D52" s="319" t="s">
        <v>56</v>
      </c>
      <c r="F52" s="114" t="str">
        <f t="shared" si="0"/>
        <v>4</v>
      </c>
    </row>
    <row r="53" spans="3:6" x14ac:dyDescent="0.4">
      <c r="C53" s="319">
        <v>52</v>
      </c>
      <c r="D53" s="319" t="s">
        <v>57</v>
      </c>
      <c r="F53" s="114" t="str">
        <f t="shared" si="0"/>
        <v>5</v>
      </c>
    </row>
    <row r="54" spans="3:6" x14ac:dyDescent="0.4">
      <c r="C54" s="319">
        <v>53</v>
      </c>
      <c r="D54" s="319" t="s">
        <v>58</v>
      </c>
      <c r="F54" s="114" t="str">
        <f t="shared" si="0"/>
        <v>6</v>
      </c>
    </row>
    <row r="55" spans="3:6" x14ac:dyDescent="0.4">
      <c r="C55" s="319">
        <v>54</v>
      </c>
      <c r="D55" s="319" t="s">
        <v>59</v>
      </c>
      <c r="F55" s="114" t="str">
        <f t="shared" si="0"/>
        <v>7</v>
      </c>
    </row>
    <row r="56" spans="3:6" x14ac:dyDescent="0.4">
      <c r="C56" s="319">
        <v>55</v>
      </c>
      <c r="D56" s="319" t="s">
        <v>60</v>
      </c>
      <c r="F56" s="114" t="str">
        <f t="shared" si="0"/>
        <v>8</v>
      </c>
    </row>
    <row r="57" spans="3:6" x14ac:dyDescent="0.4">
      <c r="C57" s="319">
        <v>56</v>
      </c>
      <c r="D57" s="319" t="s">
        <v>61</v>
      </c>
      <c r="F57" s="114" t="str">
        <f t="shared" si="0"/>
        <v>9</v>
      </c>
    </row>
    <row r="58" spans="3:6" x14ac:dyDescent="0.4">
      <c r="C58" s="319">
        <v>57</v>
      </c>
      <c r="D58" s="319" t="s">
        <v>62</v>
      </c>
      <c r="F58" s="114" t="str">
        <f t="shared" si="0"/>
        <v>:</v>
      </c>
    </row>
    <row r="59" spans="3:6" x14ac:dyDescent="0.4">
      <c r="C59" s="319">
        <v>58</v>
      </c>
      <c r="D59" s="319" t="s">
        <v>63</v>
      </c>
      <c r="F59" s="114" t="str">
        <f t="shared" si="0"/>
        <v>;</v>
      </c>
    </row>
    <row r="60" spans="3:6" x14ac:dyDescent="0.4">
      <c r="C60" s="319">
        <v>59</v>
      </c>
      <c r="D60" s="319" t="s">
        <v>64</v>
      </c>
      <c r="F60" s="114" t="str">
        <f t="shared" si="0"/>
        <v>&lt;</v>
      </c>
    </row>
    <row r="61" spans="3:6" x14ac:dyDescent="0.4">
      <c r="C61" s="319">
        <v>60</v>
      </c>
      <c r="D61" s="319" t="s">
        <v>65</v>
      </c>
      <c r="F61" s="114" t="str">
        <f t="shared" si="0"/>
        <v>=</v>
      </c>
    </row>
    <row r="62" spans="3:6" x14ac:dyDescent="0.4">
      <c r="C62" s="319">
        <v>61</v>
      </c>
      <c r="D62" s="319" t="s">
        <v>66</v>
      </c>
      <c r="F62" s="114" t="str">
        <f t="shared" si="0"/>
        <v>&gt;</v>
      </c>
    </row>
    <row r="63" spans="3:6" x14ac:dyDescent="0.4">
      <c r="C63" s="319">
        <v>62</v>
      </c>
      <c r="D63" s="319" t="s">
        <v>67</v>
      </c>
      <c r="F63" s="114" t="str">
        <f t="shared" si="0"/>
        <v>?</v>
      </c>
    </row>
    <row r="64" spans="3:6" x14ac:dyDescent="0.4">
      <c r="C64" s="319">
        <v>63</v>
      </c>
      <c r="D64" s="319" t="s">
        <v>68</v>
      </c>
      <c r="F64" s="114" t="str">
        <f t="shared" si="0"/>
        <v>@</v>
      </c>
    </row>
    <row r="65" spans="3:6" x14ac:dyDescent="0.4">
      <c r="C65" s="319">
        <v>64</v>
      </c>
      <c r="D65" s="319" t="s">
        <v>69</v>
      </c>
      <c r="F65" s="114" t="str">
        <f t="shared" si="0"/>
        <v>A</v>
      </c>
    </row>
    <row r="66" spans="3:6" x14ac:dyDescent="0.4">
      <c r="C66" s="319">
        <v>65</v>
      </c>
      <c r="D66" s="319" t="s">
        <v>70</v>
      </c>
      <c r="F66" s="114" t="str">
        <f t="shared" ref="F66:F129" si="1">CHAR(ROW())</f>
        <v>B</v>
      </c>
    </row>
    <row r="67" spans="3:6" x14ac:dyDescent="0.4">
      <c r="C67" s="319">
        <v>66</v>
      </c>
      <c r="D67" s="319" t="s">
        <v>71</v>
      </c>
      <c r="F67" s="114" t="str">
        <f t="shared" si="1"/>
        <v>C</v>
      </c>
    </row>
    <row r="68" spans="3:6" x14ac:dyDescent="0.4">
      <c r="C68" s="319">
        <v>67</v>
      </c>
      <c r="D68" s="319" t="s">
        <v>72</v>
      </c>
      <c r="F68" s="114" t="str">
        <f t="shared" si="1"/>
        <v>D</v>
      </c>
    </row>
    <row r="69" spans="3:6" x14ac:dyDescent="0.4">
      <c r="C69" s="319">
        <v>68</v>
      </c>
      <c r="D69" s="319" t="s">
        <v>73</v>
      </c>
      <c r="F69" s="114" t="str">
        <f t="shared" si="1"/>
        <v>E</v>
      </c>
    </row>
    <row r="70" spans="3:6" x14ac:dyDescent="0.4">
      <c r="C70" s="319">
        <v>69</v>
      </c>
      <c r="D70" s="319" t="s">
        <v>74</v>
      </c>
      <c r="F70" s="114" t="str">
        <f t="shared" si="1"/>
        <v>F</v>
      </c>
    </row>
    <row r="71" spans="3:6" x14ac:dyDescent="0.4">
      <c r="C71" s="319">
        <v>70</v>
      </c>
      <c r="D71" s="319" t="s">
        <v>75</v>
      </c>
      <c r="F71" s="114" t="str">
        <f t="shared" si="1"/>
        <v>G</v>
      </c>
    </row>
    <row r="72" spans="3:6" x14ac:dyDescent="0.4">
      <c r="C72" s="319">
        <v>71</v>
      </c>
      <c r="D72" s="319" t="s">
        <v>76</v>
      </c>
      <c r="F72" s="114" t="str">
        <f t="shared" si="1"/>
        <v>H</v>
      </c>
    </row>
    <row r="73" spans="3:6" x14ac:dyDescent="0.4">
      <c r="C73" s="319">
        <v>72</v>
      </c>
      <c r="D73" s="319" t="s">
        <v>77</v>
      </c>
      <c r="F73" s="114" t="str">
        <f t="shared" si="1"/>
        <v>I</v>
      </c>
    </row>
    <row r="74" spans="3:6" x14ac:dyDescent="0.4">
      <c r="C74" s="319">
        <v>73</v>
      </c>
      <c r="D74" s="319" t="s">
        <v>78</v>
      </c>
      <c r="F74" s="114" t="str">
        <f t="shared" si="1"/>
        <v>J</v>
      </c>
    </row>
    <row r="75" spans="3:6" x14ac:dyDescent="0.4">
      <c r="C75" s="319">
        <v>74</v>
      </c>
      <c r="D75" s="319" t="s">
        <v>79</v>
      </c>
      <c r="F75" s="114" t="str">
        <f t="shared" si="1"/>
        <v>K</v>
      </c>
    </row>
    <row r="76" spans="3:6" x14ac:dyDescent="0.4">
      <c r="C76" s="319">
        <v>75</v>
      </c>
      <c r="D76" s="319" t="s">
        <v>80</v>
      </c>
      <c r="F76" s="114" t="str">
        <f t="shared" si="1"/>
        <v>L</v>
      </c>
    </row>
    <row r="77" spans="3:6" x14ac:dyDescent="0.4">
      <c r="C77" s="319">
        <v>76</v>
      </c>
      <c r="D77" s="319" t="s">
        <v>81</v>
      </c>
      <c r="F77" s="114" t="str">
        <f t="shared" si="1"/>
        <v>M</v>
      </c>
    </row>
    <row r="78" spans="3:6" x14ac:dyDescent="0.4">
      <c r="C78" s="319">
        <v>77</v>
      </c>
      <c r="D78" s="319" t="s">
        <v>82</v>
      </c>
      <c r="F78" s="114" t="str">
        <f t="shared" si="1"/>
        <v>N</v>
      </c>
    </row>
    <row r="79" spans="3:6" x14ac:dyDescent="0.4">
      <c r="C79" s="319">
        <v>78</v>
      </c>
      <c r="D79" s="319" t="s">
        <v>83</v>
      </c>
      <c r="F79" s="114" t="str">
        <f t="shared" si="1"/>
        <v>O</v>
      </c>
    </row>
    <row r="80" spans="3:6" x14ac:dyDescent="0.4">
      <c r="C80" s="319">
        <v>79</v>
      </c>
      <c r="D80" s="319" t="s">
        <v>84</v>
      </c>
      <c r="F80" s="114" t="str">
        <f t="shared" si="1"/>
        <v>P</v>
      </c>
    </row>
    <row r="81" spans="3:6" x14ac:dyDescent="0.4">
      <c r="C81" s="319">
        <v>80</v>
      </c>
      <c r="D81" s="319" t="s">
        <v>85</v>
      </c>
      <c r="F81" s="114" t="str">
        <f t="shared" si="1"/>
        <v>Q</v>
      </c>
    </row>
    <row r="82" spans="3:6" x14ac:dyDescent="0.4">
      <c r="C82" s="319">
        <v>81</v>
      </c>
      <c r="D82" s="319" t="s">
        <v>86</v>
      </c>
      <c r="F82" s="114" t="str">
        <f t="shared" si="1"/>
        <v>R</v>
      </c>
    </row>
    <row r="83" spans="3:6" x14ac:dyDescent="0.4">
      <c r="C83" s="319">
        <v>82</v>
      </c>
      <c r="D83" s="319" t="s">
        <v>87</v>
      </c>
      <c r="F83" s="114" t="str">
        <f t="shared" si="1"/>
        <v>S</v>
      </c>
    </row>
    <row r="84" spans="3:6" x14ac:dyDescent="0.4">
      <c r="C84" s="319">
        <v>83</v>
      </c>
      <c r="D84" s="319" t="s">
        <v>88</v>
      </c>
      <c r="F84" s="114" t="str">
        <f t="shared" si="1"/>
        <v>T</v>
      </c>
    </row>
    <row r="85" spans="3:6" x14ac:dyDescent="0.4">
      <c r="C85" s="319">
        <v>84</v>
      </c>
      <c r="D85" s="319" t="s">
        <v>89</v>
      </c>
      <c r="F85" s="114" t="str">
        <f t="shared" si="1"/>
        <v>U</v>
      </c>
    </row>
    <row r="86" spans="3:6" x14ac:dyDescent="0.4">
      <c r="C86" s="319">
        <v>85</v>
      </c>
      <c r="D86" s="319" t="s">
        <v>90</v>
      </c>
      <c r="F86" s="114" t="str">
        <f t="shared" si="1"/>
        <v>V</v>
      </c>
    </row>
    <row r="87" spans="3:6" x14ac:dyDescent="0.4">
      <c r="C87" s="319">
        <v>86</v>
      </c>
      <c r="D87" s="319" t="s">
        <v>91</v>
      </c>
      <c r="F87" s="114" t="str">
        <f t="shared" si="1"/>
        <v>W</v>
      </c>
    </row>
    <row r="88" spans="3:6" x14ac:dyDescent="0.4">
      <c r="C88" s="319">
        <v>87</v>
      </c>
      <c r="D88" s="319" t="s">
        <v>92</v>
      </c>
      <c r="F88" s="114" t="str">
        <f t="shared" si="1"/>
        <v>X</v>
      </c>
    </row>
    <row r="89" spans="3:6" x14ac:dyDescent="0.4">
      <c r="C89" s="319">
        <v>88</v>
      </c>
      <c r="D89" s="319" t="s">
        <v>93</v>
      </c>
      <c r="F89" s="114" t="str">
        <f t="shared" si="1"/>
        <v>Y</v>
      </c>
    </row>
    <row r="90" spans="3:6" x14ac:dyDescent="0.4">
      <c r="C90" s="319">
        <v>89</v>
      </c>
      <c r="D90" s="319" t="s">
        <v>94</v>
      </c>
      <c r="F90" s="114" t="str">
        <f t="shared" si="1"/>
        <v>Z</v>
      </c>
    </row>
    <row r="91" spans="3:6" x14ac:dyDescent="0.4">
      <c r="C91" s="319">
        <v>90</v>
      </c>
      <c r="D91" s="319" t="s">
        <v>95</v>
      </c>
      <c r="F91" s="114" t="str">
        <f t="shared" si="1"/>
        <v>[</v>
      </c>
    </row>
    <row r="92" spans="3:6" x14ac:dyDescent="0.4">
      <c r="C92" s="319">
        <v>91</v>
      </c>
      <c r="D92" s="319" t="s">
        <v>96</v>
      </c>
      <c r="F92" s="114" t="str">
        <f t="shared" si="1"/>
        <v>\</v>
      </c>
    </row>
    <row r="93" spans="3:6" x14ac:dyDescent="0.4">
      <c r="C93" s="319">
        <v>92</v>
      </c>
      <c r="D93" s="319" t="s">
        <v>97</v>
      </c>
      <c r="F93" s="114" t="str">
        <f t="shared" si="1"/>
        <v>]</v>
      </c>
    </row>
    <row r="94" spans="3:6" x14ac:dyDescent="0.4">
      <c r="C94" s="319">
        <v>93</v>
      </c>
      <c r="D94" s="319" t="s">
        <v>98</v>
      </c>
      <c r="F94" s="114" t="str">
        <f t="shared" si="1"/>
        <v>^</v>
      </c>
    </row>
    <row r="95" spans="3:6" x14ac:dyDescent="0.4">
      <c r="C95" s="319">
        <v>94</v>
      </c>
      <c r="D95" s="319" t="s">
        <v>99</v>
      </c>
      <c r="F95" s="114" t="str">
        <f t="shared" si="1"/>
        <v>_</v>
      </c>
    </row>
    <row r="96" spans="3:6" x14ac:dyDescent="0.4">
      <c r="C96" s="319">
        <v>95</v>
      </c>
      <c r="D96" s="319" t="s">
        <v>100</v>
      </c>
      <c r="F96" s="114" t="str">
        <f t="shared" si="1"/>
        <v>`</v>
      </c>
    </row>
    <row r="97" spans="3:6" x14ac:dyDescent="0.4">
      <c r="C97" s="319">
        <v>96</v>
      </c>
      <c r="D97" s="319" t="s">
        <v>101</v>
      </c>
      <c r="F97" s="114" t="str">
        <f t="shared" si="1"/>
        <v>a</v>
      </c>
    </row>
    <row r="98" spans="3:6" x14ac:dyDescent="0.4">
      <c r="C98" s="319">
        <v>97</v>
      </c>
      <c r="D98" s="319" t="s">
        <v>102</v>
      </c>
      <c r="F98" s="114" t="str">
        <f t="shared" si="1"/>
        <v>b</v>
      </c>
    </row>
    <row r="99" spans="3:6" x14ac:dyDescent="0.4">
      <c r="C99" s="319">
        <v>98</v>
      </c>
      <c r="D99" s="319" t="s">
        <v>103</v>
      </c>
      <c r="F99" s="114" t="str">
        <f t="shared" si="1"/>
        <v>c</v>
      </c>
    </row>
    <row r="100" spans="3:6" x14ac:dyDescent="0.4">
      <c r="C100" s="319">
        <v>99</v>
      </c>
      <c r="D100" s="319" t="s">
        <v>104</v>
      </c>
      <c r="F100" s="114" t="str">
        <f t="shared" si="1"/>
        <v>d</v>
      </c>
    </row>
    <row r="101" spans="3:6" x14ac:dyDescent="0.4">
      <c r="C101" s="319">
        <v>100</v>
      </c>
      <c r="D101" s="319" t="s">
        <v>105</v>
      </c>
      <c r="F101" s="114" t="str">
        <f t="shared" si="1"/>
        <v>e</v>
      </c>
    </row>
    <row r="102" spans="3:6" x14ac:dyDescent="0.4">
      <c r="F102" s="114" t="str">
        <f t="shared" si="1"/>
        <v>f</v>
      </c>
    </row>
    <row r="103" spans="3:6" x14ac:dyDescent="0.4">
      <c r="F103" s="114" t="str">
        <f t="shared" si="1"/>
        <v>g</v>
      </c>
    </row>
    <row r="104" spans="3:6" x14ac:dyDescent="0.4">
      <c r="F104" s="114" t="str">
        <f t="shared" si="1"/>
        <v>h</v>
      </c>
    </row>
    <row r="105" spans="3:6" x14ac:dyDescent="0.4">
      <c r="F105" s="114" t="str">
        <f t="shared" si="1"/>
        <v>i</v>
      </c>
    </row>
    <row r="106" spans="3:6" x14ac:dyDescent="0.4">
      <c r="F106" s="114" t="str">
        <f t="shared" si="1"/>
        <v>j</v>
      </c>
    </row>
    <row r="107" spans="3:6" x14ac:dyDescent="0.4">
      <c r="F107" s="114" t="str">
        <f t="shared" si="1"/>
        <v>k</v>
      </c>
    </row>
    <row r="108" spans="3:6" x14ac:dyDescent="0.4">
      <c r="F108" s="114" t="str">
        <f t="shared" si="1"/>
        <v>l</v>
      </c>
    </row>
    <row r="109" spans="3:6" x14ac:dyDescent="0.4">
      <c r="F109" s="114" t="str">
        <f t="shared" si="1"/>
        <v>m</v>
      </c>
    </row>
    <row r="110" spans="3:6" x14ac:dyDescent="0.4">
      <c r="F110" s="114" t="str">
        <f t="shared" si="1"/>
        <v>n</v>
      </c>
    </row>
    <row r="111" spans="3:6" x14ac:dyDescent="0.4">
      <c r="F111" s="114" t="str">
        <f t="shared" si="1"/>
        <v>o</v>
      </c>
    </row>
    <row r="112" spans="3:6" x14ac:dyDescent="0.4">
      <c r="F112" s="114" t="str">
        <f t="shared" si="1"/>
        <v>p</v>
      </c>
    </row>
    <row r="113" spans="6:6" x14ac:dyDescent="0.4">
      <c r="F113" s="114" t="str">
        <f t="shared" si="1"/>
        <v>q</v>
      </c>
    </row>
    <row r="114" spans="6:6" x14ac:dyDescent="0.4">
      <c r="F114" s="114" t="str">
        <f t="shared" si="1"/>
        <v>r</v>
      </c>
    </row>
    <row r="115" spans="6:6" x14ac:dyDescent="0.4">
      <c r="F115" s="114" t="str">
        <f t="shared" si="1"/>
        <v>s</v>
      </c>
    </row>
    <row r="116" spans="6:6" x14ac:dyDescent="0.4">
      <c r="F116" s="114" t="str">
        <f t="shared" si="1"/>
        <v>t</v>
      </c>
    </row>
    <row r="117" spans="6:6" x14ac:dyDescent="0.4">
      <c r="F117" s="114" t="str">
        <f t="shared" si="1"/>
        <v>u</v>
      </c>
    </row>
    <row r="118" spans="6:6" x14ac:dyDescent="0.4">
      <c r="F118" s="114" t="str">
        <f t="shared" si="1"/>
        <v>v</v>
      </c>
    </row>
    <row r="119" spans="6:6" x14ac:dyDescent="0.4">
      <c r="F119" s="114" t="str">
        <f t="shared" si="1"/>
        <v>w</v>
      </c>
    </row>
    <row r="120" spans="6:6" x14ac:dyDescent="0.4">
      <c r="F120" s="114" t="str">
        <f t="shared" si="1"/>
        <v>x</v>
      </c>
    </row>
    <row r="121" spans="6:6" x14ac:dyDescent="0.4">
      <c r="F121" s="114" t="str">
        <f t="shared" si="1"/>
        <v>y</v>
      </c>
    </row>
    <row r="122" spans="6:6" x14ac:dyDescent="0.4">
      <c r="F122" s="114" t="str">
        <f t="shared" si="1"/>
        <v>z</v>
      </c>
    </row>
    <row r="123" spans="6:6" x14ac:dyDescent="0.4">
      <c r="F123" s="114" t="str">
        <f t="shared" si="1"/>
        <v>{</v>
      </c>
    </row>
    <row r="124" spans="6:6" x14ac:dyDescent="0.4">
      <c r="F124" s="114" t="str">
        <f t="shared" si="1"/>
        <v>|</v>
      </c>
    </row>
    <row r="125" spans="6:6" x14ac:dyDescent="0.4">
      <c r="F125" s="114" t="str">
        <f t="shared" si="1"/>
        <v>}</v>
      </c>
    </row>
    <row r="126" spans="6:6" x14ac:dyDescent="0.4">
      <c r="F126" s="114" t="str">
        <f t="shared" si="1"/>
        <v>~</v>
      </c>
    </row>
    <row r="127" spans="6:6" x14ac:dyDescent="0.4">
      <c r="F127" s="114" t="str">
        <f t="shared" si="1"/>
        <v></v>
      </c>
    </row>
    <row r="128" spans="6:6" x14ac:dyDescent="0.4">
      <c r="F128" s="114" t="str">
        <f t="shared" si="1"/>
        <v>€</v>
      </c>
    </row>
    <row r="129" spans="6:6" x14ac:dyDescent="0.4">
      <c r="F129" s="114" t="str">
        <f t="shared" si="1"/>
        <v></v>
      </c>
    </row>
    <row r="130" spans="6:6" x14ac:dyDescent="0.4">
      <c r="F130" s="114" t="str">
        <f t="shared" ref="F130:G193" si="2">CHAR(ROW())</f>
        <v>‚</v>
      </c>
    </row>
    <row r="131" spans="6:6" x14ac:dyDescent="0.4">
      <c r="F131" s="114" t="str">
        <f t="shared" si="2"/>
        <v>ƒ</v>
      </c>
    </row>
    <row r="132" spans="6:6" x14ac:dyDescent="0.4">
      <c r="F132" s="114" t="str">
        <f t="shared" si="2"/>
        <v>„</v>
      </c>
    </row>
    <row r="133" spans="6:6" x14ac:dyDescent="0.4">
      <c r="F133" s="114" t="str">
        <f t="shared" si="2"/>
        <v>…</v>
      </c>
    </row>
    <row r="134" spans="6:6" x14ac:dyDescent="0.4">
      <c r="F134" s="114" t="str">
        <f t="shared" si="2"/>
        <v>†</v>
      </c>
    </row>
    <row r="135" spans="6:6" x14ac:dyDescent="0.4">
      <c r="F135" s="114" t="str">
        <f t="shared" si="2"/>
        <v>‡</v>
      </c>
    </row>
    <row r="136" spans="6:6" x14ac:dyDescent="0.4">
      <c r="F136" s="114" t="str">
        <f t="shared" si="2"/>
        <v>ˆ</v>
      </c>
    </row>
    <row r="137" spans="6:6" x14ac:dyDescent="0.4">
      <c r="F137" s="114" t="str">
        <f t="shared" si="2"/>
        <v>‰</v>
      </c>
    </row>
    <row r="138" spans="6:6" x14ac:dyDescent="0.4">
      <c r="F138" s="114" t="str">
        <f t="shared" si="2"/>
        <v>Š</v>
      </c>
    </row>
    <row r="139" spans="6:6" x14ac:dyDescent="0.4">
      <c r="F139" s="114" t="str">
        <f t="shared" si="2"/>
        <v>‹</v>
      </c>
    </row>
    <row r="140" spans="6:6" x14ac:dyDescent="0.4">
      <c r="F140" s="114" t="str">
        <f t="shared" si="2"/>
        <v>Œ</v>
      </c>
    </row>
    <row r="141" spans="6:6" x14ac:dyDescent="0.4">
      <c r="F141" s="114" t="str">
        <f t="shared" si="2"/>
        <v></v>
      </c>
    </row>
    <row r="142" spans="6:6" x14ac:dyDescent="0.4">
      <c r="F142" s="114" t="str">
        <f t="shared" si="2"/>
        <v>Ž</v>
      </c>
    </row>
    <row r="143" spans="6:6" x14ac:dyDescent="0.4">
      <c r="F143" s="114" t="str">
        <f t="shared" si="2"/>
        <v></v>
      </c>
    </row>
    <row r="144" spans="6:6" x14ac:dyDescent="0.4">
      <c r="F144" s="114" t="str">
        <f t="shared" si="2"/>
        <v></v>
      </c>
    </row>
    <row r="145" spans="6:6" x14ac:dyDescent="0.4">
      <c r="F145" s="114" t="str">
        <f t="shared" si="2"/>
        <v>‘</v>
      </c>
    </row>
    <row r="146" spans="6:6" x14ac:dyDescent="0.4">
      <c r="F146" s="114" t="str">
        <f t="shared" si="2"/>
        <v>’</v>
      </c>
    </row>
    <row r="147" spans="6:6" x14ac:dyDescent="0.4">
      <c r="F147" s="114" t="str">
        <f t="shared" si="2"/>
        <v>“</v>
      </c>
    </row>
    <row r="148" spans="6:6" x14ac:dyDescent="0.4">
      <c r="F148" s="114" t="str">
        <f t="shared" si="2"/>
        <v>”</v>
      </c>
    </row>
    <row r="149" spans="6:6" x14ac:dyDescent="0.4">
      <c r="F149" s="114" t="str">
        <f t="shared" si="2"/>
        <v>•</v>
      </c>
    </row>
    <row r="150" spans="6:6" x14ac:dyDescent="0.4">
      <c r="F150" s="114" t="str">
        <f t="shared" si="2"/>
        <v>–</v>
      </c>
    </row>
    <row r="151" spans="6:6" x14ac:dyDescent="0.4">
      <c r="F151" s="114" t="str">
        <f t="shared" si="2"/>
        <v>—</v>
      </c>
    </row>
    <row r="152" spans="6:6" x14ac:dyDescent="0.4">
      <c r="F152" s="114" t="str">
        <f t="shared" si="2"/>
        <v>˜</v>
      </c>
    </row>
    <row r="153" spans="6:6" x14ac:dyDescent="0.4">
      <c r="F153" s="114" t="str">
        <f t="shared" si="2"/>
        <v>™</v>
      </c>
    </row>
    <row r="154" spans="6:6" x14ac:dyDescent="0.4">
      <c r="F154" s="114" t="str">
        <f t="shared" si="2"/>
        <v>š</v>
      </c>
    </row>
    <row r="155" spans="6:6" x14ac:dyDescent="0.4">
      <c r="F155" s="114" t="str">
        <f t="shared" si="2"/>
        <v>›</v>
      </c>
    </row>
    <row r="156" spans="6:6" x14ac:dyDescent="0.4">
      <c r="F156" s="114" t="str">
        <f t="shared" si="2"/>
        <v>œ</v>
      </c>
    </row>
    <row r="157" spans="6:6" x14ac:dyDescent="0.4">
      <c r="F157" s="114" t="str">
        <f t="shared" si="2"/>
        <v></v>
      </c>
    </row>
    <row r="158" spans="6:6" x14ac:dyDescent="0.4">
      <c r="F158" s="114" t="str">
        <f t="shared" si="2"/>
        <v>ž</v>
      </c>
    </row>
    <row r="159" spans="6:6" x14ac:dyDescent="0.4">
      <c r="F159" s="114" t="str">
        <f t="shared" si="2"/>
        <v>Ÿ</v>
      </c>
    </row>
    <row r="160" spans="6:6" x14ac:dyDescent="0.4">
      <c r="F160" s="114" t="str">
        <f t="shared" si="2"/>
        <v> </v>
      </c>
    </row>
    <row r="161" spans="6:6" x14ac:dyDescent="0.4">
      <c r="F161" s="114" t="str">
        <f t="shared" si="2"/>
        <v>¡</v>
      </c>
    </row>
    <row r="162" spans="6:6" x14ac:dyDescent="0.4">
      <c r="F162" s="114" t="str">
        <f t="shared" si="2"/>
        <v>¢</v>
      </c>
    </row>
    <row r="163" spans="6:6" x14ac:dyDescent="0.4">
      <c r="F163" s="114" t="str">
        <f t="shared" si="2"/>
        <v>£</v>
      </c>
    </row>
    <row r="164" spans="6:6" x14ac:dyDescent="0.4">
      <c r="F164" s="114" t="str">
        <f t="shared" si="2"/>
        <v>¤</v>
      </c>
    </row>
    <row r="165" spans="6:6" x14ac:dyDescent="0.4">
      <c r="F165" s="114" t="str">
        <f t="shared" si="2"/>
        <v>¥</v>
      </c>
    </row>
    <row r="166" spans="6:6" x14ac:dyDescent="0.4">
      <c r="F166" s="114" t="str">
        <f t="shared" si="2"/>
        <v>¦</v>
      </c>
    </row>
    <row r="167" spans="6:6" x14ac:dyDescent="0.4">
      <c r="F167" s="114" t="str">
        <f t="shared" si="2"/>
        <v>§</v>
      </c>
    </row>
    <row r="168" spans="6:6" x14ac:dyDescent="0.4">
      <c r="F168" s="114" t="str">
        <f t="shared" si="2"/>
        <v>¨</v>
      </c>
    </row>
    <row r="169" spans="6:6" x14ac:dyDescent="0.4">
      <c r="F169" s="114" t="str">
        <f t="shared" si="2"/>
        <v>©</v>
      </c>
    </row>
    <row r="170" spans="6:6" x14ac:dyDescent="0.4">
      <c r="F170" s="114" t="str">
        <f t="shared" si="2"/>
        <v>ª</v>
      </c>
    </row>
    <row r="171" spans="6:6" x14ac:dyDescent="0.4">
      <c r="F171" s="114" t="str">
        <f t="shared" si="2"/>
        <v>«</v>
      </c>
    </row>
    <row r="172" spans="6:6" x14ac:dyDescent="0.4">
      <c r="F172" s="114" t="str">
        <f t="shared" si="2"/>
        <v>¬</v>
      </c>
    </row>
    <row r="173" spans="6:6" x14ac:dyDescent="0.4">
      <c r="F173" s="114" t="str">
        <f t="shared" si="2"/>
        <v>­</v>
      </c>
    </row>
    <row r="174" spans="6:6" x14ac:dyDescent="0.4">
      <c r="F174" s="114" t="str">
        <f t="shared" si="2"/>
        <v>®</v>
      </c>
    </row>
    <row r="175" spans="6:6" x14ac:dyDescent="0.4">
      <c r="F175" s="114" t="str">
        <f t="shared" si="2"/>
        <v>¯</v>
      </c>
    </row>
    <row r="176" spans="6:6" x14ac:dyDescent="0.4">
      <c r="F176" s="114" t="str">
        <f t="shared" si="2"/>
        <v>°</v>
      </c>
    </row>
    <row r="177" spans="6:7" x14ac:dyDescent="0.4">
      <c r="F177" s="114" t="str">
        <f t="shared" si="2"/>
        <v>±</v>
      </c>
    </row>
    <row r="178" spans="6:7" x14ac:dyDescent="0.4">
      <c r="F178" s="114" t="str">
        <f t="shared" si="2"/>
        <v>²</v>
      </c>
    </row>
    <row r="179" spans="6:7" x14ac:dyDescent="0.4">
      <c r="F179" s="114" t="str">
        <f t="shared" si="2"/>
        <v>³</v>
      </c>
    </row>
    <row r="180" spans="6:7" x14ac:dyDescent="0.4">
      <c r="F180" s="114" t="str">
        <f t="shared" si="2"/>
        <v>´</v>
      </c>
    </row>
    <row r="181" spans="6:7" x14ac:dyDescent="0.4">
      <c r="F181" s="114" t="str">
        <f t="shared" si="2"/>
        <v>µ</v>
      </c>
    </row>
    <row r="182" spans="6:7" x14ac:dyDescent="0.4">
      <c r="F182" s="114" t="str">
        <f t="shared" si="2"/>
        <v>¶</v>
      </c>
      <c r="G182" t="s">
        <v>1058</v>
      </c>
    </row>
    <row r="183" spans="6:7" x14ac:dyDescent="0.4">
      <c r="F183" s="114" t="str">
        <f t="shared" si="2"/>
        <v>·</v>
      </c>
    </row>
    <row r="184" spans="6:7" x14ac:dyDescent="0.4">
      <c r="F184" s="114" t="str">
        <f t="shared" si="2"/>
        <v>¸</v>
      </c>
    </row>
    <row r="185" spans="6:7" x14ac:dyDescent="0.4">
      <c r="F185" s="114" t="str">
        <f t="shared" si="2"/>
        <v>¹</v>
      </c>
    </row>
    <row r="186" spans="6:7" x14ac:dyDescent="0.4">
      <c r="F186" s="114" t="str">
        <f t="shared" si="2"/>
        <v>º</v>
      </c>
    </row>
    <row r="187" spans="6:7" x14ac:dyDescent="0.4">
      <c r="F187" s="114" t="str">
        <f t="shared" si="2"/>
        <v>»</v>
      </c>
    </row>
    <row r="188" spans="6:7" x14ac:dyDescent="0.4">
      <c r="F188" s="114" t="str">
        <f t="shared" si="2"/>
        <v>¼</v>
      </c>
    </row>
    <row r="189" spans="6:7" x14ac:dyDescent="0.4">
      <c r="F189" s="114" t="str">
        <f t="shared" si="2"/>
        <v>½</v>
      </c>
    </row>
    <row r="190" spans="6:7" x14ac:dyDescent="0.4">
      <c r="F190" s="114" t="str">
        <f t="shared" si="2"/>
        <v>¾</v>
      </c>
    </row>
    <row r="191" spans="6:7" x14ac:dyDescent="0.4">
      <c r="F191" s="114" t="str">
        <f t="shared" si="2"/>
        <v>¿</v>
      </c>
    </row>
    <row r="192" spans="6:7" x14ac:dyDescent="0.4">
      <c r="F192" s="114" t="str">
        <f t="shared" si="2"/>
        <v>À</v>
      </c>
    </row>
    <row r="193" spans="6:6" x14ac:dyDescent="0.4">
      <c r="F193" s="114" t="str">
        <f t="shared" si="2"/>
        <v>Á</v>
      </c>
    </row>
    <row r="194" spans="6:6" x14ac:dyDescent="0.4">
      <c r="F194" s="114" t="str">
        <f t="shared" ref="F194:F257" si="3">CHAR(ROW())</f>
        <v>Â</v>
      </c>
    </row>
    <row r="195" spans="6:6" x14ac:dyDescent="0.4">
      <c r="F195" s="114" t="str">
        <f t="shared" si="3"/>
        <v>Ã</v>
      </c>
    </row>
    <row r="196" spans="6:6" x14ac:dyDescent="0.4">
      <c r="F196" s="114" t="str">
        <f t="shared" si="3"/>
        <v>Ä</v>
      </c>
    </row>
    <row r="197" spans="6:6" x14ac:dyDescent="0.4">
      <c r="F197" s="114" t="str">
        <f t="shared" si="3"/>
        <v>Å</v>
      </c>
    </row>
    <row r="198" spans="6:6" x14ac:dyDescent="0.4">
      <c r="F198" s="114" t="str">
        <f t="shared" si="3"/>
        <v>Æ</v>
      </c>
    </row>
    <row r="199" spans="6:6" x14ac:dyDescent="0.4">
      <c r="F199" s="114" t="str">
        <f t="shared" si="3"/>
        <v>Ç</v>
      </c>
    </row>
    <row r="200" spans="6:6" x14ac:dyDescent="0.4">
      <c r="F200" s="114" t="str">
        <f t="shared" si="3"/>
        <v>È</v>
      </c>
    </row>
    <row r="201" spans="6:6" x14ac:dyDescent="0.4">
      <c r="F201" s="114" t="str">
        <f t="shared" si="3"/>
        <v>É</v>
      </c>
    </row>
    <row r="202" spans="6:6" x14ac:dyDescent="0.4">
      <c r="F202" s="114" t="str">
        <f t="shared" si="3"/>
        <v>Ê</v>
      </c>
    </row>
    <row r="203" spans="6:6" x14ac:dyDescent="0.4">
      <c r="F203" s="114" t="str">
        <f t="shared" si="3"/>
        <v>Ë</v>
      </c>
    </row>
    <row r="204" spans="6:6" x14ac:dyDescent="0.4">
      <c r="F204" s="114" t="str">
        <f t="shared" si="3"/>
        <v>Ì</v>
      </c>
    </row>
    <row r="205" spans="6:6" x14ac:dyDescent="0.4">
      <c r="F205" s="114" t="str">
        <f t="shared" si="3"/>
        <v>Í</v>
      </c>
    </row>
    <row r="206" spans="6:6" x14ac:dyDescent="0.4">
      <c r="F206" s="114" t="str">
        <f t="shared" si="3"/>
        <v>Î</v>
      </c>
    </row>
    <row r="207" spans="6:6" x14ac:dyDescent="0.4">
      <c r="F207" s="114" t="str">
        <f t="shared" si="3"/>
        <v>Ï</v>
      </c>
    </row>
    <row r="208" spans="6:6" x14ac:dyDescent="0.4">
      <c r="F208" s="114" t="str">
        <f t="shared" si="3"/>
        <v>Ð</v>
      </c>
    </row>
    <row r="209" spans="6:6" x14ac:dyDescent="0.4">
      <c r="F209" s="114" t="str">
        <f t="shared" si="3"/>
        <v>Ñ</v>
      </c>
    </row>
    <row r="210" spans="6:6" x14ac:dyDescent="0.4">
      <c r="F210" s="114" t="str">
        <f t="shared" si="3"/>
        <v>Ò</v>
      </c>
    </row>
    <row r="211" spans="6:6" x14ac:dyDescent="0.4">
      <c r="F211" s="114" t="str">
        <f t="shared" si="3"/>
        <v>Ó</v>
      </c>
    </row>
    <row r="212" spans="6:6" x14ac:dyDescent="0.4">
      <c r="F212" s="114" t="str">
        <f t="shared" si="3"/>
        <v>Ô</v>
      </c>
    </row>
    <row r="213" spans="6:6" x14ac:dyDescent="0.4">
      <c r="F213" s="114" t="str">
        <f t="shared" si="3"/>
        <v>Õ</v>
      </c>
    </row>
    <row r="214" spans="6:6" x14ac:dyDescent="0.4">
      <c r="F214" s="114" t="str">
        <f t="shared" si="3"/>
        <v>Ö</v>
      </c>
    </row>
    <row r="215" spans="6:6" x14ac:dyDescent="0.4">
      <c r="F215" s="114" t="str">
        <f t="shared" si="3"/>
        <v>×</v>
      </c>
    </row>
    <row r="216" spans="6:6" x14ac:dyDescent="0.4">
      <c r="F216" s="114" t="str">
        <f t="shared" si="3"/>
        <v>Ø</v>
      </c>
    </row>
    <row r="217" spans="6:6" x14ac:dyDescent="0.4">
      <c r="F217" s="114" t="str">
        <f t="shared" si="3"/>
        <v>Ù</v>
      </c>
    </row>
    <row r="218" spans="6:6" x14ac:dyDescent="0.4">
      <c r="F218" s="114" t="str">
        <f t="shared" si="3"/>
        <v>Ú</v>
      </c>
    </row>
    <row r="219" spans="6:6" x14ac:dyDescent="0.4">
      <c r="F219" s="114" t="str">
        <f t="shared" si="3"/>
        <v>Û</v>
      </c>
    </row>
    <row r="220" spans="6:6" x14ac:dyDescent="0.4">
      <c r="F220" s="114" t="str">
        <f t="shared" si="3"/>
        <v>Ü</v>
      </c>
    </row>
    <row r="221" spans="6:6" x14ac:dyDescent="0.4">
      <c r="F221" s="114" t="str">
        <f t="shared" si="3"/>
        <v>Ý</v>
      </c>
    </row>
    <row r="222" spans="6:6" x14ac:dyDescent="0.4">
      <c r="F222" s="114" t="str">
        <f t="shared" si="3"/>
        <v>Þ</v>
      </c>
    </row>
    <row r="223" spans="6:6" x14ac:dyDescent="0.4">
      <c r="F223" s="114" t="str">
        <f t="shared" si="3"/>
        <v>ß</v>
      </c>
    </row>
    <row r="224" spans="6:6" x14ac:dyDescent="0.4">
      <c r="F224" s="114" t="str">
        <f t="shared" si="3"/>
        <v>à</v>
      </c>
    </row>
    <row r="225" spans="6:6" x14ac:dyDescent="0.4">
      <c r="F225" s="114" t="str">
        <f t="shared" si="3"/>
        <v>á</v>
      </c>
    </row>
    <row r="226" spans="6:6" x14ac:dyDescent="0.4">
      <c r="F226" s="114" t="str">
        <f t="shared" si="3"/>
        <v>â</v>
      </c>
    </row>
    <row r="227" spans="6:6" x14ac:dyDescent="0.4">
      <c r="F227" s="114" t="str">
        <f t="shared" si="3"/>
        <v>ã</v>
      </c>
    </row>
    <row r="228" spans="6:6" x14ac:dyDescent="0.4">
      <c r="F228" s="114" t="str">
        <f t="shared" si="3"/>
        <v>ä</v>
      </c>
    </row>
    <row r="229" spans="6:6" x14ac:dyDescent="0.4">
      <c r="F229" s="114" t="str">
        <f t="shared" si="3"/>
        <v>å</v>
      </c>
    </row>
    <row r="230" spans="6:6" x14ac:dyDescent="0.4">
      <c r="F230" s="114" t="str">
        <f t="shared" si="3"/>
        <v>æ</v>
      </c>
    </row>
    <row r="231" spans="6:6" x14ac:dyDescent="0.4">
      <c r="F231" s="114" t="str">
        <f t="shared" si="3"/>
        <v>ç</v>
      </c>
    </row>
    <row r="232" spans="6:6" x14ac:dyDescent="0.4">
      <c r="F232" s="114" t="str">
        <f t="shared" si="3"/>
        <v>è</v>
      </c>
    </row>
    <row r="233" spans="6:6" x14ac:dyDescent="0.4">
      <c r="F233" s="114" t="str">
        <f t="shared" si="3"/>
        <v>é</v>
      </c>
    </row>
    <row r="234" spans="6:6" x14ac:dyDescent="0.4">
      <c r="F234" s="114" t="str">
        <f t="shared" si="3"/>
        <v>ê</v>
      </c>
    </row>
    <row r="235" spans="6:6" x14ac:dyDescent="0.4">
      <c r="F235" s="114" t="str">
        <f t="shared" si="3"/>
        <v>ë</v>
      </c>
    </row>
    <row r="236" spans="6:6" x14ac:dyDescent="0.4">
      <c r="F236" s="114" t="str">
        <f t="shared" si="3"/>
        <v>ì</v>
      </c>
    </row>
    <row r="237" spans="6:6" x14ac:dyDescent="0.4">
      <c r="F237" s="114" t="str">
        <f t="shared" si="3"/>
        <v>í</v>
      </c>
    </row>
    <row r="238" spans="6:6" x14ac:dyDescent="0.4">
      <c r="F238" s="114" t="str">
        <f t="shared" si="3"/>
        <v>î</v>
      </c>
    </row>
    <row r="239" spans="6:6" x14ac:dyDescent="0.4">
      <c r="F239" s="114" t="str">
        <f t="shared" si="3"/>
        <v>ï</v>
      </c>
    </row>
    <row r="240" spans="6:6" x14ac:dyDescent="0.4">
      <c r="F240" s="114" t="str">
        <f t="shared" si="3"/>
        <v>ð</v>
      </c>
    </row>
    <row r="241" spans="6:6" x14ac:dyDescent="0.4">
      <c r="F241" s="114" t="str">
        <f t="shared" si="3"/>
        <v>ñ</v>
      </c>
    </row>
    <row r="242" spans="6:6" x14ac:dyDescent="0.4">
      <c r="F242" s="114" t="str">
        <f t="shared" si="3"/>
        <v>ò</v>
      </c>
    </row>
    <row r="243" spans="6:6" x14ac:dyDescent="0.4">
      <c r="F243" s="114" t="str">
        <f t="shared" si="3"/>
        <v>ó</v>
      </c>
    </row>
    <row r="244" spans="6:6" x14ac:dyDescent="0.4">
      <c r="F244" s="114" t="str">
        <f t="shared" si="3"/>
        <v>ô</v>
      </c>
    </row>
    <row r="245" spans="6:6" x14ac:dyDescent="0.4">
      <c r="F245" s="114" t="str">
        <f t="shared" si="3"/>
        <v>õ</v>
      </c>
    </row>
    <row r="246" spans="6:6" x14ac:dyDescent="0.4">
      <c r="F246" s="114" t="str">
        <f t="shared" si="3"/>
        <v>ö</v>
      </c>
    </row>
    <row r="247" spans="6:6" x14ac:dyDescent="0.4">
      <c r="F247" s="114" t="str">
        <f t="shared" si="3"/>
        <v>÷</v>
      </c>
    </row>
    <row r="248" spans="6:6" x14ac:dyDescent="0.4">
      <c r="F248" s="114" t="str">
        <f t="shared" si="3"/>
        <v>ø</v>
      </c>
    </row>
    <row r="249" spans="6:6" x14ac:dyDescent="0.4">
      <c r="F249" s="114" t="str">
        <f t="shared" si="3"/>
        <v>ù</v>
      </c>
    </row>
    <row r="250" spans="6:6" x14ac:dyDescent="0.4">
      <c r="F250" s="114" t="str">
        <f t="shared" si="3"/>
        <v>ú</v>
      </c>
    </row>
    <row r="251" spans="6:6" x14ac:dyDescent="0.4">
      <c r="F251" s="114" t="str">
        <f t="shared" si="3"/>
        <v>û</v>
      </c>
    </row>
    <row r="252" spans="6:6" x14ac:dyDescent="0.4">
      <c r="F252" s="114" t="str">
        <f t="shared" si="3"/>
        <v>ü</v>
      </c>
    </row>
    <row r="253" spans="6:6" x14ac:dyDescent="0.4">
      <c r="F253" s="114" t="str">
        <f t="shared" si="3"/>
        <v>ý</v>
      </c>
    </row>
    <row r="254" spans="6:6" x14ac:dyDescent="0.4">
      <c r="F254" s="114" t="str">
        <f t="shared" si="3"/>
        <v>þ</v>
      </c>
    </row>
    <row r="255" spans="6:6" x14ac:dyDescent="0.4">
      <c r="F255" s="114" t="str">
        <f t="shared" si="3"/>
        <v>ÿ</v>
      </c>
    </row>
    <row r="256" spans="6:6" x14ac:dyDescent="0.4">
      <c r="F256" s="114"/>
    </row>
    <row r="257" spans="6:6" x14ac:dyDescent="0.4">
      <c r="F257" s="114"/>
    </row>
    <row r="258" spans="6:6" x14ac:dyDescent="0.4">
      <c r="F258" s="114"/>
    </row>
    <row r="259" spans="6:6" x14ac:dyDescent="0.4">
      <c r="F259" s="114"/>
    </row>
    <row r="260" spans="6:6" x14ac:dyDescent="0.4">
      <c r="F260" s="114"/>
    </row>
    <row r="261" spans="6:6" x14ac:dyDescent="0.4">
      <c r="F261" s="114"/>
    </row>
    <row r="262" spans="6:6" x14ac:dyDescent="0.4">
      <c r="F262" s="114"/>
    </row>
    <row r="263" spans="6:6" x14ac:dyDescent="0.4">
      <c r="F263" s="114"/>
    </row>
    <row r="264" spans="6:6" x14ac:dyDescent="0.4">
      <c r="F264" s="114"/>
    </row>
    <row r="265" spans="6:6" x14ac:dyDescent="0.4">
      <c r="F265" s="114"/>
    </row>
    <row r="266" spans="6:6" x14ac:dyDescent="0.4">
      <c r="F266" s="114"/>
    </row>
    <row r="267" spans="6:6" x14ac:dyDescent="0.4">
      <c r="F267" s="114"/>
    </row>
    <row r="268" spans="6:6" x14ac:dyDescent="0.4">
      <c r="F268" s="114"/>
    </row>
    <row r="269" spans="6:6" x14ac:dyDescent="0.4">
      <c r="F269" s="114"/>
    </row>
    <row r="270" spans="6:6" x14ac:dyDescent="0.4">
      <c r="F270" s="114"/>
    </row>
    <row r="271" spans="6:6" x14ac:dyDescent="0.4">
      <c r="F271" s="114"/>
    </row>
    <row r="272" spans="6:6" x14ac:dyDescent="0.4">
      <c r="F272" s="114"/>
    </row>
    <row r="273" spans="6:6" x14ac:dyDescent="0.4">
      <c r="F273" s="114"/>
    </row>
    <row r="274" spans="6:6" x14ac:dyDescent="0.4">
      <c r="F274" s="114"/>
    </row>
    <row r="275" spans="6:6" x14ac:dyDescent="0.4">
      <c r="F275" s="114"/>
    </row>
    <row r="276" spans="6:6" x14ac:dyDescent="0.4">
      <c r="F276" s="114"/>
    </row>
    <row r="277" spans="6:6" x14ac:dyDescent="0.4">
      <c r="F277" s="114"/>
    </row>
    <row r="278" spans="6:6" x14ac:dyDescent="0.4">
      <c r="F278" s="114"/>
    </row>
    <row r="279" spans="6:6" x14ac:dyDescent="0.4">
      <c r="F279" s="114"/>
    </row>
    <row r="280" spans="6:6" x14ac:dyDescent="0.4">
      <c r="F280" s="114"/>
    </row>
    <row r="281" spans="6:6" x14ac:dyDescent="0.4">
      <c r="F281" s="114"/>
    </row>
    <row r="282" spans="6:6" x14ac:dyDescent="0.4">
      <c r="F282" s="114"/>
    </row>
    <row r="283" spans="6:6" x14ac:dyDescent="0.4">
      <c r="F283" s="114"/>
    </row>
    <row r="284" spans="6:6" x14ac:dyDescent="0.4">
      <c r="F284" s="114"/>
    </row>
    <row r="285" spans="6:6" x14ac:dyDescent="0.4">
      <c r="F285" s="114"/>
    </row>
    <row r="286" spans="6:6" x14ac:dyDescent="0.4">
      <c r="F286" s="114"/>
    </row>
    <row r="287" spans="6:6" x14ac:dyDescent="0.4">
      <c r="F287" s="114"/>
    </row>
    <row r="288" spans="6:6" x14ac:dyDescent="0.4">
      <c r="F288" s="114"/>
    </row>
    <row r="289" spans="6:6" x14ac:dyDescent="0.4">
      <c r="F289" s="114"/>
    </row>
    <row r="290" spans="6:6" x14ac:dyDescent="0.4">
      <c r="F290" s="114"/>
    </row>
    <row r="291" spans="6:6" x14ac:dyDescent="0.4">
      <c r="F291" s="114"/>
    </row>
    <row r="292" spans="6:6" x14ac:dyDescent="0.4">
      <c r="F292" s="114"/>
    </row>
    <row r="293" spans="6:6" x14ac:dyDescent="0.4">
      <c r="F293" s="114"/>
    </row>
    <row r="294" spans="6:6" x14ac:dyDescent="0.4">
      <c r="F294" s="114"/>
    </row>
    <row r="295" spans="6:6" x14ac:dyDescent="0.4">
      <c r="F295" s="114"/>
    </row>
    <row r="296" spans="6:6" x14ac:dyDescent="0.4">
      <c r="F296" s="114"/>
    </row>
    <row r="297" spans="6:6" x14ac:dyDescent="0.4">
      <c r="F297" s="114"/>
    </row>
    <row r="298" spans="6:6" x14ac:dyDescent="0.4">
      <c r="F298" s="114"/>
    </row>
    <row r="299" spans="6:6" x14ac:dyDescent="0.4">
      <c r="F299" s="114"/>
    </row>
    <row r="300" spans="6:6" x14ac:dyDescent="0.4">
      <c r="F300" s="114"/>
    </row>
    <row r="301" spans="6:6" x14ac:dyDescent="0.4">
      <c r="F301" s="114"/>
    </row>
    <row r="302" spans="6:6" x14ac:dyDescent="0.4">
      <c r="F302" s="114"/>
    </row>
    <row r="303" spans="6:6" x14ac:dyDescent="0.4">
      <c r="F303" s="114"/>
    </row>
    <row r="304" spans="6:6" x14ac:dyDescent="0.4">
      <c r="F304" s="114"/>
    </row>
    <row r="305" spans="6:6" x14ac:dyDescent="0.4">
      <c r="F305" s="114"/>
    </row>
    <row r="306" spans="6:6" x14ac:dyDescent="0.4">
      <c r="F306" s="114"/>
    </row>
    <row r="307" spans="6:6" x14ac:dyDescent="0.4">
      <c r="F307" s="114"/>
    </row>
    <row r="308" spans="6:6" x14ac:dyDescent="0.4">
      <c r="F308" s="114"/>
    </row>
    <row r="309" spans="6:6" x14ac:dyDescent="0.4">
      <c r="F309" s="114"/>
    </row>
    <row r="310" spans="6:6" x14ac:dyDescent="0.4">
      <c r="F310" s="114"/>
    </row>
    <row r="311" spans="6:6" x14ac:dyDescent="0.4">
      <c r="F311" s="114"/>
    </row>
    <row r="312" spans="6:6" x14ac:dyDescent="0.4">
      <c r="F312" s="114"/>
    </row>
    <row r="313" spans="6:6" x14ac:dyDescent="0.4">
      <c r="F313" s="114"/>
    </row>
    <row r="314" spans="6:6" x14ac:dyDescent="0.4">
      <c r="F314" s="114"/>
    </row>
    <row r="315" spans="6:6" x14ac:dyDescent="0.4">
      <c r="F315" s="114"/>
    </row>
    <row r="316" spans="6:6" x14ac:dyDescent="0.4">
      <c r="F316" s="114"/>
    </row>
    <row r="317" spans="6:6" x14ac:dyDescent="0.4">
      <c r="F317" s="114"/>
    </row>
    <row r="318" spans="6:6" x14ac:dyDescent="0.4">
      <c r="F318" s="114"/>
    </row>
    <row r="319" spans="6:6" x14ac:dyDescent="0.4">
      <c r="F319" s="114"/>
    </row>
    <row r="320" spans="6:6" x14ac:dyDescent="0.4">
      <c r="F320" s="114"/>
    </row>
    <row r="321" spans="6:6" x14ac:dyDescent="0.4">
      <c r="F321" s="114"/>
    </row>
    <row r="322" spans="6:6" x14ac:dyDescent="0.4">
      <c r="F322" s="114"/>
    </row>
    <row r="323" spans="6:6" x14ac:dyDescent="0.4">
      <c r="F323" s="114"/>
    </row>
    <row r="324" spans="6:6" x14ac:dyDescent="0.4">
      <c r="F324" s="114"/>
    </row>
    <row r="325" spans="6:6" x14ac:dyDescent="0.4">
      <c r="F325" s="114"/>
    </row>
    <row r="326" spans="6:6" x14ac:dyDescent="0.4">
      <c r="F326" s="114"/>
    </row>
    <row r="327" spans="6:6" x14ac:dyDescent="0.4">
      <c r="F327" s="114"/>
    </row>
    <row r="328" spans="6:6" x14ac:dyDescent="0.4">
      <c r="F328" s="114"/>
    </row>
    <row r="329" spans="6:6" x14ac:dyDescent="0.4">
      <c r="F329" s="1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2F2DF-A5DE-4F72-86BC-D421D461E2AB}">
  <dimension ref="A1:AD24"/>
  <sheetViews>
    <sheetView topLeftCell="I1" workbookViewId="0">
      <selection activeCell="AI35" sqref="AI35"/>
    </sheetView>
  </sheetViews>
  <sheetFormatPr defaultRowHeight="14.6" x14ac:dyDescent="0.4"/>
  <cols>
    <col min="1" max="1" width="7.61328125" style="319" bestFit="1" customWidth="1"/>
    <col min="2" max="2" width="7.3046875" style="114" bestFit="1" customWidth="1"/>
    <col min="3" max="3" width="13.61328125" style="302"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0"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9.23046875" style="114" hidden="1" customWidth="1"/>
    <col min="29" max="29" width="9.23046875" style="347"/>
    <col min="30" max="30" width="9.23046875" style="114" hidden="1" customWidth="1"/>
    <col min="31" max="16384" width="9.23046875" style="114"/>
  </cols>
  <sheetData>
    <row r="1" spans="1:30" s="305" customFormat="1" ht="29.15" x14ac:dyDescent="0.4">
      <c r="A1" s="320" t="s">
        <v>837</v>
      </c>
      <c r="B1" s="320" t="s">
        <v>836</v>
      </c>
      <c r="C1" s="338" t="s">
        <v>821</v>
      </c>
      <c r="D1" s="320" t="s">
        <v>840</v>
      </c>
      <c r="E1" s="320" t="s">
        <v>809</v>
      </c>
      <c r="F1" s="320" t="s">
        <v>850</v>
      </c>
      <c r="G1" s="320" t="s">
        <v>824</v>
      </c>
      <c r="H1" s="320" t="s">
        <v>848</v>
      </c>
      <c r="I1" s="321" t="s">
        <v>866</v>
      </c>
      <c r="J1" s="320" t="s">
        <v>841</v>
      </c>
      <c r="K1" s="320" t="s">
        <v>842</v>
      </c>
      <c r="L1" s="320" t="s">
        <v>843</v>
      </c>
      <c r="M1" s="320" t="s">
        <v>844</v>
      </c>
      <c r="N1" s="320" t="s">
        <v>849</v>
      </c>
      <c r="O1" s="321" t="s">
        <v>873</v>
      </c>
      <c r="P1" s="320" t="s">
        <v>823</v>
      </c>
      <c r="R1" s="323" t="s">
        <v>866</v>
      </c>
      <c r="S1" s="323" t="s">
        <v>809</v>
      </c>
      <c r="T1" s="322" t="str">
        <f>J1</f>
        <v>Form</v>
      </c>
      <c r="U1" s="322" t="str">
        <f>K1</f>
        <v>IP Rating</v>
      </c>
      <c r="V1" s="322" t="str">
        <f>L1</f>
        <v>Colour</v>
      </c>
      <c r="W1" s="322" t="s">
        <v>869</v>
      </c>
      <c r="X1" s="322" t="str">
        <f>N1</f>
        <v>Poles / Dim</v>
      </c>
      <c r="Y1" s="322" t="str">
        <f>O1</f>
        <v>Non-Auto/
MCCB</v>
      </c>
      <c r="AC1" s="346" t="s">
        <v>1059</v>
      </c>
    </row>
    <row r="2" spans="1:30" x14ac:dyDescent="0.4">
      <c r="A2" s="319" t="str">
        <f>IF(NOT(I2="N/A"),IF(COUNTBLANK(J2:N2)=0,"VALID","INVALID"),"INVALID")</f>
        <v>VALID</v>
      </c>
      <c r="B2" s="114" t="str">
        <f>_xlfn.CONCAT("MSSB ", (ROW()-1))</f>
        <v>MSSB 1</v>
      </c>
      <c r="C2" s="302">
        <f>E2*G2</f>
        <v>1100.5</v>
      </c>
      <c r="D2" s="114">
        <f>IF(ISBLANK(F2),H2*E2,F2*E2)</f>
        <v>0</v>
      </c>
      <c r="E2" s="114">
        <v>2</v>
      </c>
      <c r="G2" s="114">
        <f>VLOOKUP(I2,'Part List'!A:G,3,FALSE) + IF(W2="MS3100", VLOOKUP(W2,'Part List'!A:G,3,FALSE), 0)</f>
        <v>550.25</v>
      </c>
      <c r="H2" s="114">
        <f>VLOOKUP(I2,'Part List'!A:G,5,FALSE) + IF(W2="MS3100", VLOOKUP(W2,'Part List'!A:G,5,FALSE), 0)</f>
        <v>0</v>
      </c>
      <c r="I2" s="114" t="str">
        <f>IF(COUNTIF(_MSSB!$E$2:$E$6,'@MSSB'!N2) = 1,INDEX(_MSSB!J:J,MATCH(1,INDEX(('@MSSB'!L2=_MSSB!H:H)*('@MSSB'!N2=_MSSB!I:I),0,1),0)),INDEX(_MSSB!M:M,MATCH(1,INDEX((K2=_MSSB!L:L)*(L2=_MSSB!H:H)*(M2=_MSSB!I:I)*(N2=_MSSB!J:J)*(O2=_MSSB!K:K),0,1),0)))</f>
        <v>EN68-O</v>
      </c>
      <c r="J2" s="114">
        <v>3</v>
      </c>
      <c r="K2" s="114" t="s">
        <v>878</v>
      </c>
      <c r="L2" s="114" t="s">
        <v>846</v>
      </c>
      <c r="M2" s="114">
        <v>250</v>
      </c>
      <c r="N2" s="114" t="s">
        <v>852</v>
      </c>
      <c r="O2" s="114" t="s">
        <v>875</v>
      </c>
      <c r="P2" s="114" t="str">
        <f>IFERROR((VLOOKUP(I2,_MSSB!J:K,2,FALSE)),"")</f>
        <v>Form 1 (Always), IP65 (Always)
Includes MS3100 (Main Switch, 3 Pole, 100 Amp)</v>
      </c>
      <c r="R2" s="286" t="str">
        <f>I2</f>
        <v>EN68-O</v>
      </c>
      <c r="S2" s="286">
        <f>E2</f>
        <v>2</v>
      </c>
      <c r="T2" s="286">
        <f>IF(COUNTIF(_MSSB!$E$2:$E$6,'@MSSB'!N2) = 1,1,J2)</f>
        <v>1</v>
      </c>
      <c r="U2" s="286" t="str">
        <f>IF(COUNTIF(_MSSB!$E$2:$E$6,'@MSSB'!N2) = 1,"IP65",K2)</f>
        <v>IP65</v>
      </c>
      <c r="V2" s="286" t="str">
        <f>L2</f>
        <v>Orange</v>
      </c>
      <c r="W2" s="286" t="str">
        <f>IF(COUNTIF(_MSSB!$E$2:$E$6,'@MSSB'!N2) = 1,"MS3100",M2)</f>
        <v>MS3100</v>
      </c>
      <c r="X2" s="286" t="str">
        <f>N2</f>
        <v>600x800</v>
      </c>
      <c r="Y2" s="286" t="str">
        <f>IF(COUNTIF(_MSSB!$E$2:$E$6,'@MSSB'!N2) = 1,"N/A",O2)</f>
        <v>N/A</v>
      </c>
      <c r="Z2" s="114" t="str">
        <f>IF(COUNTIF(_MSSB!$E$2:$E$6,'@MSSB'!N2) = 1,_xlfn.CONCAT(X2, "mm Enclosure"),_xlfn.CONCAT(X2, " Pole MSSB"))</f>
        <v>600x800mm Enclosure</v>
      </c>
      <c r="AA2" s="114" t="str">
        <f>_xlfn.CONCAT(AD2," - Electrical services for ",S2, " (", VLOOKUP(S2,Backend!C:D,2,FALSE), ") ",Z2," (Form ",T2, "-", U2, " Rated)
")</f>
        <v xml:space="preserve">1 - Electrical services for 2 (two) 600x800mm Enclosure (Form 1-IP65 Rated)
</v>
      </c>
      <c r="AB2" s="114" t="str">
        <f>_xlfn.CONCAT(REPT(" ", 8),AD2,".1 - This includes supply and install of Main switch (",IF(W2="MS3100","100 Amp",_xlfn.CONCAT(W2," Amp")),_xlfn.CONCAT("), contactors circuit breakers busbar and wiring trefolyte labelling miscellaneous items testing escutcheon plate (to retain IP rating for mounting"," of lights and switches), inside powder coated enclosure.
",REPT(" ", 8),AD2,".2 - Please note: MSSB includes other components listed under each system type."))</f>
        <v xml:space="preserve">        1.1 - This includes supply and install of Main switch (100 Amp), contactors circuit breakers busbar and wiring trefolyte labelling miscellaneous items testing escutcheon plate (to retain IP rating for mounting of lights and switches), inside powder coated enclosure.
        1.2 - Please note: MSSB includes other components listed under each system type.</v>
      </c>
      <c r="AC2" s="347" t="str">
        <f t="shared" ref="AC2:AC22" si="0">IF(AD2=AD1,"",_xlfn.CONCAT(AA2,AB2,"
"))</f>
        <v xml:space="preserve">1 - Electrical services for 2 (two) 600x800mm Enclosure (Form 1-IP65 Rated)
        1.1 - This includes supply and install of Main switch (100 Amp), contactors circuit breakers busbar and wiring trefolyte labelling miscellaneous items testing escutcheon plate (to retain IP rating for mounting of lights and switches), inside powder coated enclosure.
        1.2 - Please note: MSSB includes other components listed under each system type.
</v>
      </c>
      <c r="AD2" s="114">
        <f xml:space="preserve"> IF(T2&gt;0,AD1+1,AD1)</f>
        <v>1</v>
      </c>
    </row>
    <row r="3" spans="1:30" x14ac:dyDescent="0.4">
      <c r="A3" s="319" t="str">
        <f t="shared" ref="A3:A22" si="1">IF(NOT(I3="N/A"),IF(COUNTBLANK(J3:N3)=0,"VALID","INVALID"),"INVALID")</f>
        <v>VALID</v>
      </c>
      <c r="B3" s="114" t="str">
        <f t="shared" ref="B3:B22" si="2">_xlfn.CONCAT("MSSB ", (ROW()-1))</f>
        <v>MSSB 2</v>
      </c>
      <c r="C3" s="302">
        <f t="shared" ref="C3:C22" si="3">E3*G3</f>
        <v>2999997</v>
      </c>
      <c r="D3" s="114">
        <f t="shared" ref="D3:D22" si="4">IF(ISBLANK(F3),H3*E3,F3*E3)</f>
        <v>0</v>
      </c>
      <c r="E3" s="114">
        <v>3</v>
      </c>
      <c r="G3" s="114">
        <f>VLOOKUP(I3,'Part List'!A:G,3,FALSE) + IF(W3="MS3100", VLOOKUP(W3,'Part List'!A:G,3,FALSE), 0)</f>
        <v>999999</v>
      </c>
      <c r="H3" s="114">
        <f>VLOOKUP(I3,'Part List'!A:G,5,FALSE) + IF(W3="MS3100", VLOOKUP(W3,'Part List'!A:G,5,FALSE), 0)</f>
        <v>0</v>
      </c>
      <c r="I3" s="114" t="str">
        <f>IF(COUNTIF(_MSSB!$E$2:$E$6,'@MSSB'!N3) = 1,INDEX(_MSSB!J:J,MATCH(1,INDEX(('@MSSB'!L3=_MSSB!H:H)*('@MSSB'!N3=_MSSB!I:I),0,1),0)),INDEX(_MSSB!M:M,MATCH(1,INDEX((K3=_MSSB!L:L)*(L3=_MSSB!H:H)*(M3=_MSSB!I:I)*(N3=_MSSB!J:J)*(O3=_MSSB!K:K),0,1),0)))</f>
        <v>DB48-2-56-G</v>
      </c>
      <c r="J3" s="114">
        <v>2</v>
      </c>
      <c r="K3" s="114" t="s">
        <v>878</v>
      </c>
      <c r="L3" s="114" t="s">
        <v>847</v>
      </c>
      <c r="M3" s="114">
        <v>250</v>
      </c>
      <c r="N3" s="114">
        <v>48</v>
      </c>
      <c r="O3" s="114" t="s">
        <v>874</v>
      </c>
      <c r="P3" s="114" t="str">
        <f>IFERROR((VLOOKUP(I3,_MSSB!J:K,2,FALSE)),"")</f>
        <v/>
      </c>
      <c r="R3" s="286" t="str">
        <f t="shared" ref="R3:R22" si="5">I3</f>
        <v>DB48-2-56-G</v>
      </c>
      <c r="S3" s="286">
        <f t="shared" ref="S3:S22" si="6">E3</f>
        <v>3</v>
      </c>
      <c r="T3" s="286">
        <f>IF(COUNTIF(_MSSB!$E$2:$E$6,'@MSSB'!N3) = 1,1,J3)</f>
        <v>2</v>
      </c>
      <c r="U3" s="286" t="str">
        <f>IF(COUNTIF(_MSSB!$E$2:$E$6,'@MSSB'!N3) = 1,"IP65",K3)</f>
        <v>IP56</v>
      </c>
      <c r="V3" s="286" t="str">
        <f t="shared" ref="V3:V22" si="7">L3</f>
        <v>Grey</v>
      </c>
      <c r="W3" s="286">
        <f>IF(COUNTIF(_MSSB!$E$2:$E$6,'@MSSB'!N3) = 1,"MS3100",M3)</f>
        <v>250</v>
      </c>
      <c r="X3" s="286">
        <f t="shared" ref="X3:X22" si="8">N3</f>
        <v>48</v>
      </c>
      <c r="Y3" s="286" t="str">
        <f>IF(COUNTIF(_MSSB!$E$2:$E$6,'@MSSB'!N3) = 1,"N/A",O3)</f>
        <v>Non-Auto</v>
      </c>
      <c r="Z3" s="114" t="str">
        <f>IF(COUNTIF(_MSSB!$E$2:$E$6,'@MSSB'!N3) = 1,_xlfn.CONCAT(X3, "mm Enclosure"),_xlfn.CONCAT(X3, " Pole MSSB"))</f>
        <v>48 Pole MSSB</v>
      </c>
      <c r="AA3" s="114" t="str">
        <f>_xlfn.CONCAT(AD3," - Electrical services for ",S3, " (", VLOOKUP(S3,Backend!C:D,2,FALSE), ") ",Z3," (Form ",T3, "-", U3, " Rated)
")</f>
        <v xml:space="preserve">2 - Electrical services for 3 (three) 48 Pole MSSB (Form 2-IP56 Rated)
</v>
      </c>
      <c r="AB3" s="114" t="str">
        <f t="shared" ref="AB3:AB22" si="9">_xlfn.CONCAT(REPT(" ", 8),AD3,".1 - This includes supply and install of Main switch (",IF(W3="MS3100","100 Amp",_xlfn.CONCAT(W3," Amp")),_xlfn.CONCAT("), contactors circuit breakers busbar and wiring trefolyte labelling miscellaneous items testing escutcheon plate (to retain IP rating for mounting"," of lights and switches), inside powder coated enclosure.
",REPT(" ", 8),AD3,".2 - Please note: MSSB includes other components listed under each system type."))</f>
        <v xml:space="preserve">        2.1 - This includes supply and install of Main switch (250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3" s="347" t="str">
        <f t="shared" si="0"/>
        <v xml:space="preserve">2 - Electrical services for 3 (three) 48 Pole MSSB (Form 2-IP56 Rated)
        2.1 - This includes supply and install of Main switch (250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
</v>
      </c>
      <c r="AD3" s="114">
        <f xml:space="preserve"> IF(T3&gt;0,AD2+1,AD2)</f>
        <v>2</v>
      </c>
    </row>
    <row r="4" spans="1:30" x14ac:dyDescent="0.4">
      <c r="A4" s="319" t="str">
        <f t="shared" si="1"/>
        <v>INVALID</v>
      </c>
      <c r="B4" s="114" t="str">
        <f t="shared" si="2"/>
        <v>MSSB 3</v>
      </c>
      <c r="C4" s="302" t="e">
        <f t="shared" si="3"/>
        <v>#N/A</v>
      </c>
      <c r="D4" s="114" t="e">
        <f t="shared" si="4"/>
        <v>#N/A</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R4" s="286">
        <f t="shared" si="5"/>
        <v>0</v>
      </c>
      <c r="S4" s="286">
        <f t="shared" si="6"/>
        <v>0</v>
      </c>
      <c r="T4" s="286">
        <f>IF(COUNTIF(_MSSB!$E$2:$E$6,'@MSSB'!N4) = 1,1,J4)</f>
        <v>0</v>
      </c>
      <c r="U4" s="286">
        <f>IF(COUNTIF(_MSSB!$E$2:$E$6,'@MSSB'!N4) = 1,"IP65",K4)</f>
        <v>0</v>
      </c>
      <c r="V4" s="286">
        <f t="shared" si="7"/>
        <v>0</v>
      </c>
      <c r="W4" s="286">
        <f>IF(COUNTIF(_MSSB!$E$2:$E$6,'@MSSB'!N4) = 1,"MS3100",M4)</f>
        <v>0</v>
      </c>
      <c r="X4" s="286">
        <f t="shared" si="8"/>
        <v>0</v>
      </c>
      <c r="Y4" s="286">
        <f>IF(COUNTIF(_MSSB!$E$2:$E$6,'@MSSB'!N4) = 1,"N/A",O4)</f>
        <v>0</v>
      </c>
      <c r="Z4" s="114" t="str">
        <f>IF(COUNTIF(_MSSB!$E$2:$E$6,'@MSSB'!N4) = 1,_xlfn.CONCAT(X4, "mm Enclosure"),_xlfn.CONCAT(X4, " Pole MSSB"))</f>
        <v>0 Pole MSSB</v>
      </c>
      <c r="AA4" s="114" t="str">
        <f>_xlfn.CONCAT(AD4," - Electrical services for ",S4, " (", VLOOKUP(S4,Backend!C:D,2,FALSE), ") ",Z4," (Form ",T4, "-", U4, " Rated)
")</f>
        <v xml:space="preserve">2 - Electrical services for 0 (Zero) 0 Pole MSSB (Form 0-0 Rated)
</v>
      </c>
      <c r="AB4"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4" s="347" t="str">
        <f t="shared" si="0"/>
        <v/>
      </c>
      <c r="AD4" s="114">
        <f t="shared" ref="AD4:AD22" si="10" xml:space="preserve"> IF(T4&gt;0,AD3+1,AD3)</f>
        <v>2</v>
      </c>
    </row>
    <row r="5" spans="1:30" x14ac:dyDescent="0.4">
      <c r="A5" s="319" t="str">
        <f t="shared" si="1"/>
        <v>INVALID</v>
      </c>
      <c r="B5" s="114" t="str">
        <f t="shared" si="2"/>
        <v>MSSB 4</v>
      </c>
      <c r="C5" s="302" t="e">
        <f t="shared" si="3"/>
        <v>#N/A</v>
      </c>
      <c r="D5" s="114" t="e">
        <f t="shared" si="4"/>
        <v>#N/A</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R5" s="286">
        <f t="shared" si="5"/>
        <v>0</v>
      </c>
      <c r="S5" s="286">
        <f t="shared" si="6"/>
        <v>0</v>
      </c>
      <c r="T5" s="286">
        <f>IF(COUNTIF(_MSSB!$E$2:$E$6,'@MSSB'!N5) = 1,1,J5)</f>
        <v>0</v>
      </c>
      <c r="U5" s="286">
        <f>IF(COUNTIF(_MSSB!$E$2:$E$6,'@MSSB'!N5) = 1,"IP65",K5)</f>
        <v>0</v>
      </c>
      <c r="V5" s="286">
        <f t="shared" si="7"/>
        <v>0</v>
      </c>
      <c r="W5" s="286">
        <f>IF(COUNTIF(_MSSB!$E$2:$E$6,'@MSSB'!N5) = 1,"MS3100",M5)</f>
        <v>0</v>
      </c>
      <c r="X5" s="286">
        <f t="shared" si="8"/>
        <v>0</v>
      </c>
      <c r="Y5" s="286">
        <f>IF(COUNTIF(_MSSB!$E$2:$E$6,'@MSSB'!N5) = 1,"N/A",O5)</f>
        <v>0</v>
      </c>
      <c r="Z5" s="114" t="str">
        <f>IF(COUNTIF(_MSSB!$E$2:$E$6,'@MSSB'!N5) = 1,_xlfn.CONCAT(X5, "mm Enclosure"),_xlfn.CONCAT(X5, " Pole MSSB"))</f>
        <v>0 Pole MSSB</v>
      </c>
      <c r="AA5" s="114" t="str">
        <f>_xlfn.CONCAT(AD5," - Electrical services for ",S5, " (", VLOOKUP(S5,Backend!C:D,2,FALSE), ") ",Z5," (Form ",T5, "-", U5, " Rated)
")</f>
        <v xml:space="preserve">2 - Electrical services for 0 (Zero) 0 Pole MSSB (Form 0-0 Rated)
</v>
      </c>
      <c r="AB5"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5" s="347" t="str">
        <f t="shared" si="0"/>
        <v/>
      </c>
      <c r="AD5" s="114">
        <f t="shared" si="10"/>
        <v>2</v>
      </c>
    </row>
    <row r="6" spans="1:30" x14ac:dyDescent="0.4">
      <c r="A6" s="319" t="str">
        <f t="shared" si="1"/>
        <v>INVALID</v>
      </c>
      <c r="B6" s="114" t="str">
        <f t="shared" si="2"/>
        <v>MSSB 5</v>
      </c>
      <c r="C6" s="302" t="e">
        <f t="shared" si="3"/>
        <v>#N/A</v>
      </c>
      <c r="D6" s="114" t="e">
        <f t="shared" si="4"/>
        <v>#N/A</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R6" s="286">
        <f t="shared" si="5"/>
        <v>0</v>
      </c>
      <c r="S6" s="286">
        <f t="shared" si="6"/>
        <v>0</v>
      </c>
      <c r="T6" s="286">
        <f>IF(COUNTIF(_MSSB!$E$2:$E$6,'@MSSB'!N6) = 1,1,J6)</f>
        <v>0</v>
      </c>
      <c r="U6" s="286">
        <f>IF(COUNTIF(_MSSB!$E$2:$E$6,'@MSSB'!N6) = 1,"IP65",K6)</f>
        <v>0</v>
      </c>
      <c r="V6" s="286">
        <f t="shared" si="7"/>
        <v>0</v>
      </c>
      <c r="W6" s="286">
        <f>IF(COUNTIF(_MSSB!$E$2:$E$6,'@MSSB'!N6) = 1,"MS3100",M6)</f>
        <v>0</v>
      </c>
      <c r="X6" s="286">
        <f t="shared" si="8"/>
        <v>0</v>
      </c>
      <c r="Y6" s="286">
        <f>IF(COUNTIF(_MSSB!$E$2:$E$6,'@MSSB'!N6) = 1,"N/A",O6)</f>
        <v>0</v>
      </c>
      <c r="Z6" s="114" t="str">
        <f>IF(COUNTIF(_MSSB!$E$2:$E$6,'@MSSB'!N6) = 1,_xlfn.CONCAT(X6, "mm Enclosure"),_xlfn.CONCAT(X6, " Pole MSSB"))</f>
        <v>0 Pole MSSB</v>
      </c>
      <c r="AA6" s="114" t="str">
        <f>_xlfn.CONCAT(AD6," - Electrical services for ",S6, " (", VLOOKUP(S6,Backend!C:D,2,FALSE), ") ",Z6," (Form ",T6, "-", U6, " Rated)
")</f>
        <v xml:space="preserve">2 - Electrical services for 0 (Zero) 0 Pole MSSB (Form 0-0 Rated)
</v>
      </c>
      <c r="AB6"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6" s="347" t="str">
        <f t="shared" si="0"/>
        <v/>
      </c>
      <c r="AD6" s="114">
        <f t="shared" si="10"/>
        <v>2</v>
      </c>
    </row>
    <row r="7" spans="1:30" x14ac:dyDescent="0.4">
      <c r="A7" s="319" t="str">
        <f t="shared" si="1"/>
        <v>INVALID</v>
      </c>
      <c r="B7" s="114" t="str">
        <f t="shared" si="2"/>
        <v>MSSB 6</v>
      </c>
      <c r="C7" s="302" t="e">
        <f t="shared" si="3"/>
        <v>#N/A</v>
      </c>
      <c r="D7" s="114" t="e">
        <f t="shared" si="4"/>
        <v>#N/A</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R7" s="286">
        <f t="shared" si="5"/>
        <v>0</v>
      </c>
      <c r="S7" s="286">
        <f t="shared" si="6"/>
        <v>0</v>
      </c>
      <c r="T7" s="286">
        <f>IF(COUNTIF(_MSSB!$E$2:$E$6,'@MSSB'!N7) = 1,1,J7)</f>
        <v>0</v>
      </c>
      <c r="U7" s="286">
        <f>IF(COUNTIF(_MSSB!$E$2:$E$6,'@MSSB'!N7) = 1,"IP65",K7)</f>
        <v>0</v>
      </c>
      <c r="V7" s="286">
        <f t="shared" si="7"/>
        <v>0</v>
      </c>
      <c r="W7" s="286">
        <f>IF(COUNTIF(_MSSB!$E$2:$E$6,'@MSSB'!N7) = 1,"MS3100",M7)</f>
        <v>0</v>
      </c>
      <c r="X7" s="286">
        <f t="shared" si="8"/>
        <v>0</v>
      </c>
      <c r="Y7" s="286">
        <f>IF(COUNTIF(_MSSB!$E$2:$E$6,'@MSSB'!N7) = 1,"N/A",O7)</f>
        <v>0</v>
      </c>
      <c r="Z7" s="114" t="str">
        <f>IF(COUNTIF(_MSSB!$E$2:$E$6,'@MSSB'!N7) = 1,_xlfn.CONCAT(X7, "mm Enclosure"),_xlfn.CONCAT(X7, " Pole MSSB"))</f>
        <v>0 Pole MSSB</v>
      </c>
      <c r="AA7" s="114" t="str">
        <f>_xlfn.CONCAT(AD7," - Electrical services for ",S7, " (", VLOOKUP(S7,Backend!C:D,2,FALSE), ") ",Z7," (Form ",T7, "-", U7, " Rated)
")</f>
        <v xml:space="preserve">2 - Electrical services for 0 (Zero) 0 Pole MSSB (Form 0-0 Rated)
</v>
      </c>
      <c r="AB7"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7" s="347" t="str">
        <f t="shared" si="0"/>
        <v/>
      </c>
      <c r="AD7" s="114">
        <f t="shared" si="10"/>
        <v>2</v>
      </c>
    </row>
    <row r="8" spans="1:30" x14ac:dyDescent="0.4">
      <c r="A8" s="319" t="str">
        <f t="shared" si="1"/>
        <v>INVALID</v>
      </c>
      <c r="B8" s="114" t="str">
        <f t="shared" si="2"/>
        <v>MSSB 7</v>
      </c>
      <c r="C8" s="302" t="e">
        <f t="shared" si="3"/>
        <v>#N/A</v>
      </c>
      <c r="D8" s="114" t="e">
        <f t="shared" si="4"/>
        <v>#N/A</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R8" s="286">
        <f t="shared" si="5"/>
        <v>0</v>
      </c>
      <c r="S8" s="286">
        <f t="shared" si="6"/>
        <v>0</v>
      </c>
      <c r="T8" s="286">
        <f>IF(COUNTIF(_MSSB!$E$2:$E$6,'@MSSB'!N8) = 1,1,J8)</f>
        <v>0</v>
      </c>
      <c r="U8" s="286">
        <f>IF(COUNTIF(_MSSB!$E$2:$E$6,'@MSSB'!N8) = 1,"IP65",K8)</f>
        <v>0</v>
      </c>
      <c r="V8" s="286">
        <f t="shared" si="7"/>
        <v>0</v>
      </c>
      <c r="W8" s="286">
        <f>IF(COUNTIF(_MSSB!$E$2:$E$6,'@MSSB'!N8) = 1,"MS3100",M8)</f>
        <v>0</v>
      </c>
      <c r="X8" s="286">
        <f t="shared" si="8"/>
        <v>0</v>
      </c>
      <c r="Y8" s="286">
        <f>IF(COUNTIF(_MSSB!$E$2:$E$6,'@MSSB'!N8) = 1,"N/A",O8)</f>
        <v>0</v>
      </c>
      <c r="Z8" s="114" t="str">
        <f>IF(COUNTIF(_MSSB!$E$2:$E$6,'@MSSB'!N8) = 1,_xlfn.CONCAT(X8, "mm Enclosure"),_xlfn.CONCAT(X8, " Pole MSSB"))</f>
        <v>0 Pole MSSB</v>
      </c>
      <c r="AA8" s="114" t="str">
        <f>_xlfn.CONCAT(AD8," - Electrical services for ",S8, " (", VLOOKUP(S8,Backend!C:D,2,FALSE), ") ",Z8," (Form ",T8, "-", U8, " Rated)
")</f>
        <v xml:space="preserve">2 - Electrical services for 0 (Zero) 0 Pole MSSB (Form 0-0 Rated)
</v>
      </c>
      <c r="AB8"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8" s="347" t="str">
        <f t="shared" si="0"/>
        <v/>
      </c>
      <c r="AD8" s="114">
        <f t="shared" si="10"/>
        <v>2</v>
      </c>
    </row>
    <row r="9" spans="1:30" x14ac:dyDescent="0.4">
      <c r="A9" s="319" t="str">
        <f t="shared" si="1"/>
        <v>INVALID</v>
      </c>
      <c r="B9" s="114" t="str">
        <f t="shared" si="2"/>
        <v>MSSB 8</v>
      </c>
      <c r="C9" s="302" t="e">
        <f t="shared" si="3"/>
        <v>#N/A</v>
      </c>
      <c r="D9" s="114" t="e">
        <f t="shared" si="4"/>
        <v>#N/A</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R9" s="286">
        <f t="shared" si="5"/>
        <v>0</v>
      </c>
      <c r="S9" s="286">
        <f t="shared" si="6"/>
        <v>0</v>
      </c>
      <c r="T9" s="286">
        <f>IF(COUNTIF(_MSSB!$E$2:$E$6,'@MSSB'!N9) = 1,1,J9)</f>
        <v>0</v>
      </c>
      <c r="U9" s="286">
        <f>IF(COUNTIF(_MSSB!$E$2:$E$6,'@MSSB'!N9) = 1,"IP65",K9)</f>
        <v>0</v>
      </c>
      <c r="V9" s="286">
        <f t="shared" si="7"/>
        <v>0</v>
      </c>
      <c r="W9" s="286">
        <f>IF(COUNTIF(_MSSB!$E$2:$E$6,'@MSSB'!N9) = 1,"MS3100",M9)</f>
        <v>0</v>
      </c>
      <c r="X9" s="286">
        <f t="shared" si="8"/>
        <v>0</v>
      </c>
      <c r="Y9" s="286">
        <f>IF(COUNTIF(_MSSB!$E$2:$E$6,'@MSSB'!N9) = 1,"N/A",O9)</f>
        <v>0</v>
      </c>
      <c r="Z9" s="114" t="str">
        <f>IF(COUNTIF(_MSSB!$E$2:$E$6,'@MSSB'!N9) = 1,_xlfn.CONCAT(X9, "mm Enclosure"),_xlfn.CONCAT(X9, " Pole MSSB"))</f>
        <v>0 Pole MSSB</v>
      </c>
      <c r="AA9" s="114" t="str">
        <f>_xlfn.CONCAT(AD9," - Electrical services for ",S9, " (", VLOOKUP(S9,Backend!C:D,2,FALSE), ") ",Z9," (Form ",T9, "-", U9, " Rated)
")</f>
        <v xml:space="preserve">2 - Electrical services for 0 (Zero) 0 Pole MSSB (Form 0-0 Rated)
</v>
      </c>
      <c r="AB9"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9" s="347" t="str">
        <f t="shared" si="0"/>
        <v/>
      </c>
      <c r="AD9" s="114">
        <f t="shared" si="10"/>
        <v>2</v>
      </c>
    </row>
    <row r="10" spans="1:30" x14ac:dyDescent="0.4">
      <c r="A10" s="319" t="str">
        <f t="shared" si="1"/>
        <v>INVALID</v>
      </c>
      <c r="B10" s="114" t="str">
        <f t="shared" si="2"/>
        <v>MSSB 9</v>
      </c>
      <c r="C10" s="302" t="e">
        <f t="shared" si="3"/>
        <v>#N/A</v>
      </c>
      <c r="D10" s="114" t="e">
        <f t="shared" si="4"/>
        <v>#N/A</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R10" s="286">
        <f t="shared" si="5"/>
        <v>0</v>
      </c>
      <c r="S10" s="286">
        <f t="shared" si="6"/>
        <v>0</v>
      </c>
      <c r="T10" s="286">
        <f>IF(COUNTIF(_MSSB!$E$2:$E$6,'@MSSB'!N10) = 1,1,J10)</f>
        <v>0</v>
      </c>
      <c r="U10" s="286">
        <f>IF(COUNTIF(_MSSB!$E$2:$E$6,'@MSSB'!N10) = 1,"IP65",K10)</f>
        <v>0</v>
      </c>
      <c r="V10" s="286">
        <f t="shared" si="7"/>
        <v>0</v>
      </c>
      <c r="W10" s="286">
        <f>IF(COUNTIF(_MSSB!$E$2:$E$6,'@MSSB'!N10) = 1,"MS3100",M10)</f>
        <v>0</v>
      </c>
      <c r="X10" s="286">
        <f t="shared" si="8"/>
        <v>0</v>
      </c>
      <c r="Y10" s="286">
        <f>IF(COUNTIF(_MSSB!$E$2:$E$6,'@MSSB'!N10) = 1,"N/A",O10)</f>
        <v>0</v>
      </c>
      <c r="Z10" s="114" t="str">
        <f>IF(COUNTIF(_MSSB!$E$2:$E$6,'@MSSB'!N10) = 1,_xlfn.CONCAT(X10, "mm Enclosure"),_xlfn.CONCAT(X10, " Pole MSSB"))</f>
        <v>0 Pole MSSB</v>
      </c>
      <c r="AA10" s="114" t="str">
        <f>_xlfn.CONCAT(AD10," - Electrical services for ",S10, " (", VLOOKUP(S10,Backend!C:D,2,FALSE), ") ",Z10," (Form ",T10, "-", U10, " Rated)
")</f>
        <v xml:space="preserve">2 - Electrical services for 0 (Zero) 0 Pole MSSB (Form 0-0 Rated)
</v>
      </c>
      <c r="AB10"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0" s="347" t="str">
        <f t="shared" si="0"/>
        <v/>
      </c>
      <c r="AD10" s="114">
        <f t="shared" si="10"/>
        <v>2</v>
      </c>
    </row>
    <row r="11" spans="1:30" x14ac:dyDescent="0.4">
      <c r="A11" s="319" t="str">
        <f t="shared" si="1"/>
        <v>INVALID</v>
      </c>
      <c r="B11" s="114" t="str">
        <f t="shared" si="2"/>
        <v>MSSB 10</v>
      </c>
      <c r="C11" s="302" t="e">
        <f t="shared" si="3"/>
        <v>#N/A</v>
      </c>
      <c r="D11" s="114" t="e">
        <f t="shared" si="4"/>
        <v>#N/A</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R11" s="286">
        <f t="shared" si="5"/>
        <v>0</v>
      </c>
      <c r="S11" s="286">
        <f t="shared" si="6"/>
        <v>0</v>
      </c>
      <c r="T11" s="286">
        <f>IF(COUNTIF(_MSSB!$E$2:$E$6,'@MSSB'!N11) = 1,1,J11)</f>
        <v>0</v>
      </c>
      <c r="U11" s="286">
        <f>IF(COUNTIF(_MSSB!$E$2:$E$6,'@MSSB'!N11) = 1,"IP65",K11)</f>
        <v>0</v>
      </c>
      <c r="V11" s="286">
        <f t="shared" si="7"/>
        <v>0</v>
      </c>
      <c r="W11" s="286">
        <f>IF(COUNTIF(_MSSB!$E$2:$E$6,'@MSSB'!N11) = 1,"MS3100",M11)</f>
        <v>0</v>
      </c>
      <c r="X11" s="286">
        <f t="shared" si="8"/>
        <v>0</v>
      </c>
      <c r="Y11" s="286">
        <f>IF(COUNTIF(_MSSB!$E$2:$E$6,'@MSSB'!N11) = 1,"N/A",O11)</f>
        <v>0</v>
      </c>
      <c r="Z11" s="114" t="str">
        <f>IF(COUNTIF(_MSSB!$E$2:$E$6,'@MSSB'!N11) = 1,_xlfn.CONCAT(X11, "mm Enclosure"),_xlfn.CONCAT(X11, " Pole MSSB"))</f>
        <v>0 Pole MSSB</v>
      </c>
      <c r="AA11" s="114" t="str">
        <f>_xlfn.CONCAT(AD11," - Electrical services for ",S11, " (", VLOOKUP(S11,Backend!C:D,2,FALSE), ") ",Z11," (Form ",T11, "-", U11, " Rated)
")</f>
        <v xml:space="preserve">2 - Electrical services for 0 (Zero) 0 Pole MSSB (Form 0-0 Rated)
</v>
      </c>
      <c r="AB11"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1" s="347" t="str">
        <f t="shared" si="0"/>
        <v/>
      </c>
      <c r="AD11" s="114">
        <f t="shared" si="10"/>
        <v>2</v>
      </c>
    </row>
    <row r="12" spans="1:30" x14ac:dyDescent="0.4">
      <c r="A12" s="319" t="str">
        <f t="shared" si="1"/>
        <v>INVALID</v>
      </c>
      <c r="B12" s="114" t="str">
        <f t="shared" si="2"/>
        <v>MSSB 11</v>
      </c>
      <c r="C12" s="302" t="e">
        <f t="shared" si="3"/>
        <v>#N/A</v>
      </c>
      <c r="D12" s="114" t="e">
        <f t="shared" si="4"/>
        <v>#N/A</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R12" s="286">
        <f t="shared" si="5"/>
        <v>0</v>
      </c>
      <c r="S12" s="286">
        <f t="shared" si="6"/>
        <v>0</v>
      </c>
      <c r="T12" s="286">
        <f>IF(COUNTIF(_MSSB!$E$2:$E$6,'@MSSB'!N12) = 1,1,J12)</f>
        <v>0</v>
      </c>
      <c r="U12" s="286">
        <f>IF(COUNTIF(_MSSB!$E$2:$E$6,'@MSSB'!N12) = 1,"IP65",K12)</f>
        <v>0</v>
      </c>
      <c r="V12" s="286">
        <f t="shared" si="7"/>
        <v>0</v>
      </c>
      <c r="W12" s="286">
        <f>IF(COUNTIF(_MSSB!$E$2:$E$6,'@MSSB'!N12) = 1,"MS3100",M12)</f>
        <v>0</v>
      </c>
      <c r="X12" s="286">
        <f t="shared" si="8"/>
        <v>0</v>
      </c>
      <c r="Y12" s="286">
        <f>IF(COUNTIF(_MSSB!$E$2:$E$6,'@MSSB'!N12) = 1,"N/A",O12)</f>
        <v>0</v>
      </c>
      <c r="Z12" s="114" t="str">
        <f>IF(COUNTIF(_MSSB!$E$2:$E$6,'@MSSB'!N12) = 1,_xlfn.CONCAT(X12, "mm Enclosure"),_xlfn.CONCAT(X12, " Pole MSSB"))</f>
        <v>0 Pole MSSB</v>
      </c>
      <c r="AA12" s="114" t="str">
        <f>_xlfn.CONCAT(AD12," - Electrical services for ",S12, " (", VLOOKUP(S12,Backend!C:D,2,FALSE), ") ",Z12," (Form ",T12, "-", U12, " Rated)
")</f>
        <v xml:space="preserve">2 - Electrical services for 0 (Zero) 0 Pole MSSB (Form 0-0 Rated)
</v>
      </c>
      <c r="AB12"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2" s="347" t="str">
        <f t="shared" si="0"/>
        <v/>
      </c>
      <c r="AD12" s="114">
        <f t="shared" si="10"/>
        <v>2</v>
      </c>
    </row>
    <row r="13" spans="1:30" x14ac:dyDescent="0.4">
      <c r="A13" s="319" t="str">
        <f t="shared" si="1"/>
        <v>INVALID</v>
      </c>
      <c r="B13" s="114" t="str">
        <f t="shared" si="2"/>
        <v>MSSB 12</v>
      </c>
      <c r="C13" s="302" t="e">
        <f t="shared" si="3"/>
        <v>#N/A</v>
      </c>
      <c r="D13" s="114" t="e">
        <f t="shared" si="4"/>
        <v>#N/A</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R13" s="286">
        <f t="shared" si="5"/>
        <v>0</v>
      </c>
      <c r="S13" s="286">
        <f t="shared" si="6"/>
        <v>0</v>
      </c>
      <c r="T13" s="286">
        <f>IF(COUNTIF(_MSSB!$E$2:$E$6,'@MSSB'!N13) = 1,1,J13)</f>
        <v>0</v>
      </c>
      <c r="U13" s="286">
        <f>IF(COUNTIF(_MSSB!$E$2:$E$6,'@MSSB'!N13) = 1,"IP65",K13)</f>
        <v>0</v>
      </c>
      <c r="V13" s="286">
        <f t="shared" si="7"/>
        <v>0</v>
      </c>
      <c r="W13" s="286">
        <f>IF(COUNTIF(_MSSB!$E$2:$E$6,'@MSSB'!N13) = 1,"MS3100",M13)</f>
        <v>0</v>
      </c>
      <c r="X13" s="286">
        <f t="shared" si="8"/>
        <v>0</v>
      </c>
      <c r="Y13" s="286">
        <f>IF(COUNTIF(_MSSB!$E$2:$E$6,'@MSSB'!N13) = 1,"N/A",O13)</f>
        <v>0</v>
      </c>
      <c r="Z13" s="114" t="str">
        <f>IF(COUNTIF(_MSSB!$E$2:$E$6,'@MSSB'!N13) = 1,_xlfn.CONCAT(X13, "mm Enclosure"),_xlfn.CONCAT(X13, " Pole MSSB"))</f>
        <v>0 Pole MSSB</v>
      </c>
      <c r="AA13" s="114" t="str">
        <f>_xlfn.CONCAT(AD13," - Electrical services for ",S13, " (", VLOOKUP(S13,Backend!C:D,2,FALSE), ") ",Z13," (Form ",T13, "-", U13, " Rated)
")</f>
        <v xml:space="preserve">2 - Electrical services for 0 (Zero) 0 Pole MSSB (Form 0-0 Rated)
</v>
      </c>
      <c r="AB13"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3" s="347" t="str">
        <f t="shared" si="0"/>
        <v/>
      </c>
      <c r="AD13" s="114">
        <f t="shared" si="10"/>
        <v>2</v>
      </c>
    </row>
    <row r="14" spans="1:30" x14ac:dyDescent="0.4">
      <c r="A14" s="319" t="str">
        <f t="shared" si="1"/>
        <v>INVALID</v>
      </c>
      <c r="B14" s="114" t="str">
        <f t="shared" si="2"/>
        <v>MSSB 13</v>
      </c>
      <c r="C14" s="302" t="e">
        <f t="shared" si="3"/>
        <v>#N/A</v>
      </c>
      <c r="D14" s="114" t="e">
        <f t="shared" si="4"/>
        <v>#N/A</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R14" s="286">
        <f t="shared" si="5"/>
        <v>0</v>
      </c>
      <c r="S14" s="286">
        <f t="shared" si="6"/>
        <v>0</v>
      </c>
      <c r="T14" s="286">
        <f>IF(COUNTIF(_MSSB!$E$2:$E$6,'@MSSB'!N14) = 1,1,J14)</f>
        <v>0</v>
      </c>
      <c r="U14" s="286">
        <f>IF(COUNTIF(_MSSB!$E$2:$E$6,'@MSSB'!N14) = 1,"IP65",K14)</f>
        <v>0</v>
      </c>
      <c r="V14" s="286">
        <f t="shared" si="7"/>
        <v>0</v>
      </c>
      <c r="W14" s="286">
        <f>IF(COUNTIF(_MSSB!$E$2:$E$6,'@MSSB'!N14) = 1,"MS3100",M14)</f>
        <v>0</v>
      </c>
      <c r="X14" s="286">
        <f t="shared" si="8"/>
        <v>0</v>
      </c>
      <c r="Y14" s="286">
        <f>IF(COUNTIF(_MSSB!$E$2:$E$6,'@MSSB'!N14) = 1,"N/A",O14)</f>
        <v>0</v>
      </c>
      <c r="Z14" s="114" t="str">
        <f>IF(COUNTIF(_MSSB!$E$2:$E$6,'@MSSB'!N14) = 1,_xlfn.CONCAT(X14, "mm Enclosure"),_xlfn.CONCAT(X14, " Pole MSSB"))</f>
        <v>0 Pole MSSB</v>
      </c>
      <c r="AA14" s="114" t="str">
        <f>_xlfn.CONCAT(AD14," - Electrical services for ",S14, " (", VLOOKUP(S14,Backend!C:D,2,FALSE), ") ",Z14," (Form ",T14, "-", U14, " Rated)
")</f>
        <v xml:space="preserve">2 - Electrical services for 0 (Zero) 0 Pole MSSB (Form 0-0 Rated)
</v>
      </c>
      <c r="AB14"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4" s="347" t="str">
        <f t="shared" si="0"/>
        <v/>
      </c>
      <c r="AD14" s="114">
        <f t="shared" si="10"/>
        <v>2</v>
      </c>
    </row>
    <row r="15" spans="1:30" x14ac:dyDescent="0.4">
      <c r="A15" s="319" t="str">
        <f t="shared" si="1"/>
        <v>INVALID</v>
      </c>
      <c r="B15" s="114" t="str">
        <f t="shared" si="2"/>
        <v>MSSB 14</v>
      </c>
      <c r="C15" s="302" t="e">
        <f t="shared" si="3"/>
        <v>#N/A</v>
      </c>
      <c r="D15" s="114" t="e">
        <f t="shared" si="4"/>
        <v>#N/A</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R15" s="286">
        <f t="shared" si="5"/>
        <v>0</v>
      </c>
      <c r="S15" s="286">
        <f t="shared" si="6"/>
        <v>0</v>
      </c>
      <c r="T15" s="286">
        <f>IF(COUNTIF(_MSSB!$E$2:$E$6,'@MSSB'!N15) = 1,1,J15)</f>
        <v>0</v>
      </c>
      <c r="U15" s="286">
        <f>IF(COUNTIF(_MSSB!$E$2:$E$6,'@MSSB'!N15) = 1,"IP65",K15)</f>
        <v>0</v>
      </c>
      <c r="V15" s="286">
        <f t="shared" si="7"/>
        <v>0</v>
      </c>
      <c r="W15" s="286">
        <f>IF(COUNTIF(_MSSB!$E$2:$E$6,'@MSSB'!N15) = 1,"MS3100",M15)</f>
        <v>0</v>
      </c>
      <c r="X15" s="286">
        <f t="shared" si="8"/>
        <v>0</v>
      </c>
      <c r="Y15" s="286">
        <f>IF(COUNTIF(_MSSB!$E$2:$E$6,'@MSSB'!N15) = 1,"N/A",O15)</f>
        <v>0</v>
      </c>
      <c r="Z15" s="114" t="str">
        <f>IF(COUNTIF(_MSSB!$E$2:$E$6,'@MSSB'!N15) = 1,_xlfn.CONCAT(X15, "mm Enclosure"),_xlfn.CONCAT(X15, " Pole MSSB"))</f>
        <v>0 Pole MSSB</v>
      </c>
      <c r="AA15" s="114" t="str">
        <f>_xlfn.CONCAT(AD15," - Electrical services for ",S15, " (", VLOOKUP(S15,Backend!C:D,2,FALSE), ") ",Z15," (Form ",T15, "-", U15, " Rated)
")</f>
        <v xml:space="preserve">2 - Electrical services for 0 (Zero) 0 Pole MSSB (Form 0-0 Rated)
</v>
      </c>
      <c r="AB15"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5" s="347" t="str">
        <f t="shared" si="0"/>
        <v/>
      </c>
      <c r="AD15" s="114">
        <f t="shared" si="10"/>
        <v>2</v>
      </c>
    </row>
    <row r="16" spans="1:30" x14ac:dyDescent="0.4">
      <c r="A16" s="319" t="str">
        <f t="shared" si="1"/>
        <v>INVALID</v>
      </c>
      <c r="B16" s="114" t="str">
        <f t="shared" si="2"/>
        <v>MSSB 15</v>
      </c>
      <c r="C16" s="302" t="e">
        <f t="shared" si="3"/>
        <v>#N/A</v>
      </c>
      <c r="D16" s="114" t="e">
        <f t="shared" si="4"/>
        <v>#N/A</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R16" s="286">
        <f t="shared" si="5"/>
        <v>0</v>
      </c>
      <c r="S16" s="286">
        <f t="shared" si="6"/>
        <v>0</v>
      </c>
      <c r="T16" s="286">
        <f>IF(COUNTIF(_MSSB!$E$2:$E$6,'@MSSB'!N16) = 1,1,J16)</f>
        <v>0</v>
      </c>
      <c r="U16" s="286">
        <f>IF(COUNTIF(_MSSB!$E$2:$E$6,'@MSSB'!N16) = 1,"IP65",K16)</f>
        <v>0</v>
      </c>
      <c r="V16" s="286">
        <f t="shared" si="7"/>
        <v>0</v>
      </c>
      <c r="W16" s="286">
        <f>IF(COUNTIF(_MSSB!$E$2:$E$6,'@MSSB'!N16) = 1,"MS3100",M16)</f>
        <v>0</v>
      </c>
      <c r="X16" s="286">
        <f t="shared" si="8"/>
        <v>0</v>
      </c>
      <c r="Y16" s="286">
        <f>IF(COUNTIF(_MSSB!$E$2:$E$6,'@MSSB'!N16) = 1,"N/A",O16)</f>
        <v>0</v>
      </c>
      <c r="Z16" s="114" t="str">
        <f>IF(COUNTIF(_MSSB!$E$2:$E$6,'@MSSB'!N16) = 1,_xlfn.CONCAT(X16, "mm Enclosure"),_xlfn.CONCAT(X16, " Pole MSSB"))</f>
        <v>0 Pole MSSB</v>
      </c>
      <c r="AA16" s="114" t="str">
        <f>_xlfn.CONCAT(AD16," - Electrical services for ",S16, " (", VLOOKUP(S16,Backend!C:D,2,FALSE), ") ",Z16," (Form ",T16, "-", U16, " Rated)
")</f>
        <v xml:space="preserve">2 - Electrical services for 0 (Zero) 0 Pole MSSB (Form 0-0 Rated)
</v>
      </c>
      <c r="AB16"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6" s="347" t="str">
        <f t="shared" si="0"/>
        <v/>
      </c>
      <c r="AD16" s="114">
        <f t="shared" si="10"/>
        <v>2</v>
      </c>
    </row>
    <row r="17" spans="1:30" x14ac:dyDescent="0.4">
      <c r="A17" s="319" t="str">
        <f t="shared" si="1"/>
        <v>INVALID</v>
      </c>
      <c r="B17" s="114" t="str">
        <f t="shared" si="2"/>
        <v>MSSB 16</v>
      </c>
      <c r="C17" s="302" t="e">
        <f t="shared" si="3"/>
        <v>#N/A</v>
      </c>
      <c r="D17" s="114" t="e">
        <f t="shared" si="4"/>
        <v>#N/A</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R17" s="286">
        <f t="shared" si="5"/>
        <v>0</v>
      </c>
      <c r="S17" s="286">
        <f t="shared" si="6"/>
        <v>0</v>
      </c>
      <c r="T17" s="286">
        <f>IF(COUNTIF(_MSSB!$E$2:$E$6,'@MSSB'!N17) = 1,1,J17)</f>
        <v>0</v>
      </c>
      <c r="U17" s="286">
        <f>IF(COUNTIF(_MSSB!$E$2:$E$6,'@MSSB'!N17) = 1,"IP65",K17)</f>
        <v>0</v>
      </c>
      <c r="V17" s="286">
        <f t="shared" si="7"/>
        <v>0</v>
      </c>
      <c r="W17" s="286">
        <f>IF(COUNTIF(_MSSB!$E$2:$E$6,'@MSSB'!N17) = 1,"MS3100",M17)</f>
        <v>0</v>
      </c>
      <c r="X17" s="286">
        <f t="shared" si="8"/>
        <v>0</v>
      </c>
      <c r="Y17" s="286">
        <f>IF(COUNTIF(_MSSB!$E$2:$E$6,'@MSSB'!N17) = 1,"N/A",O17)</f>
        <v>0</v>
      </c>
      <c r="Z17" s="114" t="str">
        <f>IF(COUNTIF(_MSSB!$E$2:$E$6,'@MSSB'!N17) = 1,_xlfn.CONCAT(X17, "mm Enclosure"),_xlfn.CONCAT(X17, " Pole MSSB"))</f>
        <v>0 Pole MSSB</v>
      </c>
      <c r="AA17" s="114" t="str">
        <f>_xlfn.CONCAT(AD17," - Electrical services for ",S17, " (", VLOOKUP(S17,Backend!C:D,2,FALSE), ") ",Z17," (Form ",T17, "-", U17, " Rated)
")</f>
        <v xml:space="preserve">2 - Electrical services for 0 (Zero) 0 Pole MSSB (Form 0-0 Rated)
</v>
      </c>
      <c r="AB17"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7" s="347" t="str">
        <f t="shared" si="0"/>
        <v/>
      </c>
      <c r="AD17" s="114">
        <f t="shared" si="10"/>
        <v>2</v>
      </c>
    </row>
    <row r="18" spans="1:30" x14ac:dyDescent="0.4">
      <c r="A18" s="319" t="str">
        <f t="shared" si="1"/>
        <v>INVALID</v>
      </c>
      <c r="B18" s="114" t="str">
        <f t="shared" si="2"/>
        <v>MSSB 17</v>
      </c>
      <c r="C18" s="302" t="e">
        <f t="shared" si="3"/>
        <v>#N/A</v>
      </c>
      <c r="D18" s="114" t="e">
        <f t="shared" si="4"/>
        <v>#N/A</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R18" s="286">
        <f t="shared" si="5"/>
        <v>0</v>
      </c>
      <c r="S18" s="286">
        <f t="shared" si="6"/>
        <v>0</v>
      </c>
      <c r="T18" s="286">
        <f>IF(COUNTIF(_MSSB!$E$2:$E$6,'@MSSB'!N18) = 1,1,J18)</f>
        <v>0</v>
      </c>
      <c r="U18" s="286">
        <f>IF(COUNTIF(_MSSB!$E$2:$E$6,'@MSSB'!N18) = 1,"IP65",K18)</f>
        <v>0</v>
      </c>
      <c r="V18" s="286">
        <f t="shared" si="7"/>
        <v>0</v>
      </c>
      <c r="W18" s="286">
        <f>IF(COUNTIF(_MSSB!$E$2:$E$6,'@MSSB'!N18) = 1,"MS3100",M18)</f>
        <v>0</v>
      </c>
      <c r="X18" s="286">
        <f t="shared" si="8"/>
        <v>0</v>
      </c>
      <c r="Y18" s="286">
        <f>IF(COUNTIF(_MSSB!$E$2:$E$6,'@MSSB'!N18) = 1,"N/A",O18)</f>
        <v>0</v>
      </c>
      <c r="Z18" s="114" t="str">
        <f>IF(COUNTIF(_MSSB!$E$2:$E$6,'@MSSB'!N18) = 1,_xlfn.CONCAT(X18, "mm Enclosure"),_xlfn.CONCAT(X18, " Pole MSSB"))</f>
        <v>0 Pole MSSB</v>
      </c>
      <c r="AA18" s="114" t="str">
        <f>_xlfn.CONCAT(AD18," - Electrical services for ",S18, " (", VLOOKUP(S18,Backend!C:D,2,FALSE), ") ",Z18," (Form ",T18, "-", U18, " Rated)
")</f>
        <v xml:space="preserve">2 - Electrical services for 0 (Zero) 0 Pole MSSB (Form 0-0 Rated)
</v>
      </c>
      <c r="AB18"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8" s="347" t="str">
        <f t="shared" si="0"/>
        <v/>
      </c>
      <c r="AD18" s="114">
        <f t="shared" si="10"/>
        <v>2</v>
      </c>
    </row>
    <row r="19" spans="1:30" x14ac:dyDescent="0.4">
      <c r="A19" s="319" t="str">
        <f t="shared" si="1"/>
        <v>INVALID</v>
      </c>
      <c r="B19" s="114" t="str">
        <f t="shared" si="2"/>
        <v>MSSB 18</v>
      </c>
      <c r="C19" s="302" t="e">
        <f t="shared" si="3"/>
        <v>#N/A</v>
      </c>
      <c r="D19" s="114" t="e">
        <f t="shared" si="4"/>
        <v>#N/A</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R19" s="286">
        <f t="shared" si="5"/>
        <v>0</v>
      </c>
      <c r="S19" s="286">
        <f t="shared" si="6"/>
        <v>0</v>
      </c>
      <c r="T19" s="286">
        <f>IF(COUNTIF(_MSSB!$E$2:$E$6,'@MSSB'!N19) = 1,1,J19)</f>
        <v>0</v>
      </c>
      <c r="U19" s="286">
        <f>IF(COUNTIF(_MSSB!$E$2:$E$6,'@MSSB'!N19) = 1,"IP65",K19)</f>
        <v>0</v>
      </c>
      <c r="V19" s="286">
        <f t="shared" si="7"/>
        <v>0</v>
      </c>
      <c r="W19" s="286">
        <f>IF(COUNTIF(_MSSB!$E$2:$E$6,'@MSSB'!N19) = 1,"MS3100",M19)</f>
        <v>0</v>
      </c>
      <c r="X19" s="286">
        <f t="shared" si="8"/>
        <v>0</v>
      </c>
      <c r="Y19" s="286">
        <f>IF(COUNTIF(_MSSB!$E$2:$E$6,'@MSSB'!N19) = 1,"N/A",O19)</f>
        <v>0</v>
      </c>
      <c r="Z19" s="114" t="str">
        <f>IF(COUNTIF(_MSSB!$E$2:$E$6,'@MSSB'!N19) = 1,_xlfn.CONCAT(X19, "mm Enclosure"),_xlfn.CONCAT(X19, " Pole MSSB"))</f>
        <v>0 Pole MSSB</v>
      </c>
      <c r="AA19" s="114" t="str">
        <f>_xlfn.CONCAT(AD19," - Electrical services for ",S19, " (", VLOOKUP(S19,Backend!C:D,2,FALSE), ") ",Z19," (Form ",T19, "-", U19, " Rated)
")</f>
        <v xml:space="preserve">2 - Electrical services for 0 (Zero) 0 Pole MSSB (Form 0-0 Rated)
</v>
      </c>
      <c r="AB19"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9" s="347" t="str">
        <f t="shared" si="0"/>
        <v/>
      </c>
      <c r="AD19" s="114">
        <f t="shared" si="10"/>
        <v>2</v>
      </c>
    </row>
    <row r="20" spans="1:30" x14ac:dyDescent="0.4">
      <c r="A20" s="319" t="str">
        <f t="shared" si="1"/>
        <v>INVALID</v>
      </c>
      <c r="B20" s="114" t="str">
        <f t="shared" si="2"/>
        <v>MSSB 19</v>
      </c>
      <c r="C20" s="302" t="e">
        <f t="shared" si="3"/>
        <v>#N/A</v>
      </c>
      <c r="D20" s="114" t="e">
        <f t="shared" si="4"/>
        <v>#N/A</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R20" s="286">
        <f t="shared" si="5"/>
        <v>0</v>
      </c>
      <c r="S20" s="286">
        <f t="shared" si="6"/>
        <v>0</v>
      </c>
      <c r="T20" s="286">
        <f>IF(COUNTIF(_MSSB!$E$2:$E$6,'@MSSB'!N20) = 1,1,J20)</f>
        <v>0</v>
      </c>
      <c r="U20" s="286">
        <f>IF(COUNTIF(_MSSB!$E$2:$E$6,'@MSSB'!N20) = 1,"IP65",K20)</f>
        <v>0</v>
      </c>
      <c r="V20" s="286">
        <f t="shared" si="7"/>
        <v>0</v>
      </c>
      <c r="W20" s="286">
        <f>IF(COUNTIF(_MSSB!$E$2:$E$6,'@MSSB'!N20) = 1,"MS3100",M20)</f>
        <v>0</v>
      </c>
      <c r="X20" s="286">
        <f t="shared" si="8"/>
        <v>0</v>
      </c>
      <c r="Y20" s="286">
        <f>IF(COUNTIF(_MSSB!$E$2:$E$6,'@MSSB'!N20) = 1,"N/A",O20)</f>
        <v>0</v>
      </c>
      <c r="Z20" s="114" t="str">
        <f>IF(COUNTIF(_MSSB!$E$2:$E$6,'@MSSB'!N20) = 1,_xlfn.CONCAT(X20, "mm Enclosure"),_xlfn.CONCAT(X20, " Pole MSSB"))</f>
        <v>0 Pole MSSB</v>
      </c>
      <c r="AA20" s="114" t="str">
        <f>_xlfn.CONCAT(AD20," - Electrical services for ",S20, " (", VLOOKUP(S20,Backend!C:D,2,FALSE), ") ",Z20," (Form ",T20, "-", U20, " Rated)
")</f>
        <v xml:space="preserve">2 - Electrical services for 0 (Zero) 0 Pole MSSB (Form 0-0 Rated)
</v>
      </c>
      <c r="AB20"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0" s="347" t="str">
        <f t="shared" si="0"/>
        <v/>
      </c>
      <c r="AD20" s="114">
        <f t="shared" si="10"/>
        <v>2</v>
      </c>
    </row>
    <row r="21" spans="1:30" x14ac:dyDescent="0.4">
      <c r="A21" s="319" t="str">
        <f t="shared" si="1"/>
        <v>INVALID</v>
      </c>
      <c r="B21" s="114" t="str">
        <f t="shared" si="2"/>
        <v>MSSB 20</v>
      </c>
      <c r="C21" s="302" t="e">
        <f t="shared" si="3"/>
        <v>#N/A</v>
      </c>
      <c r="D21" s="114" t="e">
        <f t="shared" si="4"/>
        <v>#N/A</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R21" s="286">
        <f t="shared" si="5"/>
        <v>0</v>
      </c>
      <c r="S21" s="286">
        <f t="shared" si="6"/>
        <v>0</v>
      </c>
      <c r="T21" s="286">
        <f>IF(COUNTIF(_MSSB!$E$2:$E$6,'@MSSB'!N21) = 1,1,J21)</f>
        <v>0</v>
      </c>
      <c r="U21" s="286">
        <f>IF(COUNTIF(_MSSB!$E$2:$E$6,'@MSSB'!N21) = 1,"IP65",K21)</f>
        <v>0</v>
      </c>
      <c r="V21" s="286">
        <f t="shared" si="7"/>
        <v>0</v>
      </c>
      <c r="W21" s="286">
        <f>IF(COUNTIF(_MSSB!$E$2:$E$6,'@MSSB'!N21) = 1,"MS3100",M21)</f>
        <v>0</v>
      </c>
      <c r="X21" s="286">
        <f t="shared" si="8"/>
        <v>0</v>
      </c>
      <c r="Y21" s="286">
        <f>IF(COUNTIF(_MSSB!$E$2:$E$6,'@MSSB'!N21) = 1,"N/A",O21)</f>
        <v>0</v>
      </c>
      <c r="Z21" s="114" t="str">
        <f>IF(COUNTIF(_MSSB!$E$2:$E$6,'@MSSB'!N21) = 1,_xlfn.CONCAT(X21, "mm Enclosure"),_xlfn.CONCAT(X21, " Pole MSSB"))</f>
        <v>0 Pole MSSB</v>
      </c>
      <c r="AA21" s="114" t="str">
        <f>_xlfn.CONCAT(AD21," - Electrical services for ",S21, " (", VLOOKUP(S21,Backend!C:D,2,FALSE), ") ",Z21," (Form ",T21, "-", U21, " Rated)
")</f>
        <v xml:space="preserve">2 - Electrical services for 0 (Zero) 0 Pole MSSB (Form 0-0 Rated)
</v>
      </c>
      <c r="AB21"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1" s="347" t="str">
        <f t="shared" si="0"/>
        <v/>
      </c>
      <c r="AD21" s="114">
        <f t="shared" si="10"/>
        <v>2</v>
      </c>
    </row>
    <row r="22" spans="1:30" x14ac:dyDescent="0.4">
      <c r="A22" s="319" t="str">
        <f t="shared" si="1"/>
        <v>INVALID</v>
      </c>
      <c r="B22" s="114" t="str">
        <f t="shared" si="2"/>
        <v>MSSB 21</v>
      </c>
      <c r="C22" s="302" t="e">
        <f t="shared" si="3"/>
        <v>#N/A</v>
      </c>
      <c r="D22" s="114" t="e">
        <f t="shared" si="4"/>
        <v>#N/A</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R22" s="286">
        <f t="shared" si="5"/>
        <v>0</v>
      </c>
      <c r="S22" s="286">
        <f t="shared" si="6"/>
        <v>0</v>
      </c>
      <c r="T22" s="286">
        <f>IF(COUNTIF(_MSSB!$E$2:$E$6,'@MSSB'!N22) = 1,1,J22)</f>
        <v>0</v>
      </c>
      <c r="U22" s="286">
        <f>IF(COUNTIF(_MSSB!$E$2:$E$6,'@MSSB'!N22) = 1,"IP65",K22)</f>
        <v>0</v>
      </c>
      <c r="V22" s="286">
        <f t="shared" si="7"/>
        <v>0</v>
      </c>
      <c r="W22" s="286">
        <f>IF(COUNTIF(_MSSB!$E$2:$E$6,'@MSSB'!N22) = 1,"MS3100",M22)</f>
        <v>0</v>
      </c>
      <c r="X22" s="286">
        <f t="shared" si="8"/>
        <v>0</v>
      </c>
      <c r="Y22" s="286">
        <f>IF(COUNTIF(_MSSB!$E$2:$E$6,'@MSSB'!N22) = 1,"N/A",O22)</f>
        <v>0</v>
      </c>
      <c r="Z22" s="114" t="str">
        <f>IF(COUNTIF(_MSSB!$E$2:$E$6,'@MSSB'!N22) = 1,_xlfn.CONCAT(X22, "mm Enclosure"),_xlfn.CONCAT(X22, " Pole MSSB"))</f>
        <v>0 Pole MSSB</v>
      </c>
      <c r="AA22" s="114" t="str">
        <f>_xlfn.CONCAT(AD22," - Electrical services for ",S22, " (", VLOOKUP(S22,Backend!C:D,2,FALSE), ") ",Z22," (Form ",T22, "-", U22, " Rated)
")</f>
        <v xml:space="preserve">2 - Electrical services for 0 (Zero) 0 Pole MSSB (Form 0-0 Rated)
</v>
      </c>
      <c r="AB22"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2" s="347" t="str">
        <f t="shared" si="0"/>
        <v/>
      </c>
      <c r="AD22" s="114">
        <f t="shared" si="10"/>
        <v>2</v>
      </c>
    </row>
    <row r="23" spans="1:30" x14ac:dyDescent="0.4">
      <c r="Y23" s="286"/>
    </row>
    <row r="24" spans="1:30" x14ac:dyDescent="0.4">
      <c r="Y24" s="286"/>
    </row>
  </sheetData>
  <conditionalFormatting sqref="A2:A22">
    <cfRule type="cellIs" dxfId="14" priority="2" operator="equal">
      <formula>"INVALID"</formula>
    </cfRule>
    <cfRule type="cellIs" dxfId="13" priority="3" operator="equal">
      <formula>"VALID"</formula>
    </cfRule>
  </conditionalFormatting>
  <conditionalFormatting sqref="J2:O22">
    <cfRule type="cellIs" dxfId="12" priority="1" operator="equal">
      <formula>$ZU$2</formula>
    </cfRule>
  </conditionalFormatting>
  <dataValidations disablePrompts="1" count="1">
    <dataValidation type="decimal" operator="greaterThanOrEqual" allowBlank="1" showInputMessage="1" showErrorMessage="1" promptTitle="[OVERRIDE] Hours" prompt="Override the default hours for the unit_x000a_" sqref="H2:H22" xr:uid="{F27659E8-A3F6-486E-947F-9853597E7B8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6">
        <x14:dataValidation type="list" allowBlank="1" showInputMessage="1" showErrorMessage="1" promptTitle="Form" prompt="{1,2,3}" xr:uid="{EB469CF5-3447-4F9A-ACA0-8A4723264920}">
          <x14:formula1>
            <xm:f>_MSSB!$A$2:$A$4</xm:f>
          </x14:formula1>
          <xm:sqref>J2:J22</xm:sqref>
        </x14:dataValidation>
        <x14:dataValidation type="list" allowBlank="1" showInputMessage="1" showErrorMessage="1" promptTitle="Colour" xr:uid="{6A4630C6-FC77-46DD-920D-5E034CCFDBCA}">
          <x14:formula1>
            <xm:f>_MSSB!$C$2:$C$3</xm:f>
          </x14:formula1>
          <xm:sqref>L2:L22</xm:sqref>
        </x14:dataValidation>
        <x14:dataValidation type="list" allowBlank="1" showInputMessage="1" showErrorMessage="1" promptTitle="250/400" xr:uid="{E80D74AB-CA72-4823-98CA-8DE885B91C0F}">
          <x14:formula1>
            <xm:f>_MSSB!$D$2:$D$3</xm:f>
          </x14:formula1>
          <xm:sqref>M2:M22</xm:sqref>
        </x14:dataValidation>
        <x14:dataValidation type="list" allowBlank="1" showInputMessage="1" showErrorMessage="1" promptTitle="Non-Auto/MCCB" prompt="For enclosures: N/A_x000a_For standard mech elec: Non-Auto_x000a_MCCB: For motor control (QIE, not IAC)" xr:uid="{F863E855-0753-4C0F-8468-3D7494F9704B}">
          <x14:formula1>
            <xm:f>_MSSB!$F$2:$F$3</xm:f>
          </x14:formula1>
          <xm:sqref>O2:O22</xm:sqref>
        </x14:dataValidation>
        <x14:dataValidation type="list" allowBlank="1" showInputMessage="1" showErrorMessage="1" promptTitle="IP Rating" xr:uid="{062BCE55-C65A-49BB-9930-77957D54DF70}">
          <x14:formula1>
            <xm:f>_MSSB!$B$2:$B$4</xm:f>
          </x14:formula1>
          <xm:sqref>K2:K22</xm:sqref>
        </x14:dataValidation>
        <x14:dataValidation type="list" allowBlank="1" showInputMessage="1" showErrorMessage="1" promptTitle="Poles or Dimensions" prompt="For MSSB/Distribution boards specify the number of poles_x000a_For enclosures specify the dimesions" xr:uid="{F78822B2-A86B-49D4-BF8A-D5829D8F5BF3}">
          <x14:formula1>
            <xm:f>_MSSB!$E$2:$E$11</xm:f>
          </x14:formula1>
          <xm:sqref>N2:N22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775B-D8B8-4AC2-88B4-44F4F2E5D68D}">
  <dimension ref="A1:Q92"/>
  <sheetViews>
    <sheetView workbookViewId="0">
      <selection activeCell="M34" sqref="M34"/>
    </sheetView>
  </sheetViews>
  <sheetFormatPr defaultRowHeight="14.6" x14ac:dyDescent="0.4"/>
  <cols>
    <col min="11" max="11" width="9.23046875" style="315"/>
    <col min="13" max="13" width="30.3046875" customWidth="1"/>
    <col min="16" max="17" width="20.61328125" customWidth="1"/>
  </cols>
  <sheetData>
    <row r="1" spans="1:17" ht="43.75" x14ac:dyDescent="0.4">
      <c r="A1" s="33" t="s">
        <v>841</v>
      </c>
      <c r="B1" s="33" t="s">
        <v>842</v>
      </c>
      <c r="C1" s="33" t="s">
        <v>843</v>
      </c>
      <c r="D1" s="33" t="s">
        <v>844</v>
      </c>
      <c r="E1" s="33" t="s">
        <v>845</v>
      </c>
      <c r="F1" s="321" t="s">
        <v>873</v>
      </c>
      <c r="G1" s="33" t="s">
        <v>868</v>
      </c>
      <c r="H1" s="114" t="str">
        <f>C1</f>
        <v>Colour</v>
      </c>
      <c r="I1" t="s">
        <v>867</v>
      </c>
      <c r="J1" s="33" t="s">
        <v>880</v>
      </c>
      <c r="K1" s="315" t="s">
        <v>870</v>
      </c>
      <c r="L1" s="33" t="s">
        <v>825</v>
      </c>
      <c r="P1" t="str">
        <f>J1</f>
        <v>IGOC</v>
      </c>
      <c r="Q1" t="str">
        <f>L1</f>
        <v>Dore</v>
      </c>
    </row>
    <row r="2" spans="1:17" x14ac:dyDescent="0.4">
      <c r="A2">
        <v>1</v>
      </c>
      <c r="B2" t="s">
        <v>864</v>
      </c>
      <c r="C2" t="s">
        <v>846</v>
      </c>
      <c r="D2">
        <v>250</v>
      </c>
      <c r="E2" t="s">
        <v>854</v>
      </c>
      <c r="F2" t="s">
        <v>874</v>
      </c>
      <c r="H2" s="114" t="s">
        <v>846</v>
      </c>
      <c r="I2" s="114" t="s">
        <v>854</v>
      </c>
      <c r="J2" s="324" t="str">
        <f>_xlfn.CONCAT("EN",IF(I2=$E$2,46,IF(I2=$E$3,66,IF(I2=$E$4,68,IF(I2=$E$5,88,810)))),IF(H2="Orange","-O","-G"))</f>
        <v>EN46-O</v>
      </c>
      <c r="K2" s="315" t="s">
        <v>872</v>
      </c>
      <c r="L2" t="s">
        <v>861</v>
      </c>
      <c r="P2" s="114" t="str">
        <f t="shared" ref="P2:P11" si="0">J2</f>
        <v>EN46-O</v>
      </c>
      <c r="Q2" s="114" t="str">
        <f t="shared" ref="Q2:Q11" si="1">L2</f>
        <v>MBO4620</v>
      </c>
    </row>
    <row r="3" spans="1:17" x14ac:dyDescent="0.4">
      <c r="A3">
        <v>2</v>
      </c>
      <c r="B3" t="s">
        <v>877</v>
      </c>
      <c r="C3" t="s">
        <v>847</v>
      </c>
      <c r="D3">
        <v>400</v>
      </c>
      <c r="E3" t="s">
        <v>851</v>
      </c>
      <c r="F3" t="s">
        <v>875</v>
      </c>
      <c r="H3" s="114" t="s">
        <v>846</v>
      </c>
      <c r="I3" s="114" t="s">
        <v>851</v>
      </c>
      <c r="J3" s="324" t="str">
        <f t="shared" ref="J3:J11" si="2">_xlfn.CONCAT("EN",IF(I3=$E$2,46,IF(I3=$E$3,66,IF(I3=$E$4,68,IF(I3=$E$5,88,810)))),IF(H3="Orange","-O","-G"))</f>
        <v>EN66-O</v>
      </c>
      <c r="K3" s="315" t="s">
        <v>872</v>
      </c>
      <c r="L3" t="s">
        <v>756</v>
      </c>
      <c r="P3" s="114" t="str">
        <f t="shared" si="0"/>
        <v>EN66-O</v>
      </c>
      <c r="Q3" s="114" t="str">
        <f t="shared" si="1"/>
        <v>MBO6620</v>
      </c>
    </row>
    <row r="4" spans="1:17" x14ac:dyDescent="0.4">
      <c r="A4">
        <v>3</v>
      </c>
      <c r="B4" t="s">
        <v>878</v>
      </c>
      <c r="E4" t="s">
        <v>852</v>
      </c>
      <c r="H4" s="114" t="s">
        <v>846</v>
      </c>
      <c r="I4" s="114" t="s">
        <v>852</v>
      </c>
      <c r="J4" s="324" t="str">
        <f t="shared" si="2"/>
        <v>EN68-O</v>
      </c>
      <c r="K4" s="315" t="s">
        <v>872</v>
      </c>
      <c r="L4" t="s">
        <v>862</v>
      </c>
      <c r="P4" s="114" t="str">
        <f t="shared" si="0"/>
        <v>EN68-O</v>
      </c>
      <c r="Q4" s="114" t="str">
        <f t="shared" si="1"/>
        <v>MBO6825</v>
      </c>
    </row>
    <row r="5" spans="1:17" x14ac:dyDescent="0.4">
      <c r="A5" t="s">
        <v>865</v>
      </c>
      <c r="E5" t="s">
        <v>853</v>
      </c>
      <c r="H5" s="114" t="s">
        <v>846</v>
      </c>
      <c r="I5" s="114" t="s">
        <v>853</v>
      </c>
      <c r="J5" s="324" t="str">
        <f t="shared" si="2"/>
        <v>EN88-O</v>
      </c>
      <c r="K5" s="315" t="s">
        <v>871</v>
      </c>
      <c r="L5" t="s">
        <v>863</v>
      </c>
      <c r="P5" s="114" t="str">
        <f t="shared" si="0"/>
        <v>EN88-O</v>
      </c>
      <c r="Q5" s="114" t="str">
        <f t="shared" si="1"/>
        <v>N/A</v>
      </c>
    </row>
    <row r="6" spans="1:17" x14ac:dyDescent="0.4">
      <c r="E6" t="s">
        <v>856</v>
      </c>
      <c r="H6" s="114" t="s">
        <v>846</v>
      </c>
      <c r="I6" s="114" t="s">
        <v>856</v>
      </c>
      <c r="J6" s="324" t="str">
        <f t="shared" si="2"/>
        <v>EN810-O</v>
      </c>
      <c r="K6" s="315" t="s">
        <v>872</v>
      </c>
      <c r="L6" t="s">
        <v>855</v>
      </c>
      <c r="P6" s="114" t="str">
        <f t="shared" si="0"/>
        <v>EN810-O</v>
      </c>
      <c r="Q6" s="114" t="str">
        <f t="shared" si="1"/>
        <v>MB81030</v>
      </c>
    </row>
    <row r="7" spans="1:17" x14ac:dyDescent="0.4">
      <c r="E7">
        <v>24</v>
      </c>
      <c r="H7" s="114" t="s">
        <v>847</v>
      </c>
      <c r="I7" s="114" t="s">
        <v>854</v>
      </c>
      <c r="J7" s="324" t="str">
        <f t="shared" si="2"/>
        <v>EN46-G</v>
      </c>
      <c r="K7" s="315" t="s">
        <v>872</v>
      </c>
      <c r="L7" t="s">
        <v>860</v>
      </c>
      <c r="P7" s="114" t="str">
        <f t="shared" si="0"/>
        <v>EN46-G</v>
      </c>
      <c r="Q7" s="114" t="str">
        <f t="shared" si="1"/>
        <v>MB4620</v>
      </c>
    </row>
    <row r="8" spans="1:17" x14ac:dyDescent="0.4">
      <c r="E8">
        <v>36</v>
      </c>
      <c r="H8" s="114" t="s">
        <v>847</v>
      </c>
      <c r="I8" s="114" t="s">
        <v>851</v>
      </c>
      <c r="J8" s="324" t="str">
        <f t="shared" si="2"/>
        <v>EN66-G</v>
      </c>
      <c r="K8" s="315" t="s">
        <v>872</v>
      </c>
      <c r="L8" t="s">
        <v>859</v>
      </c>
      <c r="P8" s="114" t="str">
        <f t="shared" si="0"/>
        <v>EN66-G</v>
      </c>
      <c r="Q8" s="114" t="str">
        <f t="shared" si="1"/>
        <v>MB6630</v>
      </c>
    </row>
    <row r="9" spans="1:17" x14ac:dyDescent="0.4">
      <c r="E9">
        <v>48</v>
      </c>
      <c r="H9" s="114" t="s">
        <v>847</v>
      </c>
      <c r="I9" s="114" t="s">
        <v>852</v>
      </c>
      <c r="J9" s="324" t="str">
        <f t="shared" si="2"/>
        <v>EN68-G</v>
      </c>
      <c r="K9" s="315" t="s">
        <v>872</v>
      </c>
      <c r="L9" t="s">
        <v>858</v>
      </c>
      <c r="P9" s="114" t="str">
        <f t="shared" si="0"/>
        <v>EN68-G</v>
      </c>
      <c r="Q9" s="114" t="str">
        <f t="shared" si="1"/>
        <v>MB6830</v>
      </c>
    </row>
    <row r="10" spans="1:17" x14ac:dyDescent="0.4">
      <c r="E10">
        <v>60</v>
      </c>
      <c r="H10" s="114" t="s">
        <v>847</v>
      </c>
      <c r="I10" s="114" t="s">
        <v>853</v>
      </c>
      <c r="J10" s="324" t="str">
        <f t="shared" si="2"/>
        <v>EN88-G</v>
      </c>
      <c r="K10" s="315" t="s">
        <v>872</v>
      </c>
      <c r="L10" t="s">
        <v>857</v>
      </c>
      <c r="P10" s="114" t="str">
        <f t="shared" si="0"/>
        <v>EN88-G</v>
      </c>
      <c r="Q10" s="114" t="str">
        <f t="shared" si="1"/>
        <v>MB8830</v>
      </c>
    </row>
    <row r="11" spans="1:17" x14ac:dyDescent="0.4">
      <c r="E11">
        <v>72</v>
      </c>
      <c r="H11" s="114" t="s">
        <v>847</v>
      </c>
      <c r="I11" s="114" t="s">
        <v>856</v>
      </c>
      <c r="J11" s="324" t="str">
        <f t="shared" si="2"/>
        <v>EN810-G</v>
      </c>
      <c r="K11" s="315" t="s">
        <v>872</v>
      </c>
      <c r="L11" t="s">
        <v>855</v>
      </c>
      <c r="P11" s="114" t="str">
        <f t="shared" si="0"/>
        <v>EN810-G</v>
      </c>
      <c r="Q11" s="114" t="str">
        <f t="shared" si="1"/>
        <v>MB81030</v>
      </c>
    </row>
    <row r="12" spans="1:17" x14ac:dyDescent="0.4">
      <c r="M12" s="33"/>
      <c r="N12" s="33"/>
    </row>
    <row r="13" spans="1:17" x14ac:dyDescent="0.4">
      <c r="A13" s="33" t="s">
        <v>883</v>
      </c>
      <c r="G13" t="s">
        <v>876</v>
      </c>
      <c r="H13" t="s">
        <v>846</v>
      </c>
      <c r="I13">
        <f>D2</f>
        <v>250</v>
      </c>
      <c r="J13">
        <v>24</v>
      </c>
      <c r="K13" s="315" t="str">
        <f>F2</f>
        <v>Non-Auto</v>
      </c>
      <c r="L13" s="114" t="s">
        <v>877</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P76" si="3">M13</f>
        <v>DB24-2-42-O</v>
      </c>
      <c r="Q13" s="114" t="str">
        <f t="shared" ref="Q13:Q76" si="4">N13</f>
        <v>EUR-MDB24OR</v>
      </c>
    </row>
    <row r="14" spans="1:17" x14ac:dyDescent="0.4">
      <c r="A14" t="s">
        <v>865</v>
      </c>
      <c r="B14" t="s">
        <v>882</v>
      </c>
      <c r="H14" s="114" t="s">
        <v>846</v>
      </c>
      <c r="I14">
        <f>D2</f>
        <v>250</v>
      </c>
      <c r="J14">
        <v>24</v>
      </c>
      <c r="K14" s="315" t="str">
        <f>F3</f>
        <v>MCCB</v>
      </c>
      <c r="L14" s="114" t="s">
        <v>877</v>
      </c>
      <c r="M14" s="114" t="str">
        <f t="shared" ref="M14:M77" si="5">_xlfn.CONCAT("DB",J14,"-",IF(I14=250,"2-","4-"),IF(L14="IP42",42,56),IF(H14="Orange","-O","-G"),IF(K14="Non-Auto","","-M"))</f>
        <v>DB24-2-42-O-M</v>
      </c>
      <c r="N14" s="114" t="str">
        <f t="shared" ref="N14:N77" si="6">_xlfn.CONCAT("EUR-MDB",J14,IF(H14="Orange","O","G"),IF(I14=250,IF(K14="Non-Auto",IF(H14="Orange","R",""),"2MC"),IF(K14="Non-Auto","4NA","4MC")),IF(L14="IP42","",IF(AND(K14="Non-Auto",I14=250),"/WP","WP")))</f>
        <v>EUR-MDB24O2MC</v>
      </c>
      <c r="P14" s="114" t="str">
        <f t="shared" si="3"/>
        <v>DB24-2-42-O-M</v>
      </c>
      <c r="Q14" s="114" t="str">
        <f t="shared" si="4"/>
        <v>EUR-MDB24O2MC</v>
      </c>
    </row>
    <row r="15" spans="1:17" x14ac:dyDescent="0.4">
      <c r="A15" t="s">
        <v>881</v>
      </c>
      <c r="B15" t="s">
        <v>884</v>
      </c>
      <c r="H15" t="s">
        <v>846</v>
      </c>
      <c r="I15">
        <f>D2</f>
        <v>250</v>
      </c>
      <c r="J15">
        <v>36</v>
      </c>
      <c r="K15" s="315" t="s">
        <v>874</v>
      </c>
      <c r="L15" s="114" t="s">
        <v>877</v>
      </c>
      <c r="M15" s="114" t="str">
        <f t="shared" si="5"/>
        <v>DB36-2-42-O</v>
      </c>
      <c r="N15" s="114" t="str">
        <f t="shared" si="6"/>
        <v>EUR-MDB36OR</v>
      </c>
      <c r="P15" s="114" t="str">
        <f t="shared" si="3"/>
        <v>DB36-2-42-O</v>
      </c>
      <c r="Q15" s="114" t="str">
        <f t="shared" si="4"/>
        <v>EUR-MDB36OR</v>
      </c>
    </row>
    <row r="16" spans="1:17" x14ac:dyDescent="0.4">
      <c r="H16" t="s">
        <v>846</v>
      </c>
      <c r="I16">
        <f>D2</f>
        <v>250</v>
      </c>
      <c r="J16">
        <v>36</v>
      </c>
      <c r="K16" s="315" t="s">
        <v>875</v>
      </c>
      <c r="L16" s="114" t="s">
        <v>877</v>
      </c>
      <c r="M16" s="114" t="str">
        <f t="shared" si="5"/>
        <v>DB36-2-42-O-M</v>
      </c>
      <c r="N16" s="114" t="str">
        <f t="shared" si="6"/>
        <v>EUR-MDB36O2MC</v>
      </c>
      <c r="P16" s="114" t="str">
        <f t="shared" si="3"/>
        <v>DB36-2-42-O-M</v>
      </c>
      <c r="Q16" s="114" t="str">
        <f t="shared" si="4"/>
        <v>EUR-MDB36O2MC</v>
      </c>
    </row>
    <row r="17" spans="8:17" x14ac:dyDescent="0.4">
      <c r="H17" t="s">
        <v>846</v>
      </c>
      <c r="I17">
        <f>D2</f>
        <v>250</v>
      </c>
      <c r="J17">
        <f>E9</f>
        <v>48</v>
      </c>
      <c r="K17" s="315" t="str">
        <f>K15</f>
        <v>Non-Auto</v>
      </c>
      <c r="L17" s="114" t="s">
        <v>877</v>
      </c>
      <c r="M17" s="114" t="str">
        <f t="shared" si="5"/>
        <v>DB48-2-42-O</v>
      </c>
      <c r="N17" s="114" t="str">
        <f t="shared" si="6"/>
        <v>EUR-MDB48OR</v>
      </c>
      <c r="P17" s="114" t="str">
        <f t="shared" si="3"/>
        <v>DB48-2-42-O</v>
      </c>
      <c r="Q17" s="114" t="str">
        <f t="shared" si="4"/>
        <v>EUR-MDB48OR</v>
      </c>
    </row>
    <row r="18" spans="8:17" x14ac:dyDescent="0.4">
      <c r="H18" t="s">
        <v>846</v>
      </c>
      <c r="I18">
        <f>D2</f>
        <v>250</v>
      </c>
      <c r="J18">
        <f>E9</f>
        <v>48</v>
      </c>
      <c r="K18" s="315" t="str">
        <f>K16</f>
        <v>MCCB</v>
      </c>
      <c r="L18" s="114" t="s">
        <v>877</v>
      </c>
      <c r="M18" s="114" t="str">
        <f t="shared" si="5"/>
        <v>DB48-2-42-O-M</v>
      </c>
      <c r="N18" s="114" t="str">
        <f t="shared" si="6"/>
        <v>EUR-MDB48O2MC</v>
      </c>
      <c r="P18" s="114" t="str">
        <f t="shared" si="3"/>
        <v>DB48-2-42-O-M</v>
      </c>
      <c r="Q18" s="114" t="str">
        <f t="shared" si="4"/>
        <v>EUR-MDB48O2MC</v>
      </c>
    </row>
    <row r="19" spans="8:17" x14ac:dyDescent="0.4">
      <c r="H19" t="str">
        <f>H18</f>
        <v>Orange</v>
      </c>
      <c r="I19">
        <f>I18</f>
        <v>250</v>
      </c>
      <c r="J19" s="114">
        <v>60</v>
      </c>
      <c r="K19" s="315" t="str">
        <f>K17</f>
        <v>Non-Auto</v>
      </c>
      <c r="L19" s="114" t="str">
        <f>L18</f>
        <v>IP42</v>
      </c>
      <c r="M19" s="114" t="str">
        <f t="shared" si="5"/>
        <v>DB60-2-42-O</v>
      </c>
      <c r="N19" s="114" t="str">
        <f t="shared" si="6"/>
        <v>EUR-MDB60OR</v>
      </c>
      <c r="P19" s="114" t="str">
        <f t="shared" si="3"/>
        <v>DB60-2-42-O</v>
      </c>
      <c r="Q19" s="114" t="str">
        <f t="shared" si="4"/>
        <v>EUR-MDB60OR</v>
      </c>
    </row>
    <row r="20" spans="8:17" x14ac:dyDescent="0.4">
      <c r="H20" s="114" t="str">
        <f t="shared" ref="H20:H22" si="7">H19</f>
        <v>Orange</v>
      </c>
      <c r="I20" s="114">
        <f t="shared" ref="I20:I22" si="8">I19</f>
        <v>250</v>
      </c>
      <c r="J20" s="114">
        <v>60</v>
      </c>
      <c r="K20" s="315" t="str">
        <f t="shared" ref="K20:K22" si="9">K18</f>
        <v>MCCB</v>
      </c>
      <c r="L20" s="114" t="str">
        <f t="shared" ref="L20:L22" si="10">L19</f>
        <v>IP42</v>
      </c>
      <c r="M20" s="114" t="str">
        <f t="shared" si="5"/>
        <v>DB60-2-42-O-M</v>
      </c>
      <c r="N20" s="114" t="str">
        <f t="shared" si="6"/>
        <v>EUR-MDB60O2MC</v>
      </c>
      <c r="P20" s="114" t="str">
        <f t="shared" si="3"/>
        <v>DB60-2-42-O-M</v>
      </c>
      <c r="Q20" s="114" t="str">
        <f t="shared" si="4"/>
        <v>EUR-MDB60O2MC</v>
      </c>
    </row>
    <row r="21" spans="8:17" x14ac:dyDescent="0.4">
      <c r="H21" s="114" t="str">
        <f t="shared" si="7"/>
        <v>Orange</v>
      </c>
      <c r="I21" s="114">
        <f t="shared" si="8"/>
        <v>250</v>
      </c>
      <c r="J21" s="114">
        <v>72</v>
      </c>
      <c r="K21" s="315" t="str">
        <f t="shared" si="9"/>
        <v>Non-Auto</v>
      </c>
      <c r="L21" s="114" t="str">
        <f t="shared" si="10"/>
        <v>IP42</v>
      </c>
      <c r="M21" s="114" t="str">
        <f t="shared" si="5"/>
        <v>DB72-2-42-O</v>
      </c>
      <c r="N21" s="114" t="str">
        <f t="shared" si="6"/>
        <v>EUR-MDB72OR</v>
      </c>
      <c r="P21" s="114" t="str">
        <f t="shared" si="3"/>
        <v>DB72-2-42-O</v>
      </c>
      <c r="Q21" s="114" t="str">
        <f t="shared" si="4"/>
        <v>EUR-MDB72OR</v>
      </c>
    </row>
    <row r="22" spans="8:17" x14ac:dyDescent="0.4">
      <c r="H22" s="114" t="str">
        <f t="shared" si="7"/>
        <v>Orange</v>
      </c>
      <c r="I22" s="114">
        <f t="shared" si="8"/>
        <v>250</v>
      </c>
      <c r="J22" s="114">
        <v>72</v>
      </c>
      <c r="K22" s="315" t="str">
        <f t="shared" si="9"/>
        <v>MCCB</v>
      </c>
      <c r="L22" s="114" t="str">
        <f t="shared" si="10"/>
        <v>IP42</v>
      </c>
      <c r="M22" s="114" t="str">
        <f t="shared" si="5"/>
        <v>DB72-2-42-O-M</v>
      </c>
      <c r="N22" s="114" t="str">
        <f t="shared" si="6"/>
        <v>EUR-MDB72O2MC</v>
      </c>
      <c r="P22" s="114" t="str">
        <f t="shared" si="3"/>
        <v>DB72-2-42-O-M</v>
      </c>
      <c r="Q22" s="114" t="str">
        <f t="shared" si="4"/>
        <v>EUR-MDB72O2MC</v>
      </c>
    </row>
    <row r="23" spans="8:17" x14ac:dyDescent="0.4">
      <c r="H23" t="s">
        <v>846</v>
      </c>
      <c r="I23" s="114">
        <v>250</v>
      </c>
      <c r="J23" s="114">
        <v>24</v>
      </c>
      <c r="K23" s="315" t="s">
        <v>874</v>
      </c>
      <c r="L23" s="114" t="s">
        <v>878</v>
      </c>
      <c r="M23" s="114" t="str">
        <f t="shared" si="5"/>
        <v>DB24-2-56-O</v>
      </c>
      <c r="N23" s="114" t="str">
        <f t="shared" si="6"/>
        <v>EUR-MDB24OR/WP</v>
      </c>
      <c r="P23" s="114" t="str">
        <f t="shared" si="3"/>
        <v>DB24-2-56-O</v>
      </c>
      <c r="Q23" s="114" t="str">
        <f t="shared" si="4"/>
        <v>EUR-MDB24OR/WP</v>
      </c>
    </row>
    <row r="24" spans="8:17" x14ac:dyDescent="0.4">
      <c r="H24" t="s">
        <v>846</v>
      </c>
      <c r="I24" s="114">
        <v>250</v>
      </c>
      <c r="J24" s="114">
        <v>24</v>
      </c>
      <c r="K24" s="315" t="s">
        <v>875</v>
      </c>
      <c r="L24" s="114" t="s">
        <v>878</v>
      </c>
      <c r="M24" s="114" t="str">
        <f t="shared" si="5"/>
        <v>DB24-2-56-O-M</v>
      </c>
      <c r="N24" s="114" t="str">
        <f t="shared" si="6"/>
        <v>EUR-MDB24O2MCWP</v>
      </c>
      <c r="P24" s="114" t="str">
        <f t="shared" si="3"/>
        <v>DB24-2-56-O-M</v>
      </c>
      <c r="Q24" s="114" t="str">
        <f t="shared" si="4"/>
        <v>EUR-MDB24O2MCWP</v>
      </c>
    </row>
    <row r="25" spans="8:17" x14ac:dyDescent="0.4">
      <c r="H25" t="s">
        <v>846</v>
      </c>
      <c r="I25" s="114">
        <v>250</v>
      </c>
      <c r="J25" s="114">
        <v>36</v>
      </c>
      <c r="K25" s="315" t="s">
        <v>874</v>
      </c>
      <c r="L25" s="114" t="s">
        <v>878</v>
      </c>
      <c r="M25" s="114" t="str">
        <f t="shared" si="5"/>
        <v>DB36-2-56-O</v>
      </c>
      <c r="N25" s="114" t="str">
        <f t="shared" si="6"/>
        <v>EUR-MDB36OR/WP</v>
      </c>
      <c r="P25" s="114" t="str">
        <f t="shared" si="3"/>
        <v>DB36-2-56-O</v>
      </c>
      <c r="Q25" s="114" t="str">
        <f t="shared" si="4"/>
        <v>EUR-MDB36OR/WP</v>
      </c>
    </row>
    <row r="26" spans="8:17" x14ac:dyDescent="0.4">
      <c r="H26" t="s">
        <v>846</v>
      </c>
      <c r="I26" s="114">
        <v>250</v>
      </c>
      <c r="J26" s="114">
        <v>36</v>
      </c>
      <c r="K26" s="315" t="s">
        <v>875</v>
      </c>
      <c r="L26" s="114" t="s">
        <v>878</v>
      </c>
      <c r="M26" s="114" t="str">
        <f t="shared" si="5"/>
        <v>DB36-2-56-O-M</v>
      </c>
      <c r="N26" s="114" t="str">
        <f t="shared" si="6"/>
        <v>EUR-MDB36O2MCWP</v>
      </c>
      <c r="P26" s="114" t="str">
        <f t="shared" si="3"/>
        <v>DB36-2-56-O-M</v>
      </c>
      <c r="Q26" s="114" t="str">
        <f t="shared" si="4"/>
        <v>EUR-MDB36O2MCWP</v>
      </c>
    </row>
    <row r="27" spans="8:17" x14ac:dyDescent="0.4">
      <c r="H27" t="s">
        <v>846</v>
      </c>
      <c r="I27" s="114">
        <v>250</v>
      </c>
      <c r="J27" s="114">
        <v>48</v>
      </c>
      <c r="K27" s="315" t="s">
        <v>874</v>
      </c>
      <c r="L27" s="114" t="s">
        <v>878</v>
      </c>
      <c r="M27" s="114" t="str">
        <f t="shared" si="5"/>
        <v>DB48-2-56-O</v>
      </c>
      <c r="N27" s="114" t="str">
        <f t="shared" si="6"/>
        <v>EUR-MDB48OR/WP</v>
      </c>
      <c r="P27" s="114" t="str">
        <f t="shared" si="3"/>
        <v>DB48-2-56-O</v>
      </c>
      <c r="Q27" s="114" t="str">
        <f t="shared" si="4"/>
        <v>EUR-MDB48OR/WP</v>
      </c>
    </row>
    <row r="28" spans="8:17" x14ac:dyDescent="0.4">
      <c r="H28" t="s">
        <v>846</v>
      </c>
      <c r="I28" s="114">
        <v>250</v>
      </c>
      <c r="J28" s="114">
        <v>48</v>
      </c>
      <c r="K28" s="315" t="s">
        <v>875</v>
      </c>
      <c r="L28" s="114" t="s">
        <v>878</v>
      </c>
      <c r="M28" s="114" t="str">
        <f t="shared" si="5"/>
        <v>DB48-2-56-O-M</v>
      </c>
      <c r="N28" s="114" t="str">
        <f t="shared" si="6"/>
        <v>EUR-MDB48O2MCWP</v>
      </c>
      <c r="P28" s="114" t="str">
        <f t="shared" si="3"/>
        <v>DB48-2-56-O-M</v>
      </c>
      <c r="Q28" s="114" t="str">
        <f t="shared" si="4"/>
        <v>EUR-MDB48O2MCWP</v>
      </c>
    </row>
    <row r="29" spans="8:17" x14ac:dyDescent="0.4">
      <c r="H29" s="114" t="s">
        <v>846</v>
      </c>
      <c r="I29" s="114">
        <v>250</v>
      </c>
      <c r="J29" s="114">
        <v>60</v>
      </c>
      <c r="K29" s="315" t="s">
        <v>874</v>
      </c>
      <c r="L29" s="114" t="s">
        <v>878</v>
      </c>
      <c r="M29" s="114" t="str">
        <f t="shared" si="5"/>
        <v>DB60-2-56-O</v>
      </c>
      <c r="N29" s="114" t="str">
        <f t="shared" si="6"/>
        <v>EUR-MDB60OR/WP</v>
      </c>
      <c r="P29" s="114" t="str">
        <f t="shared" si="3"/>
        <v>DB60-2-56-O</v>
      </c>
      <c r="Q29" s="114" t="str">
        <f t="shared" si="4"/>
        <v>EUR-MDB60OR/WP</v>
      </c>
    </row>
    <row r="30" spans="8:17" x14ac:dyDescent="0.4">
      <c r="H30" s="114" t="s">
        <v>846</v>
      </c>
      <c r="I30" s="114">
        <v>250</v>
      </c>
      <c r="J30" s="114">
        <v>60</v>
      </c>
      <c r="K30" s="315" t="s">
        <v>875</v>
      </c>
      <c r="L30" s="114" t="s">
        <v>878</v>
      </c>
      <c r="M30" s="114" t="str">
        <f t="shared" si="5"/>
        <v>DB60-2-56-O-M</v>
      </c>
      <c r="N30" s="114" t="str">
        <f t="shared" si="6"/>
        <v>EUR-MDB60O2MCWP</v>
      </c>
      <c r="P30" s="114" t="str">
        <f t="shared" si="3"/>
        <v>DB60-2-56-O-M</v>
      </c>
      <c r="Q30" s="114" t="str">
        <f t="shared" si="4"/>
        <v>EUR-MDB60O2MCWP</v>
      </c>
    </row>
    <row r="31" spans="8:17" x14ac:dyDescent="0.4">
      <c r="H31" s="114" t="s">
        <v>846</v>
      </c>
      <c r="I31" s="114">
        <v>250</v>
      </c>
      <c r="J31" s="114">
        <v>72</v>
      </c>
      <c r="K31" s="315" t="s">
        <v>874</v>
      </c>
      <c r="L31" s="114" t="s">
        <v>878</v>
      </c>
      <c r="M31" s="114" t="str">
        <f t="shared" si="5"/>
        <v>DB72-2-56-O</v>
      </c>
      <c r="N31" s="114" t="str">
        <f t="shared" si="6"/>
        <v>EUR-MDB72OR/WP</v>
      </c>
      <c r="P31" s="114" t="str">
        <f t="shared" si="3"/>
        <v>DB72-2-56-O</v>
      </c>
      <c r="Q31" s="114" t="str">
        <f t="shared" si="4"/>
        <v>EUR-MDB72OR/WP</v>
      </c>
    </row>
    <row r="32" spans="8:17" x14ac:dyDescent="0.4">
      <c r="H32" s="114" t="s">
        <v>846</v>
      </c>
      <c r="I32">
        <v>250</v>
      </c>
      <c r="J32">
        <v>72</v>
      </c>
      <c r="K32" s="315" t="s">
        <v>875</v>
      </c>
      <c r="L32" s="114" t="s">
        <v>878</v>
      </c>
      <c r="M32" s="114" t="str">
        <f t="shared" si="5"/>
        <v>DB72-2-56-O-M</v>
      </c>
      <c r="N32" s="114" t="str">
        <f t="shared" si="6"/>
        <v>EUR-MDB72O2MCWP</v>
      </c>
      <c r="P32" s="114" t="str">
        <f t="shared" si="3"/>
        <v>DB72-2-56-O-M</v>
      </c>
      <c r="Q32" s="114" t="str">
        <f t="shared" si="4"/>
        <v>EUR-MDB72O2MCWP</v>
      </c>
    </row>
    <row r="33" spans="8:17" x14ac:dyDescent="0.4">
      <c r="H33" s="114" t="s">
        <v>846</v>
      </c>
      <c r="I33">
        <v>400</v>
      </c>
      <c r="J33">
        <v>24</v>
      </c>
      <c r="K33" s="315" t="s">
        <v>874</v>
      </c>
      <c r="L33" s="114" t="s">
        <v>877</v>
      </c>
      <c r="M33" s="114" t="str">
        <f t="shared" si="5"/>
        <v>DB24-4-42-O</v>
      </c>
      <c r="N33" s="114" t="str">
        <f t="shared" si="6"/>
        <v>EUR-MDB24O4NA</v>
      </c>
      <c r="P33" s="114" t="str">
        <f t="shared" si="3"/>
        <v>DB24-4-42-O</v>
      </c>
      <c r="Q33" s="114" t="str">
        <f t="shared" si="4"/>
        <v>EUR-MDB24O4NA</v>
      </c>
    </row>
    <row r="34" spans="8:17" x14ac:dyDescent="0.4">
      <c r="H34" s="114" t="s">
        <v>846</v>
      </c>
      <c r="I34" s="114">
        <v>400</v>
      </c>
      <c r="J34">
        <v>24</v>
      </c>
      <c r="K34" s="315" t="s">
        <v>875</v>
      </c>
      <c r="L34" s="114" t="s">
        <v>877</v>
      </c>
      <c r="M34" s="114" t="str">
        <f t="shared" si="5"/>
        <v>DB24-4-42-O-M</v>
      </c>
      <c r="N34" s="114" t="str">
        <f t="shared" si="6"/>
        <v>EUR-MDB24O4MC</v>
      </c>
      <c r="P34" s="114" t="str">
        <f t="shared" si="3"/>
        <v>DB24-4-42-O-M</v>
      </c>
      <c r="Q34" s="114" t="str">
        <f t="shared" si="4"/>
        <v>EUR-MDB24O4MC</v>
      </c>
    </row>
    <row r="35" spans="8:17" x14ac:dyDescent="0.4">
      <c r="H35" s="114" t="s">
        <v>846</v>
      </c>
      <c r="I35" s="114">
        <v>400</v>
      </c>
      <c r="J35">
        <v>36</v>
      </c>
      <c r="K35" s="315" t="s">
        <v>874</v>
      </c>
      <c r="L35" s="114" t="s">
        <v>877</v>
      </c>
      <c r="M35" s="114" t="str">
        <f t="shared" si="5"/>
        <v>DB36-4-42-O</v>
      </c>
      <c r="N35" s="114" t="str">
        <f t="shared" si="6"/>
        <v>EUR-MDB36O4NA</v>
      </c>
      <c r="P35" s="114" t="str">
        <f t="shared" si="3"/>
        <v>DB36-4-42-O</v>
      </c>
      <c r="Q35" s="114" t="str">
        <f t="shared" si="4"/>
        <v>EUR-MDB36O4NA</v>
      </c>
    </row>
    <row r="36" spans="8:17" x14ac:dyDescent="0.4">
      <c r="H36" s="114" t="s">
        <v>846</v>
      </c>
      <c r="I36" s="114">
        <v>400</v>
      </c>
      <c r="J36">
        <v>36</v>
      </c>
      <c r="K36" s="315" t="s">
        <v>875</v>
      </c>
      <c r="L36" s="114" t="s">
        <v>877</v>
      </c>
      <c r="M36" s="114" t="str">
        <f t="shared" si="5"/>
        <v>DB36-4-42-O-M</v>
      </c>
      <c r="N36" s="114" t="str">
        <f t="shared" si="6"/>
        <v>EUR-MDB36O4MC</v>
      </c>
      <c r="P36" s="114" t="str">
        <f t="shared" si="3"/>
        <v>DB36-4-42-O-M</v>
      </c>
      <c r="Q36" s="114" t="str">
        <f t="shared" si="4"/>
        <v>EUR-MDB36O4MC</v>
      </c>
    </row>
    <row r="37" spans="8:17" x14ac:dyDescent="0.4">
      <c r="H37" s="114" t="s">
        <v>846</v>
      </c>
      <c r="I37" s="114">
        <v>400</v>
      </c>
      <c r="J37">
        <v>48</v>
      </c>
      <c r="K37" s="315" t="s">
        <v>874</v>
      </c>
      <c r="L37" s="114" t="s">
        <v>877</v>
      </c>
      <c r="M37" s="114" t="str">
        <f t="shared" si="5"/>
        <v>DB48-4-42-O</v>
      </c>
      <c r="N37" s="114" t="str">
        <f t="shared" si="6"/>
        <v>EUR-MDB48O4NA</v>
      </c>
      <c r="P37" s="114" t="str">
        <f t="shared" si="3"/>
        <v>DB48-4-42-O</v>
      </c>
      <c r="Q37" s="114" t="str">
        <f t="shared" si="4"/>
        <v>EUR-MDB48O4NA</v>
      </c>
    </row>
    <row r="38" spans="8:17" x14ac:dyDescent="0.4">
      <c r="H38" s="114" t="s">
        <v>846</v>
      </c>
      <c r="I38" s="114">
        <v>400</v>
      </c>
      <c r="J38">
        <v>48</v>
      </c>
      <c r="K38" s="315" t="s">
        <v>875</v>
      </c>
      <c r="L38" s="114" t="s">
        <v>877</v>
      </c>
      <c r="M38" s="114" t="str">
        <f t="shared" si="5"/>
        <v>DB48-4-42-O-M</v>
      </c>
      <c r="N38" s="114" t="str">
        <f t="shared" si="6"/>
        <v>EUR-MDB48O4MC</v>
      </c>
      <c r="P38" s="114" t="str">
        <f t="shared" si="3"/>
        <v>DB48-4-42-O-M</v>
      </c>
      <c r="Q38" s="114" t="str">
        <f t="shared" si="4"/>
        <v>EUR-MDB48O4MC</v>
      </c>
    </row>
    <row r="39" spans="8:17" x14ac:dyDescent="0.4">
      <c r="H39" s="114" t="s">
        <v>846</v>
      </c>
      <c r="I39" s="114">
        <v>400</v>
      </c>
      <c r="J39">
        <v>60</v>
      </c>
      <c r="K39" s="315" t="s">
        <v>874</v>
      </c>
      <c r="L39" s="114" t="s">
        <v>877</v>
      </c>
      <c r="M39" s="114" t="str">
        <f t="shared" si="5"/>
        <v>DB60-4-42-O</v>
      </c>
      <c r="N39" s="114" t="str">
        <f t="shared" si="6"/>
        <v>EUR-MDB60O4NA</v>
      </c>
      <c r="P39" s="114" t="str">
        <f t="shared" si="3"/>
        <v>DB60-4-42-O</v>
      </c>
      <c r="Q39" s="114" t="str">
        <f t="shared" si="4"/>
        <v>EUR-MDB60O4NA</v>
      </c>
    </row>
    <row r="40" spans="8:17" x14ac:dyDescent="0.4">
      <c r="H40" s="114" t="s">
        <v>846</v>
      </c>
      <c r="I40" s="114">
        <v>400</v>
      </c>
      <c r="J40">
        <v>60</v>
      </c>
      <c r="K40" s="315" t="s">
        <v>875</v>
      </c>
      <c r="L40" s="114" t="s">
        <v>877</v>
      </c>
      <c r="M40" s="114" t="str">
        <f t="shared" si="5"/>
        <v>DB60-4-42-O-M</v>
      </c>
      <c r="N40" s="114" t="str">
        <f t="shared" si="6"/>
        <v>EUR-MDB60O4MC</v>
      </c>
      <c r="P40" s="114" t="str">
        <f t="shared" si="3"/>
        <v>DB60-4-42-O-M</v>
      </c>
      <c r="Q40" s="114" t="str">
        <f t="shared" si="4"/>
        <v>EUR-MDB60O4MC</v>
      </c>
    </row>
    <row r="41" spans="8:17" x14ac:dyDescent="0.4">
      <c r="H41" s="114" t="s">
        <v>846</v>
      </c>
      <c r="I41" s="114">
        <v>400</v>
      </c>
      <c r="J41">
        <v>72</v>
      </c>
      <c r="K41" s="315" t="s">
        <v>874</v>
      </c>
      <c r="L41" s="114" t="s">
        <v>877</v>
      </c>
      <c r="M41" s="114" t="str">
        <f t="shared" si="5"/>
        <v>DB72-4-42-O</v>
      </c>
      <c r="N41" s="114" t="str">
        <f t="shared" si="6"/>
        <v>EUR-MDB72O4NA</v>
      </c>
      <c r="P41" s="114" t="str">
        <f t="shared" si="3"/>
        <v>DB72-4-42-O</v>
      </c>
      <c r="Q41" s="114" t="str">
        <f t="shared" si="4"/>
        <v>EUR-MDB72O4NA</v>
      </c>
    </row>
    <row r="42" spans="8:17" x14ac:dyDescent="0.4">
      <c r="H42" s="114" t="s">
        <v>846</v>
      </c>
      <c r="I42" s="114">
        <v>400</v>
      </c>
      <c r="J42">
        <v>72</v>
      </c>
      <c r="K42" s="315" t="s">
        <v>875</v>
      </c>
      <c r="L42" s="114" t="s">
        <v>877</v>
      </c>
      <c r="M42" s="114" t="str">
        <f t="shared" si="5"/>
        <v>DB72-4-42-O-M</v>
      </c>
      <c r="N42" s="114" t="str">
        <f t="shared" si="6"/>
        <v>EUR-MDB72O4MC</v>
      </c>
      <c r="P42" s="114" t="str">
        <f t="shared" si="3"/>
        <v>DB72-4-42-O-M</v>
      </c>
      <c r="Q42" s="114" t="str">
        <f t="shared" si="4"/>
        <v>EUR-MDB72O4MC</v>
      </c>
    </row>
    <row r="43" spans="8:17" x14ac:dyDescent="0.4">
      <c r="H43" s="114" t="s">
        <v>846</v>
      </c>
      <c r="I43" s="114">
        <v>400</v>
      </c>
      <c r="J43">
        <v>24</v>
      </c>
      <c r="K43" s="315" t="s">
        <v>874</v>
      </c>
      <c r="L43" s="114" t="s">
        <v>878</v>
      </c>
      <c r="M43" s="114" t="str">
        <f t="shared" si="5"/>
        <v>DB24-4-56-O</v>
      </c>
      <c r="N43" s="114" t="str">
        <f t="shared" si="6"/>
        <v>EUR-MDB24O4NAWP</v>
      </c>
      <c r="P43" s="114" t="str">
        <f t="shared" si="3"/>
        <v>DB24-4-56-O</v>
      </c>
      <c r="Q43" s="114" t="str">
        <f t="shared" si="4"/>
        <v>EUR-MDB24O4NAWP</v>
      </c>
    </row>
    <row r="44" spans="8:17" x14ac:dyDescent="0.4">
      <c r="H44" s="114" t="s">
        <v>846</v>
      </c>
      <c r="I44" s="114">
        <v>400</v>
      </c>
      <c r="J44">
        <v>24</v>
      </c>
      <c r="K44" s="315" t="s">
        <v>875</v>
      </c>
      <c r="L44" s="114" t="s">
        <v>878</v>
      </c>
      <c r="M44" s="114" t="str">
        <f t="shared" si="5"/>
        <v>DB24-4-56-O-M</v>
      </c>
      <c r="N44" s="114" t="str">
        <f t="shared" si="6"/>
        <v>EUR-MDB24O4MCWP</v>
      </c>
      <c r="P44" s="114" t="str">
        <f t="shared" si="3"/>
        <v>DB24-4-56-O-M</v>
      </c>
      <c r="Q44" s="114" t="str">
        <f t="shared" si="4"/>
        <v>EUR-MDB24O4MCWP</v>
      </c>
    </row>
    <row r="45" spans="8:17" x14ac:dyDescent="0.4">
      <c r="H45" t="s">
        <v>846</v>
      </c>
      <c r="I45" s="114">
        <v>400</v>
      </c>
      <c r="J45">
        <v>36</v>
      </c>
      <c r="K45" s="315" t="s">
        <v>874</v>
      </c>
      <c r="L45" s="114" t="s">
        <v>878</v>
      </c>
      <c r="M45" s="114" t="str">
        <f t="shared" si="5"/>
        <v>DB36-4-56-O</v>
      </c>
      <c r="N45" s="114" t="str">
        <f t="shared" si="6"/>
        <v>EUR-MDB36O4NAWP</v>
      </c>
      <c r="P45" s="114" t="str">
        <f t="shared" si="3"/>
        <v>DB36-4-56-O</v>
      </c>
      <c r="Q45" s="114" t="str">
        <f t="shared" si="4"/>
        <v>EUR-MDB36O4NAWP</v>
      </c>
    </row>
    <row r="46" spans="8:17" x14ac:dyDescent="0.4">
      <c r="H46" t="s">
        <v>846</v>
      </c>
      <c r="I46" s="114">
        <v>400</v>
      </c>
      <c r="J46">
        <v>36</v>
      </c>
      <c r="K46" s="315" t="s">
        <v>875</v>
      </c>
      <c r="L46" s="114" t="s">
        <v>878</v>
      </c>
      <c r="M46" s="114" t="str">
        <f t="shared" si="5"/>
        <v>DB36-4-56-O-M</v>
      </c>
      <c r="N46" s="114" t="str">
        <f t="shared" si="6"/>
        <v>EUR-MDB36O4MCWP</v>
      </c>
      <c r="P46" s="114" t="str">
        <f t="shared" si="3"/>
        <v>DB36-4-56-O-M</v>
      </c>
      <c r="Q46" s="114" t="str">
        <f t="shared" si="4"/>
        <v>EUR-MDB36O4MCWP</v>
      </c>
    </row>
    <row r="47" spans="8:17" x14ac:dyDescent="0.4">
      <c r="H47" t="s">
        <v>846</v>
      </c>
      <c r="I47" s="114">
        <v>400</v>
      </c>
      <c r="J47">
        <v>48</v>
      </c>
      <c r="K47" s="315" t="s">
        <v>874</v>
      </c>
      <c r="L47" s="114" t="s">
        <v>878</v>
      </c>
      <c r="M47" s="114" t="str">
        <f t="shared" si="5"/>
        <v>DB48-4-56-O</v>
      </c>
      <c r="N47" s="114" t="str">
        <f t="shared" si="6"/>
        <v>EUR-MDB48O4NAWP</v>
      </c>
      <c r="P47" s="114" t="str">
        <f t="shared" si="3"/>
        <v>DB48-4-56-O</v>
      </c>
      <c r="Q47" s="114" t="str">
        <f t="shared" si="4"/>
        <v>EUR-MDB48O4NAWP</v>
      </c>
    </row>
    <row r="48" spans="8:17" x14ac:dyDescent="0.4">
      <c r="H48" t="s">
        <v>846</v>
      </c>
      <c r="I48" s="114">
        <v>400</v>
      </c>
      <c r="J48">
        <v>48</v>
      </c>
      <c r="K48" s="315" t="s">
        <v>875</v>
      </c>
      <c r="L48" s="114" t="s">
        <v>878</v>
      </c>
      <c r="M48" s="114" t="str">
        <f t="shared" si="5"/>
        <v>DB48-4-56-O-M</v>
      </c>
      <c r="N48" s="114" t="str">
        <f t="shared" si="6"/>
        <v>EUR-MDB48O4MCWP</v>
      </c>
      <c r="P48" s="114" t="str">
        <f t="shared" si="3"/>
        <v>DB48-4-56-O-M</v>
      </c>
      <c r="Q48" s="114" t="str">
        <f t="shared" si="4"/>
        <v>EUR-MDB48O4MCWP</v>
      </c>
    </row>
    <row r="49" spans="8:17" x14ac:dyDescent="0.4">
      <c r="H49" t="s">
        <v>846</v>
      </c>
      <c r="I49" s="114">
        <v>400</v>
      </c>
      <c r="J49">
        <v>60</v>
      </c>
      <c r="K49" s="315" t="s">
        <v>874</v>
      </c>
      <c r="L49" s="114" t="s">
        <v>878</v>
      </c>
      <c r="M49" s="114" t="str">
        <f t="shared" si="5"/>
        <v>DB60-4-56-O</v>
      </c>
      <c r="N49" s="114" t="str">
        <f t="shared" si="6"/>
        <v>EUR-MDB60O4NAWP</v>
      </c>
      <c r="P49" s="114" t="str">
        <f t="shared" si="3"/>
        <v>DB60-4-56-O</v>
      </c>
      <c r="Q49" s="114" t="str">
        <f t="shared" si="4"/>
        <v>EUR-MDB60O4NAWP</v>
      </c>
    </row>
    <row r="50" spans="8:17" x14ac:dyDescent="0.4">
      <c r="H50" t="s">
        <v>846</v>
      </c>
      <c r="I50" s="114">
        <v>400</v>
      </c>
      <c r="J50">
        <v>60</v>
      </c>
      <c r="K50" s="315" t="s">
        <v>875</v>
      </c>
      <c r="L50" s="114" t="s">
        <v>878</v>
      </c>
      <c r="M50" s="114" t="str">
        <f t="shared" si="5"/>
        <v>DB60-4-56-O-M</v>
      </c>
      <c r="N50" s="114" t="str">
        <f t="shared" si="6"/>
        <v>EUR-MDB60O4MCWP</v>
      </c>
      <c r="P50" s="114" t="str">
        <f t="shared" si="3"/>
        <v>DB60-4-56-O-M</v>
      </c>
      <c r="Q50" s="114" t="str">
        <f t="shared" si="4"/>
        <v>EUR-MDB60O4MCWP</v>
      </c>
    </row>
    <row r="51" spans="8:17" x14ac:dyDescent="0.4">
      <c r="H51" t="s">
        <v>846</v>
      </c>
      <c r="I51" s="114">
        <v>400</v>
      </c>
      <c r="J51">
        <v>72</v>
      </c>
      <c r="K51" s="315" t="s">
        <v>874</v>
      </c>
      <c r="L51" s="114" t="s">
        <v>878</v>
      </c>
      <c r="M51" s="114" t="str">
        <f t="shared" si="5"/>
        <v>DB72-4-56-O</v>
      </c>
      <c r="N51" s="114" t="str">
        <f t="shared" si="6"/>
        <v>EUR-MDB72O4NAWP</v>
      </c>
      <c r="P51" s="114" t="str">
        <f t="shared" si="3"/>
        <v>DB72-4-56-O</v>
      </c>
      <c r="Q51" s="114" t="str">
        <f t="shared" si="4"/>
        <v>EUR-MDB72O4NAWP</v>
      </c>
    </row>
    <row r="52" spans="8:17" x14ac:dyDescent="0.4">
      <c r="H52" t="s">
        <v>846</v>
      </c>
      <c r="I52" s="114">
        <v>400</v>
      </c>
      <c r="J52">
        <v>72</v>
      </c>
      <c r="K52" s="315" t="s">
        <v>875</v>
      </c>
      <c r="L52" s="114" t="s">
        <v>878</v>
      </c>
      <c r="M52" s="114" t="str">
        <f t="shared" si="5"/>
        <v>DB72-4-56-O-M</v>
      </c>
      <c r="N52" s="114" t="str">
        <f t="shared" si="6"/>
        <v>EUR-MDB72O4MCWP</v>
      </c>
      <c r="P52" s="114" t="str">
        <f t="shared" si="3"/>
        <v>DB72-4-56-O-M</v>
      </c>
      <c r="Q52" s="114" t="str">
        <f t="shared" si="4"/>
        <v>EUR-MDB72O4MCWP</v>
      </c>
    </row>
    <row r="53" spans="8:17" x14ac:dyDescent="0.4">
      <c r="H53" t="s">
        <v>847</v>
      </c>
      <c r="I53">
        <v>250</v>
      </c>
      <c r="J53">
        <v>24</v>
      </c>
      <c r="K53" s="315" t="s">
        <v>874</v>
      </c>
      <c r="L53" s="114" t="s">
        <v>877</v>
      </c>
      <c r="M53" s="114" t="str">
        <f t="shared" si="5"/>
        <v>DB24-2-42-G</v>
      </c>
      <c r="N53" s="114" t="str">
        <f t="shared" si="6"/>
        <v>EUR-MDB24G</v>
      </c>
      <c r="P53" s="114" t="str">
        <f t="shared" si="3"/>
        <v>DB24-2-42-G</v>
      </c>
      <c r="Q53" s="114" t="str">
        <f t="shared" si="4"/>
        <v>EUR-MDB24G</v>
      </c>
    </row>
    <row r="54" spans="8:17" x14ac:dyDescent="0.4">
      <c r="H54" s="114" t="s">
        <v>847</v>
      </c>
      <c r="I54">
        <v>250</v>
      </c>
      <c r="J54">
        <v>24</v>
      </c>
      <c r="K54" s="315" t="s">
        <v>875</v>
      </c>
      <c r="L54" s="114" t="s">
        <v>877</v>
      </c>
      <c r="M54" s="114" t="str">
        <f t="shared" si="5"/>
        <v>DB24-2-42-G-M</v>
      </c>
      <c r="N54" s="114" t="str">
        <f t="shared" si="6"/>
        <v>EUR-MDB24G2MC</v>
      </c>
      <c r="P54" s="114" t="str">
        <f t="shared" si="3"/>
        <v>DB24-2-42-G-M</v>
      </c>
      <c r="Q54" s="114" t="str">
        <f t="shared" si="4"/>
        <v>EUR-MDB24G2MC</v>
      </c>
    </row>
    <row r="55" spans="8:17" x14ac:dyDescent="0.4">
      <c r="H55" s="114" t="s">
        <v>847</v>
      </c>
      <c r="I55">
        <v>250</v>
      </c>
      <c r="J55">
        <v>36</v>
      </c>
      <c r="K55" s="315" t="s">
        <v>874</v>
      </c>
      <c r="L55" s="114" t="s">
        <v>877</v>
      </c>
      <c r="M55" s="114" t="str">
        <f t="shared" si="5"/>
        <v>DB36-2-42-G</v>
      </c>
      <c r="N55" s="114" t="str">
        <f t="shared" si="6"/>
        <v>EUR-MDB36G</v>
      </c>
      <c r="P55" s="114" t="str">
        <f t="shared" si="3"/>
        <v>DB36-2-42-G</v>
      </c>
      <c r="Q55" s="114" t="str">
        <f t="shared" si="4"/>
        <v>EUR-MDB36G</v>
      </c>
    </row>
    <row r="56" spans="8:17" x14ac:dyDescent="0.4">
      <c r="H56" s="114" t="s">
        <v>847</v>
      </c>
      <c r="I56">
        <v>250</v>
      </c>
      <c r="J56">
        <v>36</v>
      </c>
      <c r="K56" s="315" t="s">
        <v>875</v>
      </c>
      <c r="L56" s="114" t="s">
        <v>877</v>
      </c>
      <c r="M56" s="114" t="str">
        <f t="shared" si="5"/>
        <v>DB36-2-42-G-M</v>
      </c>
      <c r="N56" s="114" t="str">
        <f t="shared" si="6"/>
        <v>EUR-MDB36G2MC</v>
      </c>
      <c r="P56" s="114" t="str">
        <f t="shared" si="3"/>
        <v>DB36-2-42-G-M</v>
      </c>
      <c r="Q56" s="114" t="str">
        <f t="shared" si="4"/>
        <v>EUR-MDB36G2MC</v>
      </c>
    </row>
    <row r="57" spans="8:17" x14ac:dyDescent="0.4">
      <c r="H57" s="114" t="s">
        <v>847</v>
      </c>
      <c r="I57">
        <v>250</v>
      </c>
      <c r="J57">
        <v>48</v>
      </c>
      <c r="K57" s="315" t="s">
        <v>874</v>
      </c>
      <c r="L57" s="114" t="s">
        <v>877</v>
      </c>
      <c r="M57" s="114" t="str">
        <f t="shared" si="5"/>
        <v>DB48-2-42-G</v>
      </c>
      <c r="N57" s="114" t="str">
        <f t="shared" si="6"/>
        <v>EUR-MDB48G</v>
      </c>
      <c r="P57" s="114" t="str">
        <f t="shared" si="3"/>
        <v>DB48-2-42-G</v>
      </c>
      <c r="Q57" s="114" t="str">
        <f t="shared" si="4"/>
        <v>EUR-MDB48G</v>
      </c>
    </row>
    <row r="58" spans="8:17" x14ac:dyDescent="0.4">
      <c r="H58" s="114" t="s">
        <v>847</v>
      </c>
      <c r="I58">
        <v>250</v>
      </c>
      <c r="J58">
        <v>48</v>
      </c>
      <c r="K58" s="315" t="s">
        <v>875</v>
      </c>
      <c r="L58" s="114" t="s">
        <v>877</v>
      </c>
      <c r="M58" s="114" t="str">
        <f t="shared" si="5"/>
        <v>DB48-2-42-G-M</v>
      </c>
      <c r="N58" s="114" t="str">
        <f t="shared" si="6"/>
        <v>EUR-MDB48G2MC</v>
      </c>
      <c r="P58" s="114" t="str">
        <f t="shared" si="3"/>
        <v>DB48-2-42-G-M</v>
      </c>
      <c r="Q58" s="114" t="str">
        <f t="shared" si="4"/>
        <v>EUR-MDB48G2MC</v>
      </c>
    </row>
    <row r="59" spans="8:17" x14ac:dyDescent="0.4">
      <c r="H59" s="114" t="s">
        <v>847</v>
      </c>
      <c r="I59">
        <v>250</v>
      </c>
      <c r="J59">
        <v>60</v>
      </c>
      <c r="K59" s="315" t="s">
        <v>874</v>
      </c>
      <c r="L59" s="114" t="s">
        <v>877</v>
      </c>
      <c r="M59" s="114" t="str">
        <f t="shared" si="5"/>
        <v>DB60-2-42-G</v>
      </c>
      <c r="N59" s="114" t="str">
        <f t="shared" si="6"/>
        <v>EUR-MDB60G</v>
      </c>
      <c r="P59" s="114" t="str">
        <f t="shared" si="3"/>
        <v>DB60-2-42-G</v>
      </c>
      <c r="Q59" s="114" t="str">
        <f t="shared" si="4"/>
        <v>EUR-MDB60G</v>
      </c>
    </row>
    <row r="60" spans="8:17" x14ac:dyDescent="0.4">
      <c r="H60" s="114" t="s">
        <v>847</v>
      </c>
      <c r="I60">
        <v>250</v>
      </c>
      <c r="J60">
        <v>60</v>
      </c>
      <c r="K60" s="315" t="s">
        <v>875</v>
      </c>
      <c r="L60" s="114" t="s">
        <v>877</v>
      </c>
      <c r="M60" s="114" t="str">
        <f t="shared" si="5"/>
        <v>DB60-2-42-G-M</v>
      </c>
      <c r="N60" s="114" t="str">
        <f t="shared" si="6"/>
        <v>EUR-MDB60G2MC</v>
      </c>
      <c r="P60" s="114" t="str">
        <f t="shared" si="3"/>
        <v>DB60-2-42-G-M</v>
      </c>
      <c r="Q60" s="114" t="str">
        <f t="shared" si="4"/>
        <v>EUR-MDB60G2MC</v>
      </c>
    </row>
    <row r="61" spans="8:17" x14ac:dyDescent="0.4">
      <c r="H61" s="114" t="s">
        <v>847</v>
      </c>
      <c r="I61">
        <v>250</v>
      </c>
      <c r="J61">
        <v>72</v>
      </c>
      <c r="K61" s="315" t="s">
        <v>874</v>
      </c>
      <c r="L61" s="114" t="s">
        <v>877</v>
      </c>
      <c r="M61" s="114" t="str">
        <f t="shared" si="5"/>
        <v>DB72-2-42-G</v>
      </c>
      <c r="N61" s="114" t="str">
        <f t="shared" si="6"/>
        <v>EUR-MDB72G</v>
      </c>
      <c r="P61" s="114" t="str">
        <f t="shared" si="3"/>
        <v>DB72-2-42-G</v>
      </c>
      <c r="Q61" s="114" t="str">
        <f t="shared" si="4"/>
        <v>EUR-MDB72G</v>
      </c>
    </row>
    <row r="62" spans="8:17" x14ac:dyDescent="0.4">
      <c r="H62" s="114" t="s">
        <v>847</v>
      </c>
      <c r="I62">
        <v>250</v>
      </c>
      <c r="J62">
        <v>72</v>
      </c>
      <c r="K62" s="315" t="s">
        <v>875</v>
      </c>
      <c r="L62" s="114" t="s">
        <v>877</v>
      </c>
      <c r="M62" s="114" t="str">
        <f t="shared" si="5"/>
        <v>DB72-2-42-G-M</v>
      </c>
      <c r="N62" s="114" t="str">
        <f t="shared" si="6"/>
        <v>EUR-MDB72G2MC</v>
      </c>
      <c r="P62" s="114" t="str">
        <f t="shared" si="3"/>
        <v>DB72-2-42-G-M</v>
      </c>
      <c r="Q62" s="114" t="str">
        <f t="shared" si="4"/>
        <v>EUR-MDB72G2MC</v>
      </c>
    </row>
    <row r="63" spans="8:17" x14ac:dyDescent="0.4">
      <c r="H63" s="114" t="s">
        <v>847</v>
      </c>
      <c r="I63">
        <v>250</v>
      </c>
      <c r="J63">
        <v>24</v>
      </c>
      <c r="K63" s="315" t="s">
        <v>874</v>
      </c>
      <c r="L63" s="114" t="s">
        <v>878</v>
      </c>
      <c r="M63" s="114" t="str">
        <f t="shared" si="5"/>
        <v>DB24-2-56-G</v>
      </c>
      <c r="N63" s="114" t="str">
        <f t="shared" si="6"/>
        <v>EUR-MDB24G/WP</v>
      </c>
      <c r="P63" s="114" t="str">
        <f t="shared" si="3"/>
        <v>DB24-2-56-G</v>
      </c>
      <c r="Q63" s="114" t="str">
        <f t="shared" si="4"/>
        <v>EUR-MDB24G/WP</v>
      </c>
    </row>
    <row r="64" spans="8:17" x14ac:dyDescent="0.4">
      <c r="H64" s="114" t="s">
        <v>847</v>
      </c>
      <c r="I64">
        <v>250</v>
      </c>
      <c r="J64">
        <v>24</v>
      </c>
      <c r="K64" s="315" t="s">
        <v>875</v>
      </c>
      <c r="L64" s="114" t="s">
        <v>878</v>
      </c>
      <c r="M64" s="114" t="str">
        <f t="shared" si="5"/>
        <v>DB24-2-56-G-M</v>
      </c>
      <c r="N64" s="114" t="str">
        <f t="shared" si="6"/>
        <v>EUR-MDB24G2MCWP</v>
      </c>
      <c r="P64" s="114" t="str">
        <f t="shared" si="3"/>
        <v>DB24-2-56-G-M</v>
      </c>
      <c r="Q64" s="114" t="str">
        <f t="shared" si="4"/>
        <v>EUR-MDB24G2MCWP</v>
      </c>
    </row>
    <row r="65" spans="8:17" x14ac:dyDescent="0.4">
      <c r="H65" s="114" t="s">
        <v>847</v>
      </c>
      <c r="I65">
        <v>250</v>
      </c>
      <c r="J65">
        <v>36</v>
      </c>
      <c r="K65" s="315" t="s">
        <v>874</v>
      </c>
      <c r="L65" s="114" t="s">
        <v>878</v>
      </c>
      <c r="M65" s="114" t="str">
        <f t="shared" si="5"/>
        <v>DB36-2-56-G</v>
      </c>
      <c r="N65" s="114" t="str">
        <f t="shared" si="6"/>
        <v>EUR-MDB36G/WP</v>
      </c>
      <c r="P65" s="114" t="str">
        <f t="shared" si="3"/>
        <v>DB36-2-56-G</v>
      </c>
      <c r="Q65" s="114" t="str">
        <f t="shared" si="4"/>
        <v>EUR-MDB36G/WP</v>
      </c>
    </row>
    <row r="66" spans="8:17" x14ac:dyDescent="0.4">
      <c r="H66" s="114" t="s">
        <v>847</v>
      </c>
      <c r="I66">
        <v>250</v>
      </c>
      <c r="J66">
        <v>36</v>
      </c>
      <c r="K66" s="315" t="s">
        <v>875</v>
      </c>
      <c r="L66" s="114" t="s">
        <v>878</v>
      </c>
      <c r="M66" s="114" t="str">
        <f t="shared" si="5"/>
        <v>DB36-2-56-G-M</v>
      </c>
      <c r="N66" s="114" t="str">
        <f t="shared" si="6"/>
        <v>EUR-MDB36G2MCWP</v>
      </c>
      <c r="P66" s="114" t="str">
        <f t="shared" si="3"/>
        <v>DB36-2-56-G-M</v>
      </c>
      <c r="Q66" s="114" t="str">
        <f t="shared" si="4"/>
        <v>EUR-MDB36G2MCWP</v>
      </c>
    </row>
    <row r="67" spans="8:17" x14ac:dyDescent="0.4">
      <c r="H67" s="114" t="s">
        <v>847</v>
      </c>
      <c r="I67">
        <v>250</v>
      </c>
      <c r="J67">
        <v>48</v>
      </c>
      <c r="K67" s="315" t="s">
        <v>874</v>
      </c>
      <c r="L67" s="114" t="s">
        <v>878</v>
      </c>
      <c r="M67" s="114" t="str">
        <f t="shared" si="5"/>
        <v>DB48-2-56-G</v>
      </c>
      <c r="N67" s="114" t="str">
        <f t="shared" si="6"/>
        <v>EUR-MDB48G/WP</v>
      </c>
      <c r="P67" s="114" t="str">
        <f t="shared" si="3"/>
        <v>DB48-2-56-G</v>
      </c>
      <c r="Q67" s="114" t="str">
        <f t="shared" si="4"/>
        <v>EUR-MDB48G/WP</v>
      </c>
    </row>
    <row r="68" spans="8:17" x14ac:dyDescent="0.4">
      <c r="H68" s="114" t="s">
        <v>847</v>
      </c>
      <c r="I68">
        <v>250</v>
      </c>
      <c r="J68">
        <v>48</v>
      </c>
      <c r="K68" s="315" t="s">
        <v>875</v>
      </c>
      <c r="L68" s="114" t="s">
        <v>878</v>
      </c>
      <c r="M68" s="114" t="str">
        <f t="shared" si="5"/>
        <v>DB48-2-56-G-M</v>
      </c>
      <c r="N68" s="114" t="str">
        <f t="shared" si="6"/>
        <v>EUR-MDB48G2MCWP</v>
      </c>
      <c r="P68" s="114" t="str">
        <f t="shared" si="3"/>
        <v>DB48-2-56-G-M</v>
      </c>
      <c r="Q68" s="114" t="str">
        <f t="shared" si="4"/>
        <v>EUR-MDB48G2MCWP</v>
      </c>
    </row>
    <row r="69" spans="8:17" x14ac:dyDescent="0.4">
      <c r="H69" s="114" t="s">
        <v>847</v>
      </c>
      <c r="I69">
        <v>250</v>
      </c>
      <c r="J69">
        <v>60</v>
      </c>
      <c r="K69" s="315" t="s">
        <v>874</v>
      </c>
      <c r="L69" s="114" t="s">
        <v>878</v>
      </c>
      <c r="M69" s="114" t="str">
        <f t="shared" si="5"/>
        <v>DB60-2-56-G</v>
      </c>
      <c r="N69" s="114" t="str">
        <f t="shared" si="6"/>
        <v>EUR-MDB60G/WP</v>
      </c>
      <c r="P69" s="114" t="str">
        <f t="shared" si="3"/>
        <v>DB60-2-56-G</v>
      </c>
      <c r="Q69" s="114" t="str">
        <f t="shared" si="4"/>
        <v>EUR-MDB60G/WP</v>
      </c>
    </row>
    <row r="70" spans="8:17" x14ac:dyDescent="0.4">
      <c r="H70" s="114" t="s">
        <v>847</v>
      </c>
      <c r="I70">
        <v>250</v>
      </c>
      <c r="J70">
        <v>60</v>
      </c>
      <c r="K70" s="315" t="s">
        <v>875</v>
      </c>
      <c r="L70" s="114" t="s">
        <v>878</v>
      </c>
      <c r="M70" s="114" t="str">
        <f t="shared" si="5"/>
        <v>DB60-2-56-G-M</v>
      </c>
      <c r="N70" s="114" t="str">
        <f t="shared" si="6"/>
        <v>EUR-MDB60G2MCWP</v>
      </c>
      <c r="P70" s="114" t="str">
        <f t="shared" si="3"/>
        <v>DB60-2-56-G-M</v>
      </c>
      <c r="Q70" s="114" t="str">
        <f t="shared" si="4"/>
        <v>EUR-MDB60G2MCWP</v>
      </c>
    </row>
    <row r="71" spans="8:17" x14ac:dyDescent="0.4">
      <c r="H71" s="114" t="s">
        <v>847</v>
      </c>
      <c r="I71">
        <v>250</v>
      </c>
      <c r="J71">
        <v>72</v>
      </c>
      <c r="K71" s="315" t="s">
        <v>874</v>
      </c>
      <c r="L71" s="114" t="s">
        <v>878</v>
      </c>
      <c r="M71" s="114" t="str">
        <f t="shared" si="5"/>
        <v>DB72-2-56-G</v>
      </c>
      <c r="N71" s="114" t="str">
        <f t="shared" si="6"/>
        <v>EUR-MDB72G/WP</v>
      </c>
      <c r="P71" s="114" t="str">
        <f t="shared" si="3"/>
        <v>DB72-2-56-G</v>
      </c>
      <c r="Q71" s="114" t="str">
        <f t="shared" si="4"/>
        <v>EUR-MDB72G/WP</v>
      </c>
    </row>
    <row r="72" spans="8:17" x14ac:dyDescent="0.4">
      <c r="H72" s="114" t="s">
        <v>847</v>
      </c>
      <c r="I72">
        <v>250</v>
      </c>
      <c r="J72">
        <v>72</v>
      </c>
      <c r="K72" s="315" t="s">
        <v>875</v>
      </c>
      <c r="L72" s="114" t="s">
        <v>878</v>
      </c>
      <c r="M72" s="114" t="str">
        <f t="shared" si="5"/>
        <v>DB72-2-56-G-M</v>
      </c>
      <c r="N72" s="114" t="str">
        <f t="shared" si="6"/>
        <v>EUR-MDB72G2MCWP</v>
      </c>
      <c r="P72" s="114" t="str">
        <f t="shared" si="3"/>
        <v>DB72-2-56-G-M</v>
      </c>
      <c r="Q72" s="114" t="str">
        <f t="shared" si="4"/>
        <v>EUR-MDB72G2MCWP</v>
      </c>
    </row>
    <row r="73" spans="8:17" x14ac:dyDescent="0.4">
      <c r="H73" s="114" t="s">
        <v>847</v>
      </c>
      <c r="I73">
        <v>400</v>
      </c>
      <c r="J73">
        <v>24</v>
      </c>
      <c r="K73" s="315" t="s">
        <v>874</v>
      </c>
      <c r="L73" s="114" t="s">
        <v>877</v>
      </c>
      <c r="M73" s="114" t="str">
        <f t="shared" si="5"/>
        <v>DB24-4-42-G</v>
      </c>
      <c r="N73" s="114" t="str">
        <f t="shared" si="6"/>
        <v>EUR-MDB24G4NA</v>
      </c>
      <c r="P73" s="114" t="str">
        <f t="shared" si="3"/>
        <v>DB24-4-42-G</v>
      </c>
      <c r="Q73" s="114" t="str">
        <f t="shared" si="4"/>
        <v>EUR-MDB24G4NA</v>
      </c>
    </row>
    <row r="74" spans="8:17" x14ac:dyDescent="0.4">
      <c r="H74" s="114" t="s">
        <v>847</v>
      </c>
      <c r="I74">
        <v>400</v>
      </c>
      <c r="J74">
        <v>24</v>
      </c>
      <c r="K74" s="315" t="s">
        <v>875</v>
      </c>
      <c r="L74" s="114" t="s">
        <v>877</v>
      </c>
      <c r="M74" s="114" t="str">
        <f t="shared" si="5"/>
        <v>DB24-4-42-G-M</v>
      </c>
      <c r="N74" s="114" t="str">
        <f t="shared" si="6"/>
        <v>EUR-MDB24G4MC</v>
      </c>
      <c r="P74" s="114" t="str">
        <f t="shared" si="3"/>
        <v>DB24-4-42-G-M</v>
      </c>
      <c r="Q74" s="114" t="str">
        <f t="shared" si="4"/>
        <v>EUR-MDB24G4MC</v>
      </c>
    </row>
    <row r="75" spans="8:17" x14ac:dyDescent="0.4">
      <c r="H75" s="114" t="s">
        <v>847</v>
      </c>
      <c r="I75">
        <v>400</v>
      </c>
      <c r="J75">
        <v>36</v>
      </c>
      <c r="K75" s="315" t="s">
        <v>874</v>
      </c>
      <c r="L75" s="114" t="s">
        <v>877</v>
      </c>
      <c r="M75" s="114" t="str">
        <f t="shared" si="5"/>
        <v>DB36-4-42-G</v>
      </c>
      <c r="N75" s="114" t="str">
        <f t="shared" si="6"/>
        <v>EUR-MDB36G4NA</v>
      </c>
      <c r="P75" s="114" t="str">
        <f t="shared" si="3"/>
        <v>DB36-4-42-G</v>
      </c>
      <c r="Q75" s="114" t="str">
        <f t="shared" si="4"/>
        <v>EUR-MDB36G4NA</v>
      </c>
    </row>
    <row r="76" spans="8:17" x14ac:dyDescent="0.4">
      <c r="H76" s="114" t="s">
        <v>847</v>
      </c>
      <c r="I76">
        <v>400</v>
      </c>
      <c r="J76">
        <v>36</v>
      </c>
      <c r="K76" s="315" t="s">
        <v>875</v>
      </c>
      <c r="L76" s="114" t="s">
        <v>877</v>
      </c>
      <c r="M76" s="114" t="str">
        <f t="shared" si="5"/>
        <v>DB36-4-42-G-M</v>
      </c>
      <c r="N76" s="114" t="str">
        <f t="shared" si="6"/>
        <v>EUR-MDB36G4MC</v>
      </c>
      <c r="P76" s="114" t="str">
        <f t="shared" si="3"/>
        <v>DB36-4-42-G-M</v>
      </c>
      <c r="Q76" s="114" t="str">
        <f t="shared" si="4"/>
        <v>EUR-MDB36G4MC</v>
      </c>
    </row>
    <row r="77" spans="8:17" x14ac:dyDescent="0.4">
      <c r="H77" s="114" t="s">
        <v>847</v>
      </c>
      <c r="I77">
        <v>400</v>
      </c>
      <c r="J77">
        <v>48</v>
      </c>
      <c r="K77" s="315" t="s">
        <v>874</v>
      </c>
      <c r="L77" t="s">
        <v>877</v>
      </c>
      <c r="M77" s="114" t="str">
        <f t="shared" si="5"/>
        <v>DB48-4-42-G</v>
      </c>
      <c r="N77" s="114" t="str">
        <f t="shared" si="6"/>
        <v>EUR-MDB48G4NA</v>
      </c>
      <c r="P77" s="114" t="str">
        <f t="shared" ref="P77:P92" si="11">M77</f>
        <v>DB48-4-42-G</v>
      </c>
      <c r="Q77" s="114" t="str">
        <f t="shared" ref="Q77:Q92" si="12">N77</f>
        <v>EUR-MDB48G4NA</v>
      </c>
    </row>
    <row r="78" spans="8:17" x14ac:dyDescent="0.4">
      <c r="H78" s="114" t="s">
        <v>847</v>
      </c>
      <c r="I78">
        <v>400</v>
      </c>
      <c r="J78">
        <v>48</v>
      </c>
      <c r="K78" s="315" t="s">
        <v>875</v>
      </c>
      <c r="L78" t="s">
        <v>877</v>
      </c>
      <c r="M78" s="114" t="str">
        <f t="shared" ref="M78:M92" si="13">_xlfn.CONCAT("DB",J78,"-",IF(I78=250,"2-","4-"),IF(L78="IP42",42,56),IF(H78="Orange","-O","-G"),IF(K78="Non-Auto","","-M"))</f>
        <v>DB48-4-42-G-M</v>
      </c>
      <c r="N78" s="114" t="str">
        <f t="shared" ref="N78:N92" si="14">_xlfn.CONCAT("EUR-MDB",J78,IF(H78="Orange","O","G"),IF(I78=250,IF(K78="Non-Auto",IF(H78="Orange","R",""),"2MC"),IF(K78="Non-Auto","4NA","4MC")),IF(L78="IP42","",IF(AND(K78="Non-Auto",I78=250),"/WP","WP")))</f>
        <v>EUR-MDB48G4MC</v>
      </c>
      <c r="P78" s="114" t="str">
        <f t="shared" si="11"/>
        <v>DB48-4-42-G-M</v>
      </c>
      <c r="Q78" s="114" t="str">
        <f t="shared" si="12"/>
        <v>EUR-MDB48G4MC</v>
      </c>
    </row>
    <row r="79" spans="8:17" x14ac:dyDescent="0.4">
      <c r="H79" s="114" t="s">
        <v>847</v>
      </c>
      <c r="I79">
        <v>400</v>
      </c>
      <c r="J79">
        <v>60</v>
      </c>
      <c r="K79" s="315" t="s">
        <v>874</v>
      </c>
      <c r="L79" t="s">
        <v>877</v>
      </c>
      <c r="M79" s="114" t="str">
        <f t="shared" si="13"/>
        <v>DB60-4-42-G</v>
      </c>
      <c r="N79" s="114" t="str">
        <f t="shared" si="14"/>
        <v>EUR-MDB60G4NA</v>
      </c>
      <c r="P79" s="114" t="str">
        <f t="shared" si="11"/>
        <v>DB60-4-42-G</v>
      </c>
      <c r="Q79" s="114" t="str">
        <f t="shared" si="12"/>
        <v>EUR-MDB60G4NA</v>
      </c>
    </row>
    <row r="80" spans="8:17" x14ac:dyDescent="0.4">
      <c r="H80" s="114" t="s">
        <v>847</v>
      </c>
      <c r="I80">
        <v>400</v>
      </c>
      <c r="J80">
        <v>60</v>
      </c>
      <c r="K80" s="315" t="s">
        <v>875</v>
      </c>
      <c r="L80" t="s">
        <v>877</v>
      </c>
      <c r="M80" s="114" t="str">
        <f t="shared" si="13"/>
        <v>DB60-4-42-G-M</v>
      </c>
      <c r="N80" s="114" t="str">
        <f t="shared" si="14"/>
        <v>EUR-MDB60G4MC</v>
      </c>
      <c r="P80" s="114" t="str">
        <f t="shared" si="11"/>
        <v>DB60-4-42-G-M</v>
      </c>
      <c r="Q80" s="114" t="str">
        <f t="shared" si="12"/>
        <v>EUR-MDB60G4MC</v>
      </c>
    </row>
    <row r="81" spans="8:17" x14ac:dyDescent="0.4">
      <c r="H81" s="114" t="s">
        <v>847</v>
      </c>
      <c r="I81">
        <v>400</v>
      </c>
      <c r="J81">
        <v>72</v>
      </c>
      <c r="K81" s="315" t="s">
        <v>874</v>
      </c>
      <c r="L81" t="s">
        <v>877</v>
      </c>
      <c r="M81" s="114" t="str">
        <f t="shared" si="13"/>
        <v>DB72-4-42-G</v>
      </c>
      <c r="N81" s="114" t="str">
        <f t="shared" si="14"/>
        <v>EUR-MDB72G4NA</v>
      </c>
      <c r="P81" s="114" t="str">
        <f t="shared" si="11"/>
        <v>DB72-4-42-G</v>
      </c>
      <c r="Q81" s="114" t="str">
        <f t="shared" si="12"/>
        <v>EUR-MDB72G4NA</v>
      </c>
    </row>
    <row r="82" spans="8:17" x14ac:dyDescent="0.4">
      <c r="H82" s="114" t="s">
        <v>847</v>
      </c>
      <c r="I82">
        <v>400</v>
      </c>
      <c r="J82">
        <v>72</v>
      </c>
      <c r="K82" s="315" t="s">
        <v>875</v>
      </c>
      <c r="L82" t="s">
        <v>877</v>
      </c>
      <c r="M82" s="114" t="str">
        <f t="shared" si="13"/>
        <v>DB72-4-42-G-M</v>
      </c>
      <c r="N82" s="114" t="str">
        <f t="shared" si="14"/>
        <v>EUR-MDB72G4MC</v>
      </c>
      <c r="P82" s="114" t="str">
        <f t="shared" si="11"/>
        <v>DB72-4-42-G-M</v>
      </c>
      <c r="Q82" s="114" t="str">
        <f t="shared" si="12"/>
        <v>EUR-MDB72G4MC</v>
      </c>
    </row>
    <row r="83" spans="8:17" x14ac:dyDescent="0.4">
      <c r="H83" s="114" t="s">
        <v>847</v>
      </c>
      <c r="I83">
        <v>400</v>
      </c>
      <c r="J83">
        <v>24</v>
      </c>
      <c r="K83" s="315" t="s">
        <v>874</v>
      </c>
      <c r="L83" t="s">
        <v>878</v>
      </c>
      <c r="M83" s="114" t="str">
        <f t="shared" si="13"/>
        <v>DB24-4-56-G</v>
      </c>
      <c r="N83" s="114" t="str">
        <f t="shared" si="14"/>
        <v>EUR-MDB24G4NAWP</v>
      </c>
      <c r="P83" s="114" t="str">
        <f t="shared" si="11"/>
        <v>DB24-4-56-G</v>
      </c>
      <c r="Q83" s="114" t="str">
        <f t="shared" si="12"/>
        <v>EUR-MDB24G4NAWP</v>
      </c>
    </row>
    <row r="84" spans="8:17" x14ac:dyDescent="0.4">
      <c r="H84" s="114" t="s">
        <v>847</v>
      </c>
      <c r="I84">
        <v>400</v>
      </c>
      <c r="J84">
        <v>24</v>
      </c>
      <c r="K84" s="315" t="s">
        <v>875</v>
      </c>
      <c r="L84" t="s">
        <v>878</v>
      </c>
      <c r="M84" s="114" t="str">
        <f t="shared" si="13"/>
        <v>DB24-4-56-G-M</v>
      </c>
      <c r="N84" s="114" t="str">
        <f t="shared" si="14"/>
        <v>EUR-MDB24G4MCWP</v>
      </c>
      <c r="P84" s="114" t="str">
        <f t="shared" si="11"/>
        <v>DB24-4-56-G-M</v>
      </c>
      <c r="Q84" s="114" t="str">
        <f t="shared" si="12"/>
        <v>EUR-MDB24G4MCWP</v>
      </c>
    </row>
    <row r="85" spans="8:17" x14ac:dyDescent="0.4">
      <c r="H85" s="114" t="s">
        <v>847</v>
      </c>
      <c r="I85">
        <v>400</v>
      </c>
      <c r="J85">
        <v>36</v>
      </c>
      <c r="K85" s="315" t="s">
        <v>874</v>
      </c>
      <c r="L85" t="s">
        <v>878</v>
      </c>
      <c r="M85" s="114" t="str">
        <f t="shared" si="13"/>
        <v>DB36-4-56-G</v>
      </c>
      <c r="N85" s="114" t="str">
        <f t="shared" si="14"/>
        <v>EUR-MDB36G4NAWP</v>
      </c>
      <c r="P85" s="114" t="str">
        <f t="shared" si="11"/>
        <v>DB36-4-56-G</v>
      </c>
      <c r="Q85" s="114" t="str">
        <f t="shared" si="12"/>
        <v>EUR-MDB36G4NAWP</v>
      </c>
    </row>
    <row r="86" spans="8:17" x14ac:dyDescent="0.4">
      <c r="H86" s="114" t="s">
        <v>847</v>
      </c>
      <c r="I86">
        <v>400</v>
      </c>
      <c r="J86">
        <v>36</v>
      </c>
      <c r="K86" s="315" t="s">
        <v>875</v>
      </c>
      <c r="L86" t="s">
        <v>878</v>
      </c>
      <c r="M86" s="114" t="str">
        <f t="shared" si="13"/>
        <v>DB36-4-56-G-M</v>
      </c>
      <c r="N86" s="114" t="str">
        <f t="shared" si="14"/>
        <v>EUR-MDB36G4MCWP</v>
      </c>
      <c r="P86" s="114" t="str">
        <f t="shared" si="11"/>
        <v>DB36-4-56-G-M</v>
      </c>
      <c r="Q86" s="114" t="str">
        <f t="shared" si="12"/>
        <v>EUR-MDB36G4MCWP</v>
      </c>
    </row>
    <row r="87" spans="8:17" x14ac:dyDescent="0.4">
      <c r="H87" s="114" t="s">
        <v>847</v>
      </c>
      <c r="I87">
        <v>400</v>
      </c>
      <c r="J87">
        <v>48</v>
      </c>
      <c r="K87" s="315" t="s">
        <v>874</v>
      </c>
      <c r="L87" t="s">
        <v>878</v>
      </c>
      <c r="M87" s="114" t="str">
        <f t="shared" si="13"/>
        <v>DB48-4-56-G</v>
      </c>
      <c r="N87" s="114" t="str">
        <f t="shared" si="14"/>
        <v>EUR-MDB48G4NAWP</v>
      </c>
      <c r="P87" s="114" t="str">
        <f t="shared" si="11"/>
        <v>DB48-4-56-G</v>
      </c>
      <c r="Q87" s="114" t="str">
        <f t="shared" si="12"/>
        <v>EUR-MDB48G4NAWP</v>
      </c>
    </row>
    <row r="88" spans="8:17" x14ac:dyDescent="0.4">
      <c r="H88" s="114" t="s">
        <v>847</v>
      </c>
      <c r="I88">
        <v>400</v>
      </c>
      <c r="J88">
        <v>48</v>
      </c>
      <c r="K88" s="315" t="s">
        <v>875</v>
      </c>
      <c r="L88" t="s">
        <v>878</v>
      </c>
      <c r="M88" s="114" t="str">
        <f t="shared" si="13"/>
        <v>DB48-4-56-G-M</v>
      </c>
      <c r="N88" s="114" t="str">
        <f t="shared" si="14"/>
        <v>EUR-MDB48G4MCWP</v>
      </c>
      <c r="P88" s="114" t="str">
        <f t="shared" si="11"/>
        <v>DB48-4-56-G-M</v>
      </c>
      <c r="Q88" s="114" t="str">
        <f t="shared" si="12"/>
        <v>EUR-MDB48G4MCWP</v>
      </c>
    </row>
    <row r="89" spans="8:17" x14ac:dyDescent="0.4">
      <c r="H89" s="114" t="s">
        <v>847</v>
      </c>
      <c r="I89">
        <v>400</v>
      </c>
      <c r="J89">
        <v>60</v>
      </c>
      <c r="K89" s="315" t="s">
        <v>874</v>
      </c>
      <c r="L89" t="s">
        <v>878</v>
      </c>
      <c r="M89" s="114" t="str">
        <f t="shared" si="13"/>
        <v>DB60-4-56-G</v>
      </c>
      <c r="N89" s="114" t="str">
        <f t="shared" si="14"/>
        <v>EUR-MDB60G4NAWP</v>
      </c>
      <c r="P89" s="114" t="str">
        <f t="shared" si="11"/>
        <v>DB60-4-56-G</v>
      </c>
      <c r="Q89" s="114" t="str">
        <f t="shared" si="12"/>
        <v>EUR-MDB60G4NAWP</v>
      </c>
    </row>
    <row r="90" spans="8:17" x14ac:dyDescent="0.4">
      <c r="H90" s="114" t="s">
        <v>847</v>
      </c>
      <c r="I90">
        <v>400</v>
      </c>
      <c r="J90">
        <v>60</v>
      </c>
      <c r="K90" s="315" t="s">
        <v>875</v>
      </c>
      <c r="L90" t="s">
        <v>878</v>
      </c>
      <c r="M90" s="114" t="str">
        <f t="shared" si="13"/>
        <v>DB60-4-56-G-M</v>
      </c>
      <c r="N90" s="114" t="str">
        <f t="shared" si="14"/>
        <v>EUR-MDB60G4MCWP</v>
      </c>
      <c r="P90" s="114" t="str">
        <f t="shared" si="11"/>
        <v>DB60-4-56-G-M</v>
      </c>
      <c r="Q90" s="114" t="str">
        <f t="shared" si="12"/>
        <v>EUR-MDB60G4MCWP</v>
      </c>
    </row>
    <row r="91" spans="8:17" x14ac:dyDescent="0.4">
      <c r="H91" s="114" t="s">
        <v>847</v>
      </c>
      <c r="I91">
        <v>400</v>
      </c>
      <c r="J91">
        <v>72</v>
      </c>
      <c r="K91" s="315" t="s">
        <v>874</v>
      </c>
      <c r="L91" t="s">
        <v>878</v>
      </c>
      <c r="M91" s="114" t="str">
        <f t="shared" si="13"/>
        <v>DB72-4-56-G</v>
      </c>
      <c r="N91" s="114" t="str">
        <f t="shared" si="14"/>
        <v>EUR-MDB72G4NAWP</v>
      </c>
      <c r="P91" s="114" t="str">
        <f t="shared" si="11"/>
        <v>DB72-4-56-G</v>
      </c>
      <c r="Q91" s="114" t="str">
        <f t="shared" si="12"/>
        <v>EUR-MDB72G4NAWP</v>
      </c>
    </row>
    <row r="92" spans="8:17" x14ac:dyDescent="0.4">
      <c r="H92" s="114" t="s">
        <v>847</v>
      </c>
      <c r="I92">
        <v>400</v>
      </c>
      <c r="J92">
        <v>72</v>
      </c>
      <c r="K92" s="315" t="s">
        <v>875</v>
      </c>
      <c r="L92" t="s">
        <v>878</v>
      </c>
      <c r="M92" s="114" t="str">
        <f t="shared" si="13"/>
        <v>DB72-4-56-G-M</v>
      </c>
      <c r="N92" s="114" t="str">
        <f t="shared" si="14"/>
        <v>EUR-MDB72G4MCWP</v>
      </c>
      <c r="P92" s="114" t="str">
        <f t="shared" si="11"/>
        <v>DB72-4-56-G-M</v>
      </c>
      <c r="Q92" s="114" t="str">
        <f t="shared" si="12"/>
        <v>EUR-MDB72G4MCWP</v>
      </c>
    </row>
  </sheetData>
  <conditionalFormatting sqref="K2:K11">
    <cfRule type="cellIs" dxfId="11" priority="1" operator="equal">
      <formula>$ZV$2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Job Summary</vt:lpstr>
      <vt:lpstr>Sheet1</vt:lpstr>
      <vt:lpstr>Takeoffs</vt:lpstr>
      <vt:lpstr>Sheet2</vt:lpstr>
      <vt:lpstr>Sheet3</vt:lpstr>
      <vt:lpstr>Unit Types</vt:lpstr>
      <vt:lpstr>Backend</vt:lpstr>
      <vt:lpstr>@MSSB</vt:lpstr>
      <vt:lpstr>_MSSB</vt:lpstr>
      <vt:lpstr>@Fan</vt:lpstr>
      <vt:lpstr>_Fan</vt:lpstr>
      <vt:lpstr>@VRF</vt:lpstr>
      <vt:lpstr>_VRF</vt:lpstr>
      <vt:lpstr>Part List</vt:lpstr>
      <vt:lpstr>IGOC_Parts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SMW</dc:creator>
  <cp:lastModifiedBy>Samuel Williams</cp:lastModifiedBy>
  <cp:lastPrinted>2018-02-02T00:20:37Z</cp:lastPrinted>
  <dcterms:created xsi:type="dcterms:W3CDTF">2017-10-19T06:04:18Z</dcterms:created>
  <dcterms:modified xsi:type="dcterms:W3CDTF">2018-05-22T05:02:50Z</dcterms:modified>
</cp:coreProperties>
</file>