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8_{542C0BC8-2584-4E0A-B9F4-D768F41F2261}" xr6:coauthVersionLast="34" xr6:coauthVersionMax="34" xr10:uidLastSave="{00000000-0000-0000-0000-000000000000}"/>
  <bookViews>
    <workbookView xWindow="0" yWindow="180" windowWidth="19200" windowHeight="7834" xr2:uid="{00000000-000D-0000-FFFF-FFFF00000000}"/>
  </bookViews>
  <sheets>
    <sheet name="Job Summary" sheetId="6" r:id="rId1"/>
    <sheet name="Sheet1" sheetId="5" state="hidden" r:id="rId2"/>
    <sheet name="Sheet4" sheetId="7" state="hidden" r:id="rId3"/>
    <sheet name="Takeoffs" sheetId="1" r:id="rId4"/>
    <sheet name="Sheet2" sheetId="2" state="hidden" r:id="rId5"/>
    <sheet name="Sheet3" sheetId="3" state="hidden" r:id="rId6"/>
    <sheet name="Car Park" sheetId="8" r:id="rId7"/>
    <sheet name="@MSSB" sheetId="10" r:id="rId8"/>
    <sheet name="@Fan" sheetId="12" r:id="rId9"/>
    <sheet name="_MSSB" sheetId="11" state="hidden" r:id="rId10"/>
    <sheet name="_Fan" sheetId="13" state="hidden" r:id="rId11"/>
    <sheet name="@VRF" sheetId="14" r:id="rId12"/>
    <sheet name="_VRF" sheetId="15" state="hidden" r:id="rId13"/>
    <sheet name="Part List" sheetId="16" r:id="rId14"/>
    <sheet name="IGOC_Parts" sheetId="17" state="hidden" r:id="rId15"/>
    <sheet name="MJS Controls" sheetId="9" state="hidden" r:id="rId16"/>
  </sheets>
  <externalReferences>
    <externalReference r:id="rId17"/>
    <externalReference r:id="rId18"/>
    <externalReference r:id="rId19"/>
  </externalReferences>
  <definedNames>
    <definedName name="_xlnm._FilterDatabase" localSheetId="1" hidden="1">Sheet1!$R$1:$S$131</definedName>
    <definedName name="_xlnm._FilterDatabase" localSheetId="3" hidden="1">Takeoffs!$A$1:$CS$2622</definedName>
    <definedName name="_xlnm.Print_Area" localSheetId="0">'Job Summary'!$A$1:$U$43</definedName>
    <definedName name="_xlnm.Print_Area" localSheetId="3">Takeoffs!$A$1:$AN$2120</definedName>
  </definedNames>
  <calcPr calcId="179017"/>
</workbook>
</file>

<file path=xl/calcChain.xml><?xml version="1.0" encoding="utf-8"?>
<calcChain xmlns="http://schemas.openxmlformats.org/spreadsheetml/2006/main">
  <c r="C45" i="8" l="1"/>
  <c r="D45" i="8"/>
  <c r="E45" i="8"/>
  <c r="H3" i="12"/>
  <c r="I3" i="12"/>
  <c r="J3" i="12"/>
  <c r="H4" i="12"/>
  <c r="I4" i="12"/>
  <c r="J4" i="12"/>
  <c r="H5" i="12"/>
  <c r="I5" i="12"/>
  <c r="J5" i="12"/>
  <c r="H6" i="12"/>
  <c r="I6" i="12"/>
  <c r="J6" i="12"/>
  <c r="H7" i="12"/>
  <c r="I7" i="12"/>
  <c r="J7" i="12"/>
  <c r="H8" i="12"/>
  <c r="I8" i="12"/>
  <c r="J8" i="12"/>
  <c r="H9" i="12"/>
  <c r="I9" i="12"/>
  <c r="J9" i="12"/>
  <c r="H10" i="12"/>
  <c r="I10" i="12"/>
  <c r="J10" i="12"/>
  <c r="H11" i="12"/>
  <c r="I11" i="12"/>
  <c r="J11" i="12"/>
  <c r="H12" i="12"/>
  <c r="I12" i="12"/>
  <c r="J12" i="12"/>
  <c r="H13" i="12"/>
  <c r="I13" i="12"/>
  <c r="J13" i="12"/>
  <c r="H14" i="12"/>
  <c r="I14" i="12"/>
  <c r="J14" i="12"/>
  <c r="H15" i="12"/>
  <c r="I15" i="12"/>
  <c r="J15" i="12"/>
  <c r="H16" i="12"/>
  <c r="I16" i="12"/>
  <c r="J16" i="12"/>
  <c r="H17" i="12"/>
  <c r="I17" i="12"/>
  <c r="J17" i="12"/>
  <c r="H18" i="12"/>
  <c r="I18" i="12"/>
  <c r="J18" i="12"/>
  <c r="H19" i="12"/>
  <c r="I19" i="12"/>
  <c r="J19" i="12"/>
  <c r="H20" i="12"/>
  <c r="I20" i="12"/>
  <c r="J20" i="12"/>
  <c r="H21" i="12"/>
  <c r="I21" i="12"/>
  <c r="J21" i="12"/>
  <c r="H22" i="12"/>
  <c r="I22" i="12"/>
  <c r="J22" i="12"/>
  <c r="N28" i="15" l="1"/>
  <c r="J2" i="12"/>
  <c r="C47" i="8"/>
  <c r="E47" i="8" s="1"/>
  <c r="C46" i="8"/>
  <c r="E46" i="8" s="1"/>
  <c r="C44" i="8"/>
  <c r="D44" i="8" l="1"/>
  <c r="E44" i="8" s="1"/>
  <c r="C42" i="8"/>
  <c r="C43" i="8"/>
  <c r="D36" i="8"/>
  <c r="D37" i="8"/>
  <c r="D38" i="8"/>
  <c r="D39" i="8"/>
  <c r="D40" i="8"/>
  <c r="E40" i="8" s="1"/>
  <c r="D41" i="8"/>
  <c r="E41" i="8" s="1"/>
  <c r="D42" i="8"/>
  <c r="D43" i="8"/>
  <c r="D35" i="8"/>
  <c r="C38" i="8"/>
  <c r="C36" i="8"/>
  <c r="C37" i="8"/>
  <c r="C39" i="8"/>
  <c r="C40" i="8"/>
  <c r="C41" i="8"/>
  <c r="C35"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4" i="15"/>
  <c r="A42" i="15"/>
  <c r="A40" i="15"/>
  <c r="A38" i="15"/>
  <c r="A35" i="15"/>
  <c r="A34" i="15"/>
  <c r="A47" i="15" s="1"/>
  <c r="A33" i="15"/>
  <c r="A32" i="15"/>
  <c r="A45" i="15" s="1"/>
  <c r="A31" i="15"/>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X23" i="14"/>
  <c r="F23" i="14"/>
  <c r="B23" i="14"/>
  <c r="AX22" i="14"/>
  <c r="AR22" i="14"/>
  <c r="AO22" i="14"/>
  <c r="AI22" i="14"/>
  <c r="AH22" i="14"/>
  <c r="AG22" i="14"/>
  <c r="AF22" i="14"/>
  <c r="AE22" i="14"/>
  <c r="X22" i="14"/>
  <c r="F22" i="14"/>
  <c r="B22" i="14"/>
  <c r="AX21" i="14"/>
  <c r="AR21" i="14"/>
  <c r="AO21" i="14"/>
  <c r="AI21" i="14"/>
  <c r="AH21" i="14"/>
  <c r="AG21" i="14"/>
  <c r="AF21" i="14"/>
  <c r="AE21" i="14"/>
  <c r="X21" i="14"/>
  <c r="F21" i="14"/>
  <c r="B21" i="14"/>
  <c r="AX20" i="14"/>
  <c r="AR20" i="14"/>
  <c r="AO20" i="14"/>
  <c r="AI20" i="14"/>
  <c r="AH20" i="14"/>
  <c r="AG20" i="14"/>
  <c r="AF20" i="14"/>
  <c r="AE20" i="14"/>
  <c r="X20" i="14"/>
  <c r="F20" i="14"/>
  <c r="B20" i="14"/>
  <c r="AX19" i="14"/>
  <c r="AR19" i="14"/>
  <c r="AO19" i="14"/>
  <c r="AI19" i="14"/>
  <c r="AH19" i="14"/>
  <c r="AG19" i="14"/>
  <c r="AF19" i="14"/>
  <c r="AE19" i="14"/>
  <c r="X19" i="14"/>
  <c r="F19" i="14"/>
  <c r="B19" i="14"/>
  <c r="AX18" i="14"/>
  <c r="AR18" i="14"/>
  <c r="AO18" i="14"/>
  <c r="AI18" i="14"/>
  <c r="AH18" i="14"/>
  <c r="AG18" i="14"/>
  <c r="AF18" i="14"/>
  <c r="AE18" i="14"/>
  <c r="AB18" i="14"/>
  <c r="X18" i="14"/>
  <c r="F18" i="14"/>
  <c r="B18" i="14"/>
  <c r="AX17" i="14"/>
  <c r="AR17" i="14"/>
  <c r="AO17" i="14"/>
  <c r="AI17" i="14"/>
  <c r="AH17" i="14"/>
  <c r="AG17" i="14"/>
  <c r="AF17" i="14"/>
  <c r="AE17" i="14"/>
  <c r="AB17" i="14"/>
  <c r="X17" i="14"/>
  <c r="F17" i="14"/>
  <c r="B17" i="14"/>
  <c r="AX16" i="14"/>
  <c r="AR16" i="14"/>
  <c r="AO16" i="14"/>
  <c r="AI16" i="14"/>
  <c r="AH16" i="14"/>
  <c r="AG16" i="14"/>
  <c r="AF16" i="14"/>
  <c r="AE16" i="14"/>
  <c r="AB16" i="14"/>
  <c r="X16" i="14"/>
  <c r="F16" i="14"/>
  <c r="B16" i="14"/>
  <c r="AX15" i="14"/>
  <c r="AR15" i="14"/>
  <c r="AO15" i="14"/>
  <c r="AI15" i="14"/>
  <c r="AH15" i="14"/>
  <c r="AG15" i="14"/>
  <c r="AF15" i="14"/>
  <c r="AE15" i="14"/>
  <c r="AB15" i="14"/>
  <c r="X15" i="14"/>
  <c r="F15" i="14"/>
  <c r="B15" i="14"/>
  <c r="AX14" i="14"/>
  <c r="AR14" i="14"/>
  <c r="AO14" i="14"/>
  <c r="AI14" i="14"/>
  <c r="AH14" i="14"/>
  <c r="AG14" i="14"/>
  <c r="AF14" i="14"/>
  <c r="AE14" i="14"/>
  <c r="AB14" i="14"/>
  <c r="X14" i="14"/>
  <c r="F14" i="14"/>
  <c r="B14" i="14"/>
  <c r="AX13" i="14"/>
  <c r="AR13" i="14"/>
  <c r="AO13" i="14"/>
  <c r="AI13" i="14"/>
  <c r="AH13" i="14"/>
  <c r="AG13" i="14"/>
  <c r="AF13" i="14"/>
  <c r="AE13" i="14"/>
  <c r="AB13" i="14"/>
  <c r="X13" i="14"/>
  <c r="F13" i="14"/>
  <c r="B13" i="14"/>
  <c r="AX12" i="14"/>
  <c r="AR12" i="14"/>
  <c r="AO12" i="14"/>
  <c r="AI12" i="14"/>
  <c r="AH12" i="14"/>
  <c r="AG12" i="14"/>
  <c r="AF12" i="14"/>
  <c r="AE12" i="14"/>
  <c r="AB12" i="14"/>
  <c r="X12" i="14"/>
  <c r="F12" i="14"/>
  <c r="B12" i="14"/>
  <c r="AX11" i="14"/>
  <c r="AR11" i="14"/>
  <c r="AO11" i="14"/>
  <c r="AI11" i="14"/>
  <c r="AH11" i="14"/>
  <c r="AG11" i="14"/>
  <c r="AF11" i="14"/>
  <c r="AE11" i="14"/>
  <c r="Z11" i="14"/>
  <c r="Y11" i="14"/>
  <c r="X11" i="14"/>
  <c r="F11" i="14"/>
  <c r="B11" i="14"/>
  <c r="AX10" i="14"/>
  <c r="AR10" i="14"/>
  <c r="AO10" i="14"/>
  <c r="AI10" i="14"/>
  <c r="AH10" i="14"/>
  <c r="AG10" i="14"/>
  <c r="AF10" i="14"/>
  <c r="AE10" i="14"/>
  <c r="AB10" i="14"/>
  <c r="Z10" i="14"/>
  <c r="X10" i="14"/>
  <c r="F10" i="14"/>
  <c r="B10" i="14"/>
  <c r="AX9" i="14"/>
  <c r="AR9" i="14"/>
  <c r="AO9" i="14"/>
  <c r="AI9" i="14"/>
  <c r="AH9" i="14"/>
  <c r="AG9" i="14"/>
  <c r="AF9" i="14"/>
  <c r="AE9" i="14"/>
  <c r="AD9" i="14"/>
  <c r="AS9" i="14" s="1"/>
  <c r="AB9" i="14"/>
  <c r="AA9" i="14"/>
  <c r="Z9" i="14"/>
  <c r="Y9" i="14"/>
  <c r="X9" i="14"/>
  <c r="W9" i="14"/>
  <c r="F9" i="14"/>
  <c r="B9" i="14"/>
  <c r="AX8" i="14"/>
  <c r="AR8" i="14"/>
  <c r="AO8" i="14"/>
  <c r="AI8" i="14"/>
  <c r="AH8" i="14"/>
  <c r="AG8" i="14"/>
  <c r="AF8" i="14"/>
  <c r="AE8" i="14"/>
  <c r="AB8" i="14"/>
  <c r="AA8" i="14"/>
  <c r="Z8" i="14"/>
  <c r="Y8" i="14"/>
  <c r="X8" i="14"/>
  <c r="W8" i="14"/>
  <c r="AD8" i="14" s="1"/>
  <c r="F8" i="14"/>
  <c r="B8" i="14"/>
  <c r="AX7" i="14"/>
  <c r="AR7" i="14"/>
  <c r="AO7" i="14"/>
  <c r="AI7" i="14"/>
  <c r="AH7" i="14"/>
  <c r="AG7" i="14"/>
  <c r="AF7" i="14"/>
  <c r="AE7" i="14"/>
  <c r="AB7" i="14"/>
  <c r="AA7" i="14"/>
  <c r="Z7" i="14"/>
  <c r="Y7" i="14"/>
  <c r="X7" i="14"/>
  <c r="W7" i="14"/>
  <c r="AD7" i="14" s="1"/>
  <c r="AS7" i="14" s="1"/>
  <c r="F7" i="14"/>
  <c r="B7" i="14"/>
  <c r="AX6" i="14"/>
  <c r="AR6" i="14"/>
  <c r="AO6" i="14"/>
  <c r="AI6" i="14"/>
  <c r="AH6" i="14"/>
  <c r="AG6" i="14"/>
  <c r="AF6" i="14"/>
  <c r="AE6" i="14"/>
  <c r="AD6" i="14"/>
  <c r="AW6" i="14" s="1"/>
  <c r="AB6" i="14"/>
  <c r="AA6" i="14"/>
  <c r="Z6" i="14"/>
  <c r="Y6" i="14"/>
  <c r="X6" i="14"/>
  <c r="W6" i="14"/>
  <c r="F6" i="14"/>
  <c r="B6" i="14"/>
  <c r="AX5" i="14"/>
  <c r="AR5" i="14"/>
  <c r="AO5" i="14"/>
  <c r="AI5" i="14"/>
  <c r="AH5" i="14"/>
  <c r="AG5" i="14"/>
  <c r="AF5" i="14"/>
  <c r="AE5" i="14"/>
  <c r="AD5" i="14"/>
  <c r="AS5" i="14" s="1"/>
  <c r="AB5" i="14"/>
  <c r="AA5" i="14"/>
  <c r="Z5" i="14"/>
  <c r="Y5" i="14"/>
  <c r="X5" i="14"/>
  <c r="W5" i="14"/>
  <c r="F5" i="14"/>
  <c r="B5" i="14"/>
  <c r="AX4" i="14"/>
  <c r="AR4" i="14"/>
  <c r="AO4" i="14"/>
  <c r="AI4" i="14"/>
  <c r="AH4" i="14"/>
  <c r="AG4" i="14"/>
  <c r="AF4" i="14"/>
  <c r="AE4" i="14"/>
  <c r="AB4" i="14"/>
  <c r="AA4" i="14"/>
  <c r="Z4" i="14"/>
  <c r="Y4" i="14"/>
  <c r="X4" i="14"/>
  <c r="W4" i="14"/>
  <c r="AD4" i="14" s="1"/>
  <c r="F4" i="14"/>
  <c r="B4" i="14"/>
  <c r="AX3" i="14"/>
  <c r="AR3" i="14"/>
  <c r="AO3" i="14"/>
  <c r="AI3" i="14"/>
  <c r="AH3" i="14"/>
  <c r="AG3" i="14"/>
  <c r="AF3" i="14"/>
  <c r="AE3" i="14"/>
  <c r="AD3" i="14"/>
  <c r="AS3" i="14" s="1"/>
  <c r="AB3" i="14"/>
  <c r="AA3" i="14"/>
  <c r="Z3" i="14"/>
  <c r="Y3" i="14"/>
  <c r="X3" i="14"/>
  <c r="W3" i="14"/>
  <c r="F3" i="14"/>
  <c r="B3" i="14"/>
  <c r="AX2" i="14"/>
  <c r="AR2" i="14"/>
  <c r="AO2" i="14"/>
  <c r="AI2" i="14"/>
  <c r="AH2" i="14"/>
  <c r="AG2" i="14"/>
  <c r="AF2" i="14"/>
  <c r="AE2" i="14"/>
  <c r="AD2" i="14"/>
  <c r="AB2" i="14"/>
  <c r="AA2" i="14"/>
  <c r="Z2" i="14"/>
  <c r="Y2" i="14"/>
  <c r="X2" i="14"/>
  <c r="W2" i="14"/>
  <c r="F2" i="14"/>
  <c r="B2" i="14"/>
  <c r="R1" i="14"/>
  <c r="Q1" i="14"/>
  <c r="P1" i="14"/>
  <c r="O1" i="14"/>
  <c r="N1" i="14"/>
  <c r="M1" i="14"/>
  <c r="L1" i="14"/>
  <c r="N28" i="13"/>
  <c r="M28" i="13"/>
  <c r="N26" i="13"/>
  <c r="M26" i="13"/>
  <c r="N24" i="13"/>
  <c r="M24" i="13"/>
  <c r="N22" i="13"/>
  <c r="M22" i="13"/>
  <c r="N20" i="13"/>
  <c r="M20" i="13"/>
  <c r="N18" i="13"/>
  <c r="M18" i="13"/>
  <c r="N16" i="13"/>
  <c r="M16" i="13"/>
  <c r="N14" i="13"/>
  <c r="M14" i="13"/>
  <c r="N12" i="13"/>
  <c r="M12" i="13"/>
  <c r="N10" i="13"/>
  <c r="M10" i="13"/>
  <c r="N8" i="13"/>
  <c r="M8" i="13"/>
  <c r="N6" i="13"/>
  <c r="M6" i="13"/>
  <c r="N4" i="13"/>
  <c r="M4" i="13"/>
  <c r="L4" i="13"/>
  <c r="N2" i="13"/>
  <c r="M2" i="13"/>
  <c r="L2" i="13"/>
  <c r="AG22" i="12"/>
  <c r="AF22" i="12"/>
  <c r="AB22" i="12"/>
  <c r="AA22" i="12"/>
  <c r="Z22" i="12"/>
  <c r="X22" i="12"/>
  <c r="A22" i="12"/>
  <c r="V22" i="12" s="1"/>
  <c r="B22" i="12"/>
  <c r="AG21" i="12"/>
  <c r="AF21" i="12" s="1"/>
  <c r="AB21" i="12"/>
  <c r="AA21" i="12"/>
  <c r="Z21" i="12"/>
  <c r="X21" i="12"/>
  <c r="A21" i="12"/>
  <c r="V21" i="12" s="1"/>
  <c r="B21" i="12"/>
  <c r="AG20" i="12"/>
  <c r="AF20" i="12" s="1"/>
  <c r="AB20" i="12"/>
  <c r="AA20" i="12"/>
  <c r="Z20" i="12"/>
  <c r="X20" i="12"/>
  <c r="A20" i="12"/>
  <c r="V20" i="12" s="1"/>
  <c r="B20" i="12"/>
  <c r="AG19" i="12"/>
  <c r="AF19" i="12" s="1"/>
  <c r="AB19" i="12"/>
  <c r="AA19" i="12"/>
  <c r="Z19" i="12"/>
  <c r="X19" i="12"/>
  <c r="B19" i="12"/>
  <c r="A19" i="12"/>
  <c r="V19" i="12" s="1"/>
  <c r="AG18" i="12"/>
  <c r="AF18" i="12" s="1"/>
  <c r="AB18" i="12"/>
  <c r="AA18" i="12"/>
  <c r="Z18" i="12"/>
  <c r="X18" i="12"/>
  <c r="B18" i="12"/>
  <c r="A18" i="12"/>
  <c r="AG17" i="12"/>
  <c r="AF17" i="12" s="1"/>
  <c r="AB17" i="12"/>
  <c r="AA17" i="12"/>
  <c r="Z17" i="12"/>
  <c r="X17" i="12"/>
  <c r="A17" i="12"/>
  <c r="V17" i="12" s="1"/>
  <c r="B17" i="12"/>
  <c r="AG16" i="12"/>
  <c r="AF16" i="12" s="1"/>
  <c r="AB16" i="12"/>
  <c r="AA16" i="12"/>
  <c r="Z16" i="12"/>
  <c r="X16" i="12"/>
  <c r="A16" i="12"/>
  <c r="B16" i="12"/>
  <c r="AG15" i="12"/>
  <c r="AF15" i="12" s="1"/>
  <c r="AB15" i="12"/>
  <c r="AA15" i="12"/>
  <c r="Z15" i="12"/>
  <c r="X15" i="12"/>
  <c r="B15" i="12"/>
  <c r="A15" i="12"/>
  <c r="V15" i="12" s="1"/>
  <c r="AG14" i="12"/>
  <c r="AF14" i="12" s="1"/>
  <c r="AB14" i="12"/>
  <c r="AA14" i="12"/>
  <c r="Z14" i="12"/>
  <c r="X14" i="12"/>
  <c r="A14" i="12"/>
  <c r="B14" i="12"/>
  <c r="AG13" i="12"/>
  <c r="AF13" i="12" s="1"/>
  <c r="AB13" i="12"/>
  <c r="AA13" i="12"/>
  <c r="Z13" i="12"/>
  <c r="X13" i="12"/>
  <c r="B13" i="12"/>
  <c r="A13" i="12"/>
  <c r="AG12" i="12"/>
  <c r="AF12" i="12" s="1"/>
  <c r="AB12" i="12"/>
  <c r="AA12" i="12"/>
  <c r="Z12" i="12"/>
  <c r="X12" i="12"/>
  <c r="B12" i="12"/>
  <c r="A12" i="12"/>
  <c r="V12" i="12" s="1"/>
  <c r="AG11" i="12"/>
  <c r="AF11" i="12" s="1"/>
  <c r="AB11" i="12"/>
  <c r="AA11" i="12"/>
  <c r="Z11" i="12"/>
  <c r="X11" i="12"/>
  <c r="A11" i="12"/>
  <c r="V11" i="12" s="1"/>
  <c r="B11" i="12"/>
  <c r="AG10" i="12"/>
  <c r="AF10" i="12" s="1"/>
  <c r="AB10" i="12"/>
  <c r="AA10" i="12"/>
  <c r="Z10" i="12"/>
  <c r="X10" i="12"/>
  <c r="A10" i="12"/>
  <c r="B10" i="12"/>
  <c r="AB9" i="12"/>
  <c r="AA9" i="12"/>
  <c r="Z9" i="12"/>
  <c r="X9" i="12"/>
  <c r="B9" i="12"/>
  <c r="A9" i="12"/>
  <c r="AB8" i="12"/>
  <c r="AA8" i="12"/>
  <c r="Z8" i="12"/>
  <c r="X8" i="12"/>
  <c r="B8" i="12"/>
  <c r="A8" i="12"/>
  <c r="V8" i="12" s="1"/>
  <c r="AG7" i="12"/>
  <c r="AB7" i="12"/>
  <c r="AA7" i="12"/>
  <c r="Z7" i="12"/>
  <c r="X7" i="12"/>
  <c r="A7" i="12"/>
  <c r="V7" i="12" s="1"/>
  <c r="B7" i="12"/>
  <c r="AG6" i="12"/>
  <c r="AB6" i="12"/>
  <c r="AA6" i="12"/>
  <c r="Z6" i="12"/>
  <c r="X6" i="12"/>
  <c r="A6" i="12"/>
  <c r="B6" i="12"/>
  <c r="AB5" i="12"/>
  <c r="AA5" i="12"/>
  <c r="Z5" i="12"/>
  <c r="X5" i="12"/>
  <c r="B5" i="12"/>
  <c r="A5" i="12"/>
  <c r="V5" i="12" s="1"/>
  <c r="AG4" i="12"/>
  <c r="AB4" i="12"/>
  <c r="AA4" i="12"/>
  <c r="Z4" i="12"/>
  <c r="X4" i="12"/>
  <c r="B4" i="12"/>
  <c r="A4" i="12"/>
  <c r="V4" i="12" s="1"/>
  <c r="AG3" i="12"/>
  <c r="AB3" i="12"/>
  <c r="AA3" i="12"/>
  <c r="Z3" i="12"/>
  <c r="X3" i="12"/>
  <c r="A3" i="12"/>
  <c r="B3" i="12"/>
  <c r="AG2" i="12"/>
  <c r="AB2" i="12"/>
  <c r="AA2" i="12"/>
  <c r="Z2" i="12"/>
  <c r="X2" i="12"/>
  <c r="A2" i="12"/>
  <c r="B2" i="12"/>
  <c r="Q92" i="11"/>
  <c r="P92" i="11"/>
  <c r="N92" i="11"/>
  <c r="M92" i="11"/>
  <c r="Q91" i="11"/>
  <c r="P91" i="11"/>
  <c r="N91" i="11"/>
  <c r="M91" i="11"/>
  <c r="Q90" i="11"/>
  <c r="P90" i="11"/>
  <c r="N90" i="11"/>
  <c r="M90" i="11"/>
  <c r="Q89" i="11"/>
  <c r="P89" i="11"/>
  <c r="N89" i="11"/>
  <c r="M89" i="11"/>
  <c r="Q88" i="11"/>
  <c r="P88" i="11"/>
  <c r="N88" i="11"/>
  <c r="M88" i="11"/>
  <c r="Q87" i="11"/>
  <c r="P87" i="11"/>
  <c r="N87" i="11"/>
  <c r="M87" i="11"/>
  <c r="Q86" i="11"/>
  <c r="P86" i="11"/>
  <c r="N86" i="11"/>
  <c r="M86" i="11"/>
  <c r="Q85" i="11"/>
  <c r="P85" i="11"/>
  <c r="N85" i="11"/>
  <c r="M85" i="11"/>
  <c r="Q84" i="11"/>
  <c r="P84" i="11"/>
  <c r="N84" i="11"/>
  <c r="M84" i="11"/>
  <c r="Q83" i="11"/>
  <c r="P83" i="11"/>
  <c r="N83" i="11"/>
  <c r="M83" i="11"/>
  <c r="Q82" i="11"/>
  <c r="P82" i="11"/>
  <c r="N82" i="11"/>
  <c r="M82" i="11"/>
  <c r="Q81" i="11"/>
  <c r="P81" i="11"/>
  <c r="N81" i="11"/>
  <c r="M81" i="11"/>
  <c r="Q80" i="11"/>
  <c r="P80" i="11"/>
  <c r="N80" i="11"/>
  <c r="M80" i="11"/>
  <c r="Q79" i="11"/>
  <c r="P79" i="11"/>
  <c r="N79" i="11"/>
  <c r="M79" i="11"/>
  <c r="Q78" i="11"/>
  <c r="P78" i="11"/>
  <c r="N78" i="11"/>
  <c r="M78" i="11"/>
  <c r="Q77" i="11"/>
  <c r="P77" i="11"/>
  <c r="N77" i="11"/>
  <c r="M77" i="11"/>
  <c r="Q76" i="11"/>
  <c r="P76" i="11"/>
  <c r="N76" i="11"/>
  <c r="M76" i="11"/>
  <c r="Q75" i="11"/>
  <c r="P75" i="11"/>
  <c r="N75" i="11"/>
  <c r="M75" i="11"/>
  <c r="Q74" i="11"/>
  <c r="P74" i="11"/>
  <c r="N74" i="11"/>
  <c r="M74" i="11"/>
  <c r="Q73" i="11"/>
  <c r="P73" i="11"/>
  <c r="N73" i="11"/>
  <c r="M73" i="11"/>
  <c r="Q72" i="11"/>
  <c r="P72" i="11"/>
  <c r="N72" i="11"/>
  <c r="M72" i="11"/>
  <c r="Q71" i="11"/>
  <c r="P71" i="11"/>
  <c r="N71" i="11"/>
  <c r="M71" i="11"/>
  <c r="Q70" i="11"/>
  <c r="P70" i="11"/>
  <c r="N70" i="11"/>
  <c r="M70" i="11"/>
  <c r="Q69" i="11"/>
  <c r="P69" i="11"/>
  <c r="N69" i="11"/>
  <c r="M69" i="11"/>
  <c r="Q68" i="11"/>
  <c r="P68" i="11"/>
  <c r="N68" i="11"/>
  <c r="M68" i="11"/>
  <c r="Q67" i="11"/>
  <c r="P67" i="11"/>
  <c r="N67" i="11"/>
  <c r="M67" i="11"/>
  <c r="Q66" i="11"/>
  <c r="P66" i="11"/>
  <c r="N66" i="11"/>
  <c r="M66" i="11"/>
  <c r="Q65" i="11"/>
  <c r="P65" i="11"/>
  <c r="N65" i="11"/>
  <c r="M65" i="11"/>
  <c r="Q64" i="11"/>
  <c r="P64" i="11"/>
  <c r="N64" i="11"/>
  <c r="M64" i="11"/>
  <c r="Q63" i="11"/>
  <c r="P63" i="11"/>
  <c r="N63" i="11"/>
  <c r="M63" i="11"/>
  <c r="Q62" i="11"/>
  <c r="P62" i="11"/>
  <c r="N62" i="11"/>
  <c r="M62" i="11"/>
  <c r="Q61" i="11"/>
  <c r="P61" i="11"/>
  <c r="N61" i="11"/>
  <c r="M61" i="11"/>
  <c r="Q60" i="11"/>
  <c r="P60" i="11"/>
  <c r="N60" i="11"/>
  <c r="M60" i="11"/>
  <c r="Q59" i="11"/>
  <c r="P59" i="11"/>
  <c r="N59" i="11"/>
  <c r="M59" i="11"/>
  <c r="Q58" i="11"/>
  <c r="P58" i="11"/>
  <c r="N58" i="11"/>
  <c r="M58" i="11"/>
  <c r="Q57" i="11"/>
  <c r="P57" i="11"/>
  <c r="N57" i="11"/>
  <c r="M57" i="11"/>
  <c r="Q56" i="11"/>
  <c r="P56" i="11"/>
  <c r="N56" i="11"/>
  <c r="M56" i="11"/>
  <c r="Q55" i="11"/>
  <c r="P55" i="11"/>
  <c r="N55" i="11"/>
  <c r="M55" i="11"/>
  <c r="Q54" i="11"/>
  <c r="P54" i="11"/>
  <c r="N54" i="11"/>
  <c r="M54" i="11"/>
  <c r="Q53" i="11"/>
  <c r="P53" i="11"/>
  <c r="N53" i="11"/>
  <c r="M53" i="11"/>
  <c r="Q52" i="11"/>
  <c r="P52" i="11"/>
  <c r="N52" i="11"/>
  <c r="M52" i="11"/>
  <c r="Q51" i="11"/>
  <c r="P51" i="11"/>
  <c r="N51" i="11"/>
  <c r="M51" i="11"/>
  <c r="Q50" i="11"/>
  <c r="P50" i="11"/>
  <c r="N50" i="11"/>
  <c r="M50" i="11"/>
  <c r="Q49" i="11"/>
  <c r="P49" i="11"/>
  <c r="N49" i="11"/>
  <c r="M49" i="11"/>
  <c r="Q48" i="11"/>
  <c r="P48" i="11"/>
  <c r="N48" i="11"/>
  <c r="M48" i="11"/>
  <c r="Q47" i="11"/>
  <c r="P47" i="11"/>
  <c r="N47" i="11"/>
  <c r="M47" i="11"/>
  <c r="Q46" i="11"/>
  <c r="P46" i="11"/>
  <c r="N46" i="11"/>
  <c r="M46" i="11"/>
  <c r="Q45" i="11"/>
  <c r="P45" i="11"/>
  <c r="N45" i="11"/>
  <c r="M45" i="11"/>
  <c r="Q44" i="11"/>
  <c r="P44" i="11"/>
  <c r="N44" i="11"/>
  <c r="M44" i="11"/>
  <c r="Q43" i="11"/>
  <c r="P43" i="11"/>
  <c r="N43" i="11"/>
  <c r="M43" i="11"/>
  <c r="Q42" i="11"/>
  <c r="P42" i="11"/>
  <c r="N42" i="11"/>
  <c r="M42" i="11"/>
  <c r="Q41" i="11"/>
  <c r="P41" i="11"/>
  <c r="N41" i="11"/>
  <c r="M41" i="11"/>
  <c r="Q40" i="11"/>
  <c r="P40" i="11"/>
  <c r="N40" i="11"/>
  <c r="M40" i="11"/>
  <c r="Q39" i="11"/>
  <c r="P39" i="11"/>
  <c r="N39" i="11"/>
  <c r="M39" i="11"/>
  <c r="Q38" i="11"/>
  <c r="P38" i="11"/>
  <c r="N38" i="11"/>
  <c r="M38" i="11"/>
  <c r="Q37" i="11"/>
  <c r="P37" i="11"/>
  <c r="N37" i="11"/>
  <c r="M37" i="11"/>
  <c r="Q36" i="11"/>
  <c r="P36" i="11"/>
  <c r="N36" i="11"/>
  <c r="M36" i="11"/>
  <c r="Q35" i="11"/>
  <c r="P35" i="11"/>
  <c r="N35" i="11"/>
  <c r="M35" i="11"/>
  <c r="Q34" i="11"/>
  <c r="P34" i="11"/>
  <c r="N34" i="11"/>
  <c r="M34" i="11"/>
  <c r="Q33" i="11"/>
  <c r="P33" i="11"/>
  <c r="N33" i="11"/>
  <c r="M33" i="11"/>
  <c r="Q32" i="11"/>
  <c r="P32" i="11"/>
  <c r="N32" i="11"/>
  <c r="M32" i="11"/>
  <c r="Q31" i="11"/>
  <c r="P31" i="11"/>
  <c r="N31" i="11"/>
  <c r="M31" i="11"/>
  <c r="Q30" i="11"/>
  <c r="P30" i="11"/>
  <c r="N30" i="11"/>
  <c r="M30" i="11"/>
  <c r="Q29" i="11"/>
  <c r="P29" i="11"/>
  <c r="N29" i="11"/>
  <c r="M29" i="11"/>
  <c r="Q28" i="11"/>
  <c r="P28" i="11"/>
  <c r="N28" i="11"/>
  <c r="M28" i="11"/>
  <c r="Q27" i="11"/>
  <c r="P27" i="11"/>
  <c r="N27" i="11"/>
  <c r="M27" i="11"/>
  <c r="Q26" i="11"/>
  <c r="P26" i="11"/>
  <c r="N26" i="11"/>
  <c r="M26" i="11"/>
  <c r="Q25" i="11"/>
  <c r="P25" i="11"/>
  <c r="N25" i="11"/>
  <c r="M25" i="11"/>
  <c r="Q24" i="11"/>
  <c r="P24" i="11"/>
  <c r="N24" i="11"/>
  <c r="M24" i="11"/>
  <c r="Q23" i="11"/>
  <c r="P23" i="11"/>
  <c r="N23" i="11"/>
  <c r="M23" i="11"/>
  <c r="Q22" i="11"/>
  <c r="P22" i="11"/>
  <c r="N22" i="11"/>
  <c r="L22" i="11"/>
  <c r="K22" i="11"/>
  <c r="I22" i="11"/>
  <c r="M22" i="11" s="1"/>
  <c r="Q21" i="11"/>
  <c r="P21" i="11"/>
  <c r="N21" i="11"/>
  <c r="L21" i="11"/>
  <c r="K21" i="11"/>
  <c r="I21" i="11"/>
  <c r="M21" i="11" s="1"/>
  <c r="Q20" i="11"/>
  <c r="P20" i="11"/>
  <c r="N20" i="11"/>
  <c r="L20" i="11"/>
  <c r="K20" i="11"/>
  <c r="I20" i="11"/>
  <c r="M20" i="11" s="1"/>
  <c r="Q19" i="11"/>
  <c r="P19" i="11"/>
  <c r="N19" i="11"/>
  <c r="L19" i="11"/>
  <c r="K19" i="11"/>
  <c r="I19" i="11"/>
  <c r="M19" i="11" s="1"/>
  <c r="H19" i="11"/>
  <c r="H20" i="11" s="1"/>
  <c r="H21" i="11" s="1"/>
  <c r="H22" i="11" s="1"/>
  <c r="Q18" i="11"/>
  <c r="P18" i="11"/>
  <c r="N18" i="11"/>
  <c r="K18" i="11"/>
  <c r="J18" i="11"/>
  <c r="I18" i="11"/>
  <c r="M18" i="11" s="1"/>
  <c r="P17" i="11"/>
  <c r="N17" i="11"/>
  <c r="Q17" i="11" s="1"/>
  <c r="M17" i="11"/>
  <c r="K17" i="11"/>
  <c r="J17" i="11"/>
  <c r="I17" i="11"/>
  <c r="Q16" i="11"/>
  <c r="P16" i="11"/>
  <c r="N16" i="11"/>
  <c r="M16" i="11"/>
  <c r="I16" i="11"/>
  <c r="Q15" i="11"/>
  <c r="P15" i="11"/>
  <c r="N15" i="11"/>
  <c r="M15" i="11"/>
  <c r="I15" i="11"/>
  <c r="Q14" i="11"/>
  <c r="P14" i="11"/>
  <c r="N14" i="11"/>
  <c r="M14" i="11"/>
  <c r="K14" i="11"/>
  <c r="I14" i="11"/>
  <c r="Q13" i="11"/>
  <c r="P13" i="11"/>
  <c r="N13" i="11"/>
  <c r="M13" i="11"/>
  <c r="K13" i="11"/>
  <c r="I13" i="11"/>
  <c r="Q11" i="11"/>
  <c r="P11" i="11"/>
  <c r="J11" i="11"/>
  <c r="Q10" i="11"/>
  <c r="P10" i="11"/>
  <c r="J10" i="11"/>
  <c r="Q9" i="11"/>
  <c r="P9" i="11"/>
  <c r="J9" i="11"/>
  <c r="Q8" i="11"/>
  <c r="P8" i="11"/>
  <c r="J8" i="11"/>
  <c r="Q7" i="11"/>
  <c r="P7" i="11"/>
  <c r="J7" i="11"/>
  <c r="Q6" i="11"/>
  <c r="P6" i="11"/>
  <c r="J6" i="11"/>
  <c r="Q5" i="11"/>
  <c r="P5" i="11"/>
  <c r="J5" i="11"/>
  <c r="Q4" i="11"/>
  <c r="P4" i="11"/>
  <c r="J4" i="11"/>
  <c r="Q3" i="11"/>
  <c r="P3" i="11"/>
  <c r="J3" i="11"/>
  <c r="Q2" i="11"/>
  <c r="P2" i="11"/>
  <c r="J2" i="11"/>
  <c r="Q1" i="11"/>
  <c r="P1" i="11"/>
  <c r="H1" i="11"/>
  <c r="Z22" i="10"/>
  <c r="Y22" i="10"/>
  <c r="X22" i="10"/>
  <c r="W22" i="10"/>
  <c r="V22" i="10"/>
  <c r="U22" i="10"/>
  <c r="T22" i="10"/>
  <c r="S22" i="10"/>
  <c r="R22" i="10"/>
  <c r="P22" i="10"/>
  <c r="I22" i="10"/>
  <c r="H22" i="10"/>
  <c r="D22" i="10" s="1"/>
  <c r="G22" i="10"/>
  <c r="C22" i="10" s="1"/>
  <c r="B22" i="10"/>
  <c r="A22" i="10"/>
  <c r="Z21" i="10"/>
  <c r="Y21" i="10"/>
  <c r="X21" i="10"/>
  <c r="W21" i="10"/>
  <c r="V21" i="10"/>
  <c r="U21" i="10"/>
  <c r="T21" i="10"/>
  <c r="S21" i="10"/>
  <c r="R21" i="10"/>
  <c r="P21" i="10"/>
  <c r="I21" i="10"/>
  <c r="H21" i="10"/>
  <c r="D21" i="10" s="1"/>
  <c r="G21" i="10"/>
  <c r="C21" i="10" s="1"/>
  <c r="B21" i="10"/>
  <c r="A21" i="10"/>
  <c r="Z20" i="10"/>
  <c r="Y20" i="10"/>
  <c r="X20" i="10"/>
  <c r="W20" i="10"/>
  <c r="V20" i="10"/>
  <c r="U20" i="10"/>
  <c r="T20" i="10"/>
  <c r="S20" i="10"/>
  <c r="R20" i="10"/>
  <c r="P20" i="10"/>
  <c r="I20" i="10"/>
  <c r="H20" i="10"/>
  <c r="D20" i="10" s="1"/>
  <c r="G20" i="10"/>
  <c r="C20" i="10" s="1"/>
  <c r="B20" i="10"/>
  <c r="A20" i="10"/>
  <c r="Z19" i="10"/>
  <c r="Y19" i="10"/>
  <c r="X19" i="10"/>
  <c r="W19" i="10"/>
  <c r="V19" i="10"/>
  <c r="U19" i="10"/>
  <c r="T19" i="10"/>
  <c r="S19" i="10"/>
  <c r="R19" i="10"/>
  <c r="P19" i="10"/>
  <c r="I19" i="10"/>
  <c r="H19" i="10"/>
  <c r="D19" i="10" s="1"/>
  <c r="G19" i="10"/>
  <c r="C19" i="10" s="1"/>
  <c r="B19" i="10"/>
  <c r="A19" i="10"/>
  <c r="Z18" i="10"/>
  <c r="Y18" i="10"/>
  <c r="X18" i="10"/>
  <c r="W18" i="10"/>
  <c r="V18" i="10"/>
  <c r="U18" i="10"/>
  <c r="T18" i="10"/>
  <c r="S18" i="10"/>
  <c r="R18" i="10"/>
  <c r="P18" i="10"/>
  <c r="I18" i="10"/>
  <c r="H18" i="10"/>
  <c r="D18" i="10" s="1"/>
  <c r="G18" i="10"/>
  <c r="C18" i="10" s="1"/>
  <c r="B18" i="10"/>
  <c r="A18" i="10"/>
  <c r="Z17" i="10"/>
  <c r="Y17" i="10"/>
  <c r="X17" i="10"/>
  <c r="W17" i="10"/>
  <c r="V17" i="10"/>
  <c r="U17" i="10"/>
  <c r="T17" i="10"/>
  <c r="S17" i="10"/>
  <c r="R17" i="10"/>
  <c r="P17" i="10"/>
  <c r="I17" i="10"/>
  <c r="H17" i="10"/>
  <c r="D17" i="10" s="1"/>
  <c r="G17" i="10"/>
  <c r="C17" i="10" s="1"/>
  <c r="B17" i="10"/>
  <c r="A17" i="10"/>
  <c r="Z16" i="10"/>
  <c r="Y16" i="10"/>
  <c r="X16" i="10"/>
  <c r="W16" i="10"/>
  <c r="V16" i="10"/>
  <c r="U16" i="10"/>
  <c r="T16" i="10"/>
  <c r="S16" i="10"/>
  <c r="R16" i="10"/>
  <c r="P16" i="10"/>
  <c r="I16" i="10"/>
  <c r="H16" i="10"/>
  <c r="D16" i="10" s="1"/>
  <c r="G16" i="10"/>
  <c r="C16" i="10" s="1"/>
  <c r="B16" i="10"/>
  <c r="A16" i="10"/>
  <c r="Z15" i="10"/>
  <c r="Y15" i="10"/>
  <c r="X15" i="10"/>
  <c r="W15" i="10"/>
  <c r="V15" i="10"/>
  <c r="U15" i="10"/>
  <c r="T15" i="10"/>
  <c r="S15" i="10"/>
  <c r="R15" i="10"/>
  <c r="P15" i="10"/>
  <c r="I15" i="10"/>
  <c r="H15" i="10"/>
  <c r="D15" i="10" s="1"/>
  <c r="G15" i="10"/>
  <c r="C15" i="10" s="1"/>
  <c r="B15" i="10"/>
  <c r="A15" i="10"/>
  <c r="Z14" i="10"/>
  <c r="Y14" i="10"/>
  <c r="X14" i="10"/>
  <c r="W14" i="10"/>
  <c r="V14" i="10"/>
  <c r="U14" i="10"/>
  <c r="T14" i="10"/>
  <c r="S14" i="10"/>
  <c r="R14" i="10"/>
  <c r="P14" i="10"/>
  <c r="I14" i="10"/>
  <c r="H14" i="10"/>
  <c r="D14" i="10" s="1"/>
  <c r="G14" i="10"/>
  <c r="C14" i="10" s="1"/>
  <c r="B14" i="10"/>
  <c r="A14" i="10"/>
  <c r="Z13" i="10"/>
  <c r="Y13" i="10"/>
  <c r="X13" i="10"/>
  <c r="W13" i="10"/>
  <c r="V13" i="10"/>
  <c r="U13" i="10"/>
  <c r="T13" i="10"/>
  <c r="S13" i="10"/>
  <c r="R13" i="10"/>
  <c r="P13" i="10"/>
  <c r="I13" i="10"/>
  <c r="H13" i="10"/>
  <c r="D13" i="10" s="1"/>
  <c r="G13" i="10"/>
  <c r="C13" i="10" s="1"/>
  <c r="B13" i="10"/>
  <c r="A13" i="10"/>
  <c r="Z12" i="10"/>
  <c r="Y12" i="10"/>
  <c r="X12" i="10"/>
  <c r="W12" i="10"/>
  <c r="V12" i="10"/>
  <c r="U12" i="10"/>
  <c r="T12" i="10"/>
  <c r="S12" i="10"/>
  <c r="R12" i="10"/>
  <c r="P12" i="10"/>
  <c r="I12" i="10"/>
  <c r="H12" i="10"/>
  <c r="D12" i="10" s="1"/>
  <c r="G12" i="10"/>
  <c r="C12" i="10" s="1"/>
  <c r="B12" i="10"/>
  <c r="A12" i="10"/>
  <c r="Z11" i="10"/>
  <c r="Y11" i="10"/>
  <c r="X11" i="10"/>
  <c r="W11" i="10"/>
  <c r="V11" i="10"/>
  <c r="U11" i="10"/>
  <c r="T11" i="10"/>
  <c r="S11" i="10"/>
  <c r="R11" i="10"/>
  <c r="P11" i="10"/>
  <c r="I11" i="10"/>
  <c r="H11" i="10"/>
  <c r="D11" i="10" s="1"/>
  <c r="G11" i="10"/>
  <c r="C11" i="10" s="1"/>
  <c r="B11" i="10"/>
  <c r="A11" i="10"/>
  <c r="Z10" i="10"/>
  <c r="Y10" i="10"/>
  <c r="X10" i="10"/>
  <c r="W10" i="10"/>
  <c r="V10" i="10"/>
  <c r="U10" i="10"/>
  <c r="T10" i="10"/>
  <c r="S10" i="10"/>
  <c r="R10" i="10"/>
  <c r="P10" i="10"/>
  <c r="I10" i="10"/>
  <c r="H10" i="10"/>
  <c r="D10" i="10" s="1"/>
  <c r="G10" i="10"/>
  <c r="C10" i="10" s="1"/>
  <c r="B10" i="10"/>
  <c r="A10" i="10"/>
  <c r="Z9" i="10"/>
  <c r="Y9" i="10"/>
  <c r="X9" i="10"/>
  <c r="W9" i="10"/>
  <c r="V9" i="10"/>
  <c r="U9" i="10"/>
  <c r="T9" i="10"/>
  <c r="S9" i="10"/>
  <c r="R9" i="10"/>
  <c r="P9" i="10"/>
  <c r="I9" i="10"/>
  <c r="H9" i="10"/>
  <c r="D9" i="10" s="1"/>
  <c r="G9" i="10"/>
  <c r="C9" i="10" s="1"/>
  <c r="B9" i="10"/>
  <c r="A9" i="10"/>
  <c r="Z8" i="10"/>
  <c r="Y8" i="10"/>
  <c r="X8" i="10"/>
  <c r="W8" i="10"/>
  <c r="V8" i="10"/>
  <c r="U8" i="10"/>
  <c r="T8" i="10"/>
  <c r="S8" i="10"/>
  <c r="R8" i="10"/>
  <c r="P8" i="10"/>
  <c r="I8" i="10"/>
  <c r="H8" i="10"/>
  <c r="D8" i="10" s="1"/>
  <c r="G8" i="10"/>
  <c r="C8" i="10" s="1"/>
  <c r="B8" i="10"/>
  <c r="A8" i="10"/>
  <c r="Z7" i="10"/>
  <c r="Y7" i="10"/>
  <c r="X7" i="10"/>
  <c r="W7" i="10"/>
  <c r="V7" i="10"/>
  <c r="U7" i="10"/>
  <c r="T7" i="10"/>
  <c r="S7" i="10"/>
  <c r="R7" i="10"/>
  <c r="P7" i="10"/>
  <c r="I7" i="10"/>
  <c r="H7" i="10"/>
  <c r="D7" i="10" s="1"/>
  <c r="G7" i="10"/>
  <c r="C7" i="10" s="1"/>
  <c r="B7" i="10"/>
  <c r="A7" i="10"/>
  <c r="Y6" i="10"/>
  <c r="X6" i="10"/>
  <c r="Z6" i="10" s="1"/>
  <c r="W6" i="10"/>
  <c r="V6" i="10"/>
  <c r="U6" i="10"/>
  <c r="T6" i="10"/>
  <c r="S6" i="10"/>
  <c r="I6" i="10"/>
  <c r="H6" i="10" s="1"/>
  <c r="D6" i="10" s="1"/>
  <c r="B6" i="10"/>
  <c r="A6" i="10"/>
  <c r="Y5" i="10"/>
  <c r="X5" i="10"/>
  <c r="Z5" i="10" s="1"/>
  <c r="W5" i="10"/>
  <c r="V5" i="10"/>
  <c r="U5" i="10"/>
  <c r="T5" i="10"/>
  <c r="S5" i="10"/>
  <c r="I5" i="10"/>
  <c r="R5" i="10" s="1"/>
  <c r="H5" i="10"/>
  <c r="D5" i="10" s="1"/>
  <c r="B5" i="10"/>
  <c r="A5" i="10"/>
  <c r="Z4" i="10"/>
  <c r="Y4" i="10"/>
  <c r="X4" i="10"/>
  <c r="W4" i="10"/>
  <c r="H4" i="10" s="1"/>
  <c r="D4" i="10" s="1"/>
  <c r="V4" i="10"/>
  <c r="U4" i="10"/>
  <c r="T4" i="10"/>
  <c r="S4" i="10"/>
  <c r="R4" i="10"/>
  <c r="I4" i="10"/>
  <c r="P4" i="10" s="1"/>
  <c r="B4" i="10"/>
  <c r="Z3" i="10"/>
  <c r="Y3" i="10"/>
  <c r="X3" i="10"/>
  <c r="W3" i="10"/>
  <c r="V3" i="10"/>
  <c r="U3" i="10"/>
  <c r="T3" i="10"/>
  <c r="S3" i="10"/>
  <c r="R3" i="10"/>
  <c r="P3" i="10"/>
  <c r="I3" i="10"/>
  <c r="H3" i="10"/>
  <c r="D3" i="10" s="1"/>
  <c r="G3" i="10"/>
  <c r="C3" i="10" s="1"/>
  <c r="B3" i="10"/>
  <c r="A3" i="10"/>
  <c r="Y2" i="10"/>
  <c r="X2" i="10"/>
  <c r="Z2" i="10" s="1"/>
  <c r="W2" i="10"/>
  <c r="V2" i="10"/>
  <c r="U2" i="10"/>
  <c r="T2" i="10"/>
  <c r="AD2" i="10" s="1"/>
  <c r="AA2" i="10" s="1"/>
  <c r="S2" i="10"/>
  <c r="I2" i="10"/>
  <c r="B2" i="10"/>
  <c r="Y1" i="10"/>
  <c r="X1" i="10"/>
  <c r="V1" i="10"/>
  <c r="U1" i="10"/>
  <c r="T1" i="10"/>
  <c r="G4" i="10" l="1"/>
  <c r="C4" i="10" s="1"/>
  <c r="P6" i="10"/>
  <c r="P5" i="10"/>
  <c r="G6" i="10"/>
  <c r="C6" i="10" s="1"/>
  <c r="R6" i="10"/>
  <c r="A4" i="10"/>
  <c r="AB2" i="10"/>
  <c r="G5" i="10"/>
  <c r="C5" i="10" s="1"/>
  <c r="AW4" i="14"/>
  <c r="AS4" i="14"/>
  <c r="AW8" i="14"/>
  <c r="AS8" i="14"/>
  <c r="AW9" i="14"/>
  <c r="J2" i="14"/>
  <c r="D2" i="14" s="1"/>
  <c r="I2" i="12"/>
  <c r="D2" i="12" s="1"/>
  <c r="E37" i="8"/>
  <c r="E36" i="8"/>
  <c r="E42" i="8"/>
  <c r="C3" i="12"/>
  <c r="C5" i="12"/>
  <c r="C13" i="12"/>
  <c r="C15" i="12"/>
  <c r="C6" i="12"/>
  <c r="C8" i="12"/>
  <c r="C10" i="12"/>
  <c r="C12" i="12"/>
  <c r="C14" i="12"/>
  <c r="C16" i="12"/>
  <c r="C20" i="12"/>
  <c r="C22" i="12"/>
  <c r="C21" i="12"/>
  <c r="H2" i="12"/>
  <c r="C2" i="12" s="1"/>
  <c r="C4" i="12"/>
  <c r="D3" i="12"/>
  <c r="D5" i="12"/>
  <c r="D9" i="12"/>
  <c r="D11" i="12"/>
  <c r="D13" i="12"/>
  <c r="D15" i="12"/>
  <c r="D19" i="12"/>
  <c r="D21" i="12"/>
  <c r="D6" i="12"/>
  <c r="D8" i="12"/>
  <c r="D10" i="12"/>
  <c r="D12" i="12"/>
  <c r="D14" i="12"/>
  <c r="D16" i="12"/>
  <c r="D18" i="12"/>
  <c r="D20" i="12"/>
  <c r="C9" i="12"/>
  <c r="J3" i="14"/>
  <c r="D3" i="14" s="1"/>
  <c r="C18" i="12"/>
  <c r="E38" i="8"/>
  <c r="J7" i="14"/>
  <c r="D7" i="14" s="1"/>
  <c r="I7" i="14"/>
  <c r="C7" i="14" s="1"/>
  <c r="D17" i="12"/>
  <c r="I3" i="14"/>
  <c r="C3" i="14" s="1"/>
  <c r="E43" i="8"/>
  <c r="E39" i="8"/>
  <c r="E35" i="8"/>
  <c r="R2" i="10"/>
  <c r="G2" i="10"/>
  <c r="C2" i="10" s="1"/>
  <c r="A2" i="10"/>
  <c r="P2" i="10"/>
  <c r="AC2" i="10"/>
  <c r="AD3" i="10"/>
  <c r="H2" i="10"/>
  <c r="D2" i="10" s="1"/>
  <c r="V6" i="12"/>
  <c r="V9" i="12"/>
  <c r="V10" i="12"/>
  <c r="V14" i="12"/>
  <c r="V16" i="12"/>
  <c r="V18" i="12"/>
  <c r="AQ13" i="14"/>
  <c r="AQ17" i="14"/>
  <c r="D4" i="12"/>
  <c r="AG5" i="12"/>
  <c r="C7" i="12"/>
  <c r="AG9" i="12"/>
  <c r="C11" i="12"/>
  <c r="C19" i="12"/>
  <c r="J4" i="14"/>
  <c r="D4" i="14" s="1"/>
  <c r="I4" i="14"/>
  <c r="C4" i="14" s="1"/>
  <c r="J8" i="14"/>
  <c r="D8" i="14" s="1"/>
  <c r="I8" i="14"/>
  <c r="C8" i="14" s="1"/>
  <c r="AQ14" i="14"/>
  <c r="AQ18" i="14"/>
  <c r="AQ19" i="14"/>
  <c r="AQ20" i="14"/>
  <c r="AQ21" i="14"/>
  <c r="AQ22" i="14"/>
  <c r="D7" i="12"/>
  <c r="AG8" i="12"/>
  <c r="V13" i="12"/>
  <c r="AS2" i="14"/>
  <c r="J5" i="14"/>
  <c r="D5" i="14" s="1"/>
  <c r="I5" i="14"/>
  <c r="C5" i="14" s="1"/>
  <c r="AS6" i="14"/>
  <c r="J9" i="14"/>
  <c r="D9" i="14" s="1"/>
  <c r="I9" i="14"/>
  <c r="C9" i="14" s="1"/>
  <c r="AQ11" i="14"/>
  <c r="AQ15" i="14"/>
  <c r="D22" i="12"/>
  <c r="C17" i="12"/>
  <c r="I2" i="14"/>
  <c r="C2" i="14" s="1"/>
  <c r="J6" i="14"/>
  <c r="D6" i="14" s="1"/>
  <c r="I6" i="14"/>
  <c r="C6" i="14" s="1"/>
  <c r="K7" i="14"/>
  <c r="A7" i="14" s="1"/>
  <c r="AQ12" i="14"/>
  <c r="AQ16" i="14"/>
  <c r="A39" i="15"/>
  <c r="K2" i="14" s="1"/>
  <c r="A2" i="14" s="1"/>
  <c r="AA23" i="14"/>
  <c r="W23" i="14"/>
  <c r="AD23" i="14" s="1"/>
  <c r="AW23" i="14" s="1"/>
  <c r="AA22" i="14"/>
  <c r="W22" i="14"/>
  <c r="AD22" i="14" s="1"/>
  <c r="I22" i="14" s="1"/>
  <c r="C22" i="14" s="1"/>
  <c r="AA21" i="14"/>
  <c r="W21" i="14"/>
  <c r="AD21" i="14" s="1"/>
  <c r="J21" i="14" s="1"/>
  <c r="D21" i="14" s="1"/>
  <c r="AA20" i="14"/>
  <c r="W20" i="14"/>
  <c r="AD20" i="14" s="1"/>
  <c r="J20" i="14" s="1"/>
  <c r="D20" i="14" s="1"/>
  <c r="AA19" i="14"/>
  <c r="W19" i="14"/>
  <c r="AD19" i="14" s="1"/>
  <c r="J19" i="14" s="1"/>
  <c r="D19" i="14" s="1"/>
  <c r="AA18" i="14"/>
  <c r="W18" i="14"/>
  <c r="AD18" i="14" s="1"/>
  <c r="I18" i="14" s="1"/>
  <c r="C18" i="14" s="1"/>
  <c r="AA17" i="14"/>
  <c r="W17" i="14"/>
  <c r="AD17" i="14" s="1"/>
  <c r="J17" i="14" s="1"/>
  <c r="D17" i="14" s="1"/>
  <c r="AA16" i="14"/>
  <c r="W16" i="14"/>
  <c r="AD16" i="14" s="1"/>
  <c r="J16" i="14" s="1"/>
  <c r="D16" i="14" s="1"/>
  <c r="AA15" i="14"/>
  <c r="W15" i="14"/>
  <c r="AD15" i="14" s="1"/>
  <c r="I15" i="14" s="1"/>
  <c r="C15" i="14" s="1"/>
  <c r="AA14" i="14"/>
  <c r="W14" i="14"/>
  <c r="AD14" i="14" s="1"/>
  <c r="J14" i="14" s="1"/>
  <c r="D14" i="14" s="1"/>
  <c r="AA13" i="14"/>
  <c r="W13" i="14"/>
  <c r="AD13" i="14" s="1"/>
  <c r="J13" i="14" s="1"/>
  <c r="D13" i="14" s="1"/>
  <c r="AA12" i="14"/>
  <c r="W12" i="14"/>
  <c r="AD12" i="14" s="1"/>
  <c r="J12" i="14" s="1"/>
  <c r="D12" i="14" s="1"/>
  <c r="AA11" i="14"/>
  <c r="W11" i="14"/>
  <c r="AD11" i="14" s="1"/>
  <c r="J11" i="14" s="1"/>
  <c r="D11" i="14" s="1"/>
  <c r="AA10" i="14"/>
  <c r="W10" i="14"/>
  <c r="AD10" i="14" s="1"/>
  <c r="J10" i="14" s="1"/>
  <c r="D10" i="14" s="1"/>
  <c r="Y23" i="14"/>
  <c r="Y22" i="14"/>
  <c r="Y21" i="14"/>
  <c r="Y20" i="14"/>
  <c r="Y19" i="14"/>
  <c r="Y18" i="14"/>
  <c r="Y17" i="14"/>
  <c r="Y16" i="14"/>
  <c r="Y15" i="14"/>
  <c r="Y14" i="14"/>
  <c r="Y13" i="14"/>
  <c r="Y12" i="14"/>
  <c r="AQ2" i="14"/>
  <c r="AQ3" i="14"/>
  <c r="AQ4" i="14"/>
  <c r="AQ5" i="14"/>
  <c r="AQ6" i="14"/>
  <c r="AQ7" i="14"/>
  <c r="AQ8" i="14"/>
  <c r="AQ9" i="14"/>
  <c r="Y10" i="14"/>
  <c r="AQ10" i="14"/>
  <c r="AB11" i="14"/>
  <c r="K11" i="14" s="1"/>
  <c r="A11" i="14" s="1"/>
  <c r="Z12" i="14"/>
  <c r="Z13" i="14"/>
  <c r="Z14" i="14"/>
  <c r="Z15" i="14"/>
  <c r="Z16" i="14"/>
  <c r="Z17" i="14"/>
  <c r="Z18" i="14"/>
  <c r="Z19" i="14"/>
  <c r="Z20" i="14"/>
  <c r="Z21" i="14"/>
  <c r="Z22" i="14"/>
  <c r="Z23" i="14"/>
  <c r="AB19" i="14"/>
  <c r="AB20" i="14"/>
  <c r="AB21" i="14"/>
  <c r="AB22" i="14"/>
  <c r="AB23" i="14"/>
  <c r="Z1814" i="1"/>
  <c r="Z1813" i="1"/>
  <c r="N31" i="8"/>
  <c r="C31" i="8"/>
  <c r="I16" i="14" l="1"/>
  <c r="C16" i="14" s="1"/>
  <c r="I11" i="14"/>
  <c r="C11" i="14" s="1"/>
  <c r="I10" i="14"/>
  <c r="C10" i="14" s="1"/>
  <c r="I12" i="14"/>
  <c r="C12" i="14" s="1"/>
  <c r="E34" i="8"/>
  <c r="K13" i="14"/>
  <c r="A13" i="14" s="1"/>
  <c r="K18" i="14"/>
  <c r="A18" i="14" s="1"/>
  <c r="K12" i="14"/>
  <c r="A12" i="14" s="1"/>
  <c r="K16" i="14"/>
  <c r="A16" i="14" s="1"/>
  <c r="K20" i="14"/>
  <c r="A20" i="14" s="1"/>
  <c r="K3" i="14"/>
  <c r="A3" i="14" s="1"/>
  <c r="J15" i="14"/>
  <c r="D15" i="14" s="1"/>
  <c r="J22" i="14"/>
  <c r="D22" i="14" s="1"/>
  <c r="I19" i="14"/>
  <c r="C19" i="14" s="1"/>
  <c r="J18" i="14"/>
  <c r="D18" i="14" s="1"/>
  <c r="K5" i="14"/>
  <c r="A5" i="14" s="1"/>
  <c r="AM5" i="14" s="1"/>
  <c r="AD4" i="10"/>
  <c r="I23" i="14"/>
  <c r="C23" i="14" s="1"/>
  <c r="I20" i="14"/>
  <c r="C20" i="14" s="1"/>
  <c r="K9" i="14"/>
  <c r="A9" i="14" s="1"/>
  <c r="I17" i="14"/>
  <c r="C17" i="14" s="1"/>
  <c r="K8" i="14"/>
  <c r="A8" i="14" s="1"/>
  <c r="AB3" i="10"/>
  <c r="K21" i="14"/>
  <c r="A21" i="14" s="1"/>
  <c r="K14" i="14"/>
  <c r="A14" i="14" s="1"/>
  <c r="J23" i="14"/>
  <c r="D23" i="14" s="1"/>
  <c r="I21" i="14"/>
  <c r="C21" i="14" s="1"/>
  <c r="I14" i="14"/>
  <c r="C14" i="14" s="1"/>
  <c r="I13" i="14"/>
  <c r="C13" i="14" s="1"/>
  <c r="K4" i="14"/>
  <c r="A4" i="14" s="1"/>
  <c r="K17" i="14"/>
  <c r="A17" i="14" s="1"/>
  <c r="K22" i="14"/>
  <c r="A22" i="14" s="1"/>
  <c r="K10" i="14"/>
  <c r="A10" i="14" s="1"/>
  <c r="AM10" i="14" s="1"/>
  <c r="K15" i="14"/>
  <c r="A15" i="14" s="1"/>
  <c r="AM15" i="14" s="1"/>
  <c r="K19" i="14"/>
  <c r="A19" i="14" s="1"/>
  <c r="AM19" i="14" s="1"/>
  <c r="K23" i="14"/>
  <c r="A23" i="14" s="1"/>
  <c r="AM23" i="14" s="1"/>
  <c r="K6" i="14"/>
  <c r="A6" i="14" s="1"/>
  <c r="AA3" i="10"/>
  <c r="AC3" i="10" s="1"/>
  <c r="AM13" i="14"/>
  <c r="AM14" i="14"/>
  <c r="AM17" i="14"/>
  <c r="AM18" i="14"/>
  <c r="AM20" i="14"/>
  <c r="AM21" i="14"/>
  <c r="AM22" i="14"/>
  <c r="AS10" i="14"/>
  <c r="AW11" i="14"/>
  <c r="AS11" i="14"/>
  <c r="AW12" i="14"/>
  <c r="AS12" i="14"/>
  <c r="AW13" i="14"/>
  <c r="AS13" i="14"/>
  <c r="AW14" i="14"/>
  <c r="AS14" i="14"/>
  <c r="AW15" i="14"/>
  <c r="AS15" i="14"/>
  <c r="AW16" i="14"/>
  <c r="AS16" i="14"/>
  <c r="AW17" i="14"/>
  <c r="AS17" i="14"/>
  <c r="AW18" i="14"/>
  <c r="AS18" i="14"/>
  <c r="AW19" i="14"/>
  <c r="AS19" i="14"/>
  <c r="AW20" i="14"/>
  <c r="AS20" i="14"/>
  <c r="AW21" i="14"/>
  <c r="AS21" i="14"/>
  <c r="AW22" i="14"/>
  <c r="AS22" i="14"/>
  <c r="AM11" i="14"/>
  <c r="AM7" i="14"/>
  <c r="AM3" i="14"/>
  <c r="AM6" i="14"/>
  <c r="AM9" i="14"/>
  <c r="AP2116" i="1"/>
  <c r="AP1" i="1"/>
  <c r="AM8" i="14" l="1"/>
  <c r="AM16" i="14"/>
  <c r="AM12" i="14"/>
  <c r="AM4" i="14"/>
  <c r="AB4" i="10"/>
  <c r="AD5" i="10"/>
  <c r="AA4" i="10"/>
  <c r="AC4" i="10"/>
  <c r="B38" i="6"/>
  <c r="B29" i="6" s="1"/>
  <c r="M13" i="6"/>
  <c r="M14" i="6"/>
  <c r="K13" i="6"/>
  <c r="K14" i="6"/>
  <c r="I13" i="6"/>
  <c r="I14" i="6"/>
  <c r="AD6" i="10" l="1"/>
  <c r="AA5" i="10"/>
  <c r="AC5" i="10"/>
  <c r="AB5" i="10"/>
  <c r="N14" i="6"/>
  <c r="O14" i="6" s="1"/>
  <c r="N13" i="6"/>
  <c r="O13" i="6" s="1"/>
  <c r="AC6" i="10" l="1"/>
  <c r="AD7" i="10"/>
  <c r="AA6" i="10"/>
  <c r="AB6" i="10"/>
  <c r="E51" i="8"/>
  <c r="E50" i="8"/>
  <c r="N16" i="8"/>
  <c r="P16" i="8" s="1"/>
  <c r="Q16" i="8" s="1"/>
  <c r="D8" i="8"/>
  <c r="D9" i="8"/>
  <c r="D10" i="8"/>
  <c r="E10" i="8" s="1"/>
  <c r="G10" i="8" s="1"/>
  <c r="D11" i="8"/>
  <c r="E11" i="8" s="1"/>
  <c r="G11" i="8" s="1"/>
  <c r="D12" i="8"/>
  <c r="G12" i="8" s="1"/>
  <c r="D7" i="8"/>
  <c r="N32" i="8"/>
  <c r="C23" i="8" s="1"/>
  <c r="N18" i="8"/>
  <c r="C17" i="8" s="1"/>
  <c r="N19" i="8"/>
  <c r="C18" i="8" s="1"/>
  <c r="N39" i="8"/>
  <c r="N26" i="8"/>
  <c r="C27" i="8" s="1"/>
  <c r="E12" i="6" s="1"/>
  <c r="N20" i="8"/>
  <c r="C19" i="8" s="1"/>
  <c r="N29" i="8"/>
  <c r="C30" i="8" s="1"/>
  <c r="N42" i="8"/>
  <c r="C71" i="8" s="1"/>
  <c r="N41" i="8"/>
  <c r="C69" i="8" s="1"/>
  <c r="N40" i="8"/>
  <c r="C68" i="8" s="1"/>
  <c r="S26" i="9"/>
  <c r="S27" i="9"/>
  <c r="S28" i="9"/>
  <c r="N28" i="8"/>
  <c r="C29" i="8" s="1"/>
  <c r="N27" i="8"/>
  <c r="C28" i="8" s="1"/>
  <c r="M27" i="8"/>
  <c r="M29" i="8"/>
  <c r="M31" i="8"/>
  <c r="D23" i="8"/>
  <c r="M40" i="8"/>
  <c r="B68" i="8" s="1"/>
  <c r="L27" i="8"/>
  <c r="L31" i="8"/>
  <c r="N25" i="8"/>
  <c r="N23" i="8"/>
  <c r="C22" i="8" s="1"/>
  <c r="N22" i="8"/>
  <c r="C21" i="8" s="1"/>
  <c r="N21" i="8"/>
  <c r="C20" i="8" s="1"/>
  <c r="N17" i="8"/>
  <c r="L19" i="8"/>
  <c r="M20" i="8"/>
  <c r="B19" i="8" s="1"/>
  <c r="L23" i="8"/>
  <c r="M25" i="8"/>
  <c r="Q5" i="9"/>
  <c r="L18" i="8" s="1"/>
  <c r="R5" i="9"/>
  <c r="M18" i="8" s="1"/>
  <c r="B17" i="8" s="1"/>
  <c r="S5" i="9"/>
  <c r="T5" i="9"/>
  <c r="O18" i="8" s="1"/>
  <c r="D17" i="8" s="1"/>
  <c r="Q8" i="9"/>
  <c r="R8" i="9"/>
  <c r="M19" i="8" s="1"/>
  <c r="B18" i="8" s="1"/>
  <c r="S8" i="9"/>
  <c r="T8" i="9"/>
  <c r="O19" i="8" s="1"/>
  <c r="D18" i="8" s="1"/>
  <c r="Q9" i="9"/>
  <c r="L20" i="8" s="1"/>
  <c r="R9" i="9"/>
  <c r="S9" i="9"/>
  <c r="T9" i="9"/>
  <c r="O20" i="8" s="1"/>
  <c r="D19" i="8" s="1"/>
  <c r="Q12" i="9"/>
  <c r="L21" i="8" s="1"/>
  <c r="R12" i="9"/>
  <c r="M21" i="8" s="1"/>
  <c r="B20" i="8" s="1"/>
  <c r="S12" i="9"/>
  <c r="T12" i="9"/>
  <c r="O21" i="8" s="1"/>
  <c r="D20" i="8" s="1"/>
  <c r="Q14" i="9"/>
  <c r="L22" i="8" s="1"/>
  <c r="R14" i="9"/>
  <c r="M22" i="8" s="1"/>
  <c r="B21" i="8" s="1"/>
  <c r="S14" i="9"/>
  <c r="T14" i="9"/>
  <c r="O22" i="8" s="1"/>
  <c r="D21" i="8" s="1"/>
  <c r="Q16" i="9"/>
  <c r="R16" i="9"/>
  <c r="M23" i="8" s="1"/>
  <c r="B22" i="8" s="1"/>
  <c r="S16" i="9"/>
  <c r="T16" i="9"/>
  <c r="O23" i="8" s="1"/>
  <c r="D22" i="8" s="1"/>
  <c r="Q17" i="9"/>
  <c r="L25" i="8" s="1"/>
  <c r="R17" i="9"/>
  <c r="S17" i="9"/>
  <c r="T17" i="9"/>
  <c r="O25" i="8" s="1"/>
  <c r="Q19" i="9"/>
  <c r="L26" i="8" s="1"/>
  <c r="R19" i="9"/>
  <c r="M26" i="8" s="1"/>
  <c r="S19" i="9"/>
  <c r="T19" i="9"/>
  <c r="O26" i="8" s="1"/>
  <c r="Q20" i="9"/>
  <c r="R20" i="9"/>
  <c r="S20" i="9"/>
  <c r="T20" i="9"/>
  <c r="O27" i="8" s="1"/>
  <c r="Q27" i="8" s="1"/>
  <c r="Q21" i="9"/>
  <c r="L28" i="8" s="1"/>
  <c r="R21" i="9"/>
  <c r="M28" i="8" s="1"/>
  <c r="S21" i="9"/>
  <c r="T21" i="9"/>
  <c r="O28" i="8" s="1"/>
  <c r="D29" i="8" s="1"/>
  <c r="Q22" i="9"/>
  <c r="L29" i="8" s="1"/>
  <c r="R22" i="9"/>
  <c r="S22" i="9"/>
  <c r="T22" i="9"/>
  <c r="O29" i="8" s="1"/>
  <c r="D30" i="8" s="1"/>
  <c r="Q23" i="9"/>
  <c r="L39" i="8" s="1"/>
  <c r="R23" i="9"/>
  <c r="M39" i="8" s="1"/>
  <c r="S23" i="9"/>
  <c r="T23" i="9"/>
  <c r="O39" i="8" s="1"/>
  <c r="E9" i="8" s="1"/>
  <c r="G9" i="8" s="1"/>
  <c r="Q24" i="9"/>
  <c r="R24" i="9"/>
  <c r="S24" i="9"/>
  <c r="T24" i="9"/>
  <c r="O31" i="8" s="1"/>
  <c r="D31" i="8" s="1"/>
  <c r="Q25" i="9"/>
  <c r="L32" i="8" s="1"/>
  <c r="R25" i="9"/>
  <c r="M32" i="8" s="1"/>
  <c r="B23" i="8" s="1"/>
  <c r="S25" i="9"/>
  <c r="T25" i="9"/>
  <c r="Q26" i="9"/>
  <c r="L40" i="8" s="1"/>
  <c r="R26" i="9"/>
  <c r="T26" i="9"/>
  <c r="O40" i="8" s="1"/>
  <c r="D68" i="8" s="1"/>
  <c r="Q27" i="9"/>
  <c r="L41" i="8" s="1"/>
  <c r="R27" i="9"/>
  <c r="M41" i="8" s="1"/>
  <c r="B69" i="8" s="1"/>
  <c r="T27" i="9"/>
  <c r="O41" i="8" s="1"/>
  <c r="D69" i="8" s="1"/>
  <c r="Q28" i="9"/>
  <c r="L42" i="8" s="1"/>
  <c r="R28" i="9"/>
  <c r="M42" i="8" s="1"/>
  <c r="B71" i="8" s="1"/>
  <c r="T28" i="9"/>
  <c r="O42" i="8" s="1"/>
  <c r="D71"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Q26" i="8" l="1"/>
  <c r="E12" i="8"/>
  <c r="AC7" i="10"/>
  <c r="AB7" i="10"/>
  <c r="AD8" i="10"/>
  <c r="AA7" i="10"/>
  <c r="M12" i="6"/>
  <c r="I12" i="6"/>
  <c r="K12" i="6"/>
  <c r="E68" i="8"/>
  <c r="F12" i="8"/>
  <c r="E69" i="8"/>
  <c r="E71" i="8"/>
  <c r="C16" i="8"/>
  <c r="E16" i="8" s="1"/>
  <c r="P41" i="8"/>
  <c r="Q41" i="8" s="1"/>
  <c r="C26" i="8"/>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63" i="8"/>
  <c r="D63" i="8" s="1"/>
  <c r="C55" i="8"/>
  <c r="E55" i="8" s="1"/>
  <c r="O8" i="8"/>
  <c r="O6" i="8"/>
  <c r="O5" i="8"/>
  <c r="C58" i="8" s="1"/>
  <c r="E58" i="8" s="1"/>
  <c r="L5" i="8"/>
  <c r="B58" i="8" s="1"/>
  <c r="O4" i="8"/>
  <c r="C57" i="8" s="1"/>
  <c r="E57" i="8" s="1"/>
  <c r="L4" i="8"/>
  <c r="B57" i="8" s="1"/>
  <c r="A1" i="8"/>
  <c r="C62" i="8" s="1"/>
  <c r="D62" i="8" s="1"/>
  <c r="I1" i="8"/>
  <c r="E67" i="8" l="1"/>
  <c r="AB8" i="10"/>
  <c r="AD9" i="10"/>
  <c r="AA8" i="10"/>
  <c r="AC8" i="10"/>
  <c r="N12" i="6"/>
  <c r="E27" i="8"/>
  <c r="E26" i="8" s="1"/>
  <c r="F12" i="6"/>
  <c r="D26" i="8"/>
  <c r="E63" i="8"/>
  <c r="E62" i="8"/>
  <c r="E15" i="8"/>
  <c r="E7" i="8" s="1"/>
  <c r="C59" i="8"/>
  <c r="E59" i="8" s="1"/>
  <c r="E8" i="8" s="1"/>
  <c r="I12" i="8" s="1"/>
  <c r="B37" i="6" s="1"/>
  <c r="C61" i="8"/>
  <c r="D61" i="8" s="1"/>
  <c r="O12" i="6" l="1"/>
  <c r="AD10" i="10"/>
  <c r="AA9" i="10"/>
  <c r="AB9" i="10"/>
  <c r="AC9" i="10"/>
  <c r="D64" i="8"/>
  <c r="F8" i="8" s="1"/>
  <c r="E61" i="8"/>
  <c r="E64" i="8" s="1"/>
  <c r="I10" i="8" s="1"/>
  <c r="C64" i="8"/>
  <c r="AC10" i="10" l="1"/>
  <c r="AB10" i="10"/>
  <c r="AD11" i="10"/>
  <c r="AA10" i="10"/>
  <c r="E3" i="8"/>
  <c r="B34" i="6" s="1"/>
  <c r="B24" i="6" s="1"/>
  <c r="G8" i="8"/>
  <c r="B36" i="6"/>
  <c r="B35" i="6" s="1"/>
  <c r="AC11" i="10" l="1"/>
  <c r="AB11" i="10"/>
  <c r="AD12" i="10"/>
  <c r="AA11" i="10"/>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AB12" i="10" l="1"/>
  <c r="AD13" i="10"/>
  <c r="AA12" i="10"/>
  <c r="AC12" i="10"/>
  <c r="G4" i="9"/>
  <c r="E34" i="9"/>
  <c r="B30" i="6" s="1"/>
  <c r="G39" i="9"/>
  <c r="AD14" i="10" l="1"/>
  <c r="AA13" i="10"/>
  <c r="AC13" i="10"/>
  <c r="AB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AC14" i="10" l="1"/>
  <c r="AB14" i="10"/>
  <c r="AD15" i="10"/>
  <c r="AA14" i="10"/>
  <c r="L2117" i="1"/>
  <c r="L1995" i="1"/>
  <c r="L1897" i="1"/>
  <c r="L1776" i="1"/>
  <c r="L1631" i="1"/>
  <c r="L1172" i="1"/>
  <c r="L955" i="1"/>
  <c r="L210" i="1"/>
  <c r="L17" i="1"/>
  <c r="AC15" i="10" l="1"/>
  <c r="AB15" i="10"/>
  <c r="AD16" i="10"/>
  <c r="AA15" i="10"/>
  <c r="L124" i="5"/>
  <c r="AB16" i="10" l="1"/>
  <c r="AD17" i="10"/>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A17" i="10"/>
  <c r="AB17" i="10"/>
  <c r="AC17" i="10"/>
  <c r="O103" i="5"/>
  <c r="M103" i="5"/>
  <c r="C103" i="5" s="1"/>
  <c r="O95" i="5"/>
  <c r="M95" i="5"/>
  <c r="C95" i="5" s="1"/>
  <c r="O109" i="5"/>
  <c r="M109" i="5"/>
  <c r="C109" i="5" s="1"/>
  <c r="O49" i="5"/>
  <c r="G113" i="5"/>
  <c r="G114" i="5" s="1"/>
  <c r="AC18" i="10" l="1"/>
  <c r="AB18" i="10"/>
  <c r="AA18" i="10"/>
  <c r="AD19" i="10"/>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B19" i="10"/>
  <c r="AD20" i="10"/>
  <c r="AA19" i="10"/>
  <c r="B10" i="6"/>
  <c r="AB20" i="10" l="1"/>
  <c r="AD21" i="10"/>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4" i="1"/>
  <c r="AQ354" i="1"/>
  <c r="AR354" i="1"/>
  <c r="AS354" i="1"/>
  <c r="AT354"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8" i="1"/>
  <c r="AQ858" i="1"/>
  <c r="AR858" i="1"/>
  <c r="AS858" i="1"/>
  <c r="AT858"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A21" i="10"/>
  <c r="AB21" i="10"/>
  <c r="AC21" i="10"/>
  <c r="I1995" i="1"/>
  <c r="I1897" i="1"/>
  <c r="I1776" i="1"/>
  <c r="I1631" i="1"/>
  <c r="I1172" i="1"/>
  <c r="I955" i="1"/>
  <c r="I210" i="1"/>
  <c r="I17" i="1"/>
  <c r="AC22" i="10" l="1"/>
  <c r="AB22" i="10"/>
  <c r="AA22" i="10"/>
  <c r="W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B22" i="6" s="1"/>
  <c r="AP19" i="1"/>
  <c r="W2" i="12" l="1"/>
  <c r="Y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D2" i="12" l="1"/>
  <c r="AF2" i="12"/>
  <c r="AC2" i="12"/>
  <c r="AE2" i="12"/>
  <c r="W3" i="12"/>
  <c r="AT2121" i="1"/>
  <c r="AT2120" i="1"/>
  <c r="AT2119" i="1"/>
  <c r="J15" i="1"/>
  <c r="C14" i="1"/>
  <c r="V2" i="12" l="1"/>
  <c r="W4" i="12"/>
  <c r="AD3" i="12"/>
  <c r="Y3" i="12"/>
  <c r="AC3" i="12" s="1"/>
  <c r="AE3" i="12"/>
  <c r="AF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Y4" i="12" l="1"/>
  <c r="AC4" i="12" s="1"/>
  <c r="W5" i="12"/>
  <c r="AD4" i="12"/>
  <c r="AE4" i="12"/>
  <c r="AF4" i="12"/>
  <c r="V3"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AE5" i="12" l="1"/>
  <c r="W6" i="12"/>
  <c r="AD5" i="12"/>
  <c r="Y5" i="12"/>
  <c r="AC5" i="12" s="1"/>
  <c r="AF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AD6" i="12" l="1"/>
  <c r="AF6" i="12"/>
  <c r="Y6" i="12"/>
  <c r="AC6" i="12" s="1"/>
  <c r="W7" i="12"/>
  <c r="AE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W8" i="12" l="1"/>
  <c r="AD7" i="12"/>
  <c r="Y7" i="12"/>
  <c r="AC7" i="12" s="1"/>
  <c r="AE7" i="12"/>
  <c r="AF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Y8" i="12" l="1"/>
  <c r="AC8" i="12" s="1"/>
  <c r="AD8" i="12"/>
  <c r="AE8" i="12"/>
  <c r="W9" i="12"/>
  <c r="AF8" i="12"/>
  <c r="AR15" i="1"/>
  <c r="B18" i="6" s="1"/>
  <c r="AS15" i="1"/>
  <c r="B19" i="6" s="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W10" i="12" l="1"/>
  <c r="AF9" i="12"/>
  <c r="Y9" i="12"/>
  <c r="AC9" i="12" s="1"/>
  <c r="AD9" i="12"/>
  <c r="AE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D10" i="12" l="1"/>
  <c r="Y10" i="12"/>
  <c r="AC10" i="12" s="1"/>
  <c r="W11" i="12"/>
  <c r="AE10" i="12"/>
  <c r="AT786" i="1"/>
  <c r="P2116" i="1"/>
  <c r="AM234" i="1"/>
  <c r="AN234" i="1"/>
  <c r="AM258" i="1"/>
  <c r="AN258" i="1"/>
  <c r="Y11" i="12" l="1"/>
  <c r="AC11" i="12" s="1"/>
  <c r="AD11" i="12"/>
  <c r="W12" i="12"/>
  <c r="AE11" i="12"/>
  <c r="P2118" i="1"/>
  <c r="K2118" i="1"/>
  <c r="AM2116" i="1"/>
  <c r="AM13" i="1" s="1"/>
  <c r="C9" i="1" s="1"/>
  <c r="AE12" i="12" l="1"/>
  <c r="W13" i="12"/>
  <c r="AD12" i="12"/>
  <c r="Y12" i="12"/>
  <c r="AC12" i="12" s="1"/>
  <c r="AN2118" i="1"/>
  <c r="AP2118" i="1"/>
  <c r="AP15" i="1" s="1"/>
  <c r="J9" i="1"/>
  <c r="J12" i="1" s="1"/>
  <c r="AM15" i="1" s="1"/>
  <c r="AE13" i="12" l="1"/>
  <c r="AD13" i="12"/>
  <c r="Y13" i="12"/>
  <c r="AC13" i="12" s="1"/>
  <c r="W14" i="12"/>
  <c r="AV15" i="1"/>
  <c r="B21" i="6" s="1"/>
  <c r="B9" i="6" s="1"/>
  <c r="AD14" i="12" l="1"/>
  <c r="W15" i="12"/>
  <c r="Y14" i="12"/>
  <c r="AC14" i="12" s="1"/>
  <c r="AE14" i="12"/>
  <c r="AT15" i="1"/>
  <c r="W16" i="12" l="1"/>
  <c r="AE15" i="12"/>
  <c r="Y15" i="12"/>
  <c r="AC15" i="12" s="1"/>
  <c r="AD15" i="12"/>
  <c r="B20" i="6"/>
  <c r="W17" i="12" l="1"/>
  <c r="AE16" i="12"/>
  <c r="AD16" i="12"/>
  <c r="Y16" i="12"/>
  <c r="AC16" i="12" s="1"/>
  <c r="B11" i="6"/>
  <c r="AD17" i="12" l="1"/>
  <c r="Y17" i="12"/>
  <c r="AC17" i="12" s="1"/>
  <c r="W18" i="12"/>
  <c r="AE17" i="12"/>
  <c r="W19" i="12" l="1"/>
  <c r="AE18" i="12"/>
  <c r="AD18" i="12"/>
  <c r="Y18" i="12"/>
  <c r="AC18" i="12" s="1"/>
  <c r="C53" i="8"/>
  <c r="W20" i="12" l="1"/>
  <c r="AE19" i="12"/>
  <c r="AD19" i="12"/>
  <c r="Y19" i="12"/>
  <c r="AC19" i="12" s="1"/>
  <c r="Y20" i="12" l="1"/>
  <c r="AC20" i="12" s="1"/>
  <c r="AD20" i="12"/>
  <c r="AE20" i="12"/>
  <c r="W21" i="12"/>
  <c r="W22" i="12" l="1"/>
  <c r="AE21" i="12"/>
  <c r="Y21" i="12"/>
  <c r="AC21" i="12" s="1"/>
  <c r="AD21" i="12"/>
  <c r="AE22" i="12" l="1"/>
  <c r="AD22" i="12"/>
  <c r="Y22" i="12"/>
  <c r="AC22" i="12" s="1"/>
  <c r="AN1" i="14"/>
  <c r="AN2" i="14" s="1"/>
  <c r="AW2" i="14" s="1"/>
  <c r="AN3" i="14" l="1"/>
  <c r="AP2" i="14"/>
  <c r="AT2" i="14" s="1"/>
  <c r="AV2" i="14"/>
  <c r="AU2" i="14"/>
  <c r="AW3" i="14" l="1"/>
  <c r="AP3" i="14"/>
  <c r="AT3" i="14" s="1"/>
  <c r="AV3" i="14"/>
  <c r="AN4" i="14"/>
  <c r="AU3" i="14"/>
  <c r="AM2" i="14"/>
  <c r="AU4" i="14" l="1"/>
  <c r="AP4" i="14"/>
  <c r="AT4" i="14" s="1"/>
  <c r="AN5" i="14"/>
  <c r="AV4" i="14"/>
  <c r="AP5" i="14" l="1"/>
  <c r="AT5" i="14" s="1"/>
  <c r="AN6" i="14"/>
  <c r="AU5" i="14"/>
  <c r="AW5" i="14"/>
  <c r="AV5" i="14"/>
  <c r="AP6" i="14" l="1"/>
  <c r="AT6" i="14" s="1"/>
  <c r="AN7" i="14"/>
  <c r="AV6" i="14"/>
  <c r="AU6" i="14"/>
  <c r="AW7" i="14" l="1"/>
  <c r="AP7" i="14"/>
  <c r="AT7" i="14" s="1"/>
  <c r="AN8" i="14"/>
  <c r="AV7" i="14"/>
  <c r="AU7" i="14"/>
  <c r="AV8" i="14" l="1"/>
  <c r="AN9" i="14"/>
  <c r="AU8" i="14"/>
  <c r="AP8" i="14"/>
  <c r="AT8" i="14" s="1"/>
  <c r="AP9" i="14" l="1"/>
  <c r="AT9" i="14" s="1"/>
  <c r="AN10" i="14"/>
  <c r="AV9" i="14"/>
  <c r="AU9" i="14"/>
  <c r="AW10" i="14" l="1"/>
  <c r="AP10" i="14"/>
  <c r="AT10" i="14" s="1"/>
  <c r="AN11" i="14"/>
  <c r="AU10" i="14"/>
  <c r="AV10" i="14"/>
  <c r="AU11" i="14" l="1"/>
  <c r="AV11" i="14"/>
  <c r="AP11" i="14"/>
  <c r="AT11" i="14" s="1"/>
  <c r="AN12" i="14"/>
  <c r="AU12" i="14" l="1"/>
  <c r="AV12" i="14"/>
  <c r="AP12" i="14"/>
  <c r="AT12" i="14" s="1"/>
  <c r="AN13" i="14"/>
  <c r="AU13" i="14" l="1"/>
  <c r="AV13" i="14"/>
  <c r="AP13" i="14"/>
  <c r="AT13" i="14" s="1"/>
  <c r="AN14" i="14"/>
  <c r="AU14" i="14" l="1"/>
  <c r="AV14" i="14"/>
  <c r="AP14" i="14"/>
  <c r="AT14" i="14" s="1"/>
  <c r="AN15" i="14"/>
  <c r="AU15" i="14" l="1"/>
  <c r="AV15" i="14"/>
  <c r="AP15" i="14"/>
  <c r="AT15" i="14" s="1"/>
  <c r="AN16" i="14"/>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AP21" i="14"/>
  <c r="AT21" i="14" s="1"/>
  <c r="AU22" i="14" l="1"/>
  <c r="AV22" i="14"/>
  <c r="AP22" i="14"/>
  <c r="AT22" i="14" s="1"/>
  <c r="G7" i="8" l="1"/>
  <c r="G3" i="8" s="1"/>
  <c r="F7" i="8" l="1"/>
  <c r="F3" i="8"/>
  <c r="I7" i="8" s="1"/>
  <c r="E8" i="6" l="1"/>
  <c r="B33" i="6"/>
  <c r="B32" i="6" s="1"/>
  <c r="K8" i="6" l="1"/>
  <c r="E9" i="6"/>
  <c r="E10" i="6"/>
  <c r="I8" i="6"/>
  <c r="N8" i="6" s="1"/>
  <c r="M8" i="6"/>
  <c r="E11" i="6"/>
  <c r="B14" i="6"/>
  <c r="O8" i="6" l="1"/>
  <c r="K10" i="6"/>
  <c r="N10" i="6"/>
  <c r="O10" i="6" s="1"/>
  <c r="M10" i="6"/>
  <c r="B16" i="6"/>
  <c r="I10" i="6"/>
  <c r="K11" i="6"/>
  <c r="M11" i="6"/>
  <c r="B17" i="6"/>
  <c r="I11" i="6"/>
  <c r="E7" i="6"/>
  <c r="M9" i="6"/>
  <c r="I9" i="6"/>
  <c r="K9" i="6"/>
  <c r="N9" i="6" s="1"/>
  <c r="B15" i="6"/>
  <c r="B8" i="6" s="1"/>
  <c r="N11" i="6" l="1"/>
  <c r="O11" i="6" s="1"/>
  <c r="O9" i="6"/>
  <c r="G14" i="6"/>
  <c r="G13" i="6"/>
  <c r="G12" i="6"/>
  <c r="G8" i="6"/>
  <c r="B13" i="6"/>
  <c r="O15" i="6"/>
  <c r="N15" i="6" l="1"/>
  <c r="B1" i="6"/>
  <c r="B3" i="6"/>
  <c r="B2" i="6"/>
</calcChain>
</file>

<file path=xl/sharedStrings.xml><?xml version="1.0" encoding="utf-8"?>
<sst xmlns="http://schemas.openxmlformats.org/spreadsheetml/2006/main" count="14592" uniqueCount="1256">
  <si>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</si>
  <si>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</si>
  <si>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</si>
  <si>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</si>
  <si>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</si>
  <si>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</si>
  <si>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</si>
  <si>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</si>
  <si>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</si>
  <si>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</si>
  <si>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</si>
  <si>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</si>
  <si>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</si>
  <si>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</si>
  <si>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</si>
  <si>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</si>
  <si>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</si>
  <si>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</si>
  <si>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</si>
  <si>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</si>
  <si>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</si>
  <si>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</si>
  <si>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</si>
  <si>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</si>
  <si>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</si>
  <si>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</si>
  <si>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</si>
  <si>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</si>
  <si>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</si>
  <si>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</si>
  <si>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</si>
  <si>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</si>
  <si>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</si>
  <si>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</si>
  <si>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</si>
  <si>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</si>
  <si>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</si>
  <si>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</si>
  <si>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</si>
  <si>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</si>
  <si>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</si>
  <si>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</si>
  <si>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</si>
  <si>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</si>
  <si>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</si>
  <si>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</si>
  <si>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</si>
  <si>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</si>
  <si>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</si>
  <si>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</si>
  <si>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</si>
  <si>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</si>
  <si>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</si>
  <si>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</si>
  <si>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</si>
  <si>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</si>
  <si>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</si>
  <si>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</si>
  <si>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</si>
  <si>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</si>
  <si>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</si>
  <si>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</si>
  <si>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</si>
  <si>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</si>
  <si>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</si>
  <si>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</si>
  <si>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</si>
  <si>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</si>
  <si>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</si>
  <si>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</si>
  <si>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</si>
  <si>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</si>
  <si>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</si>
  <si>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</si>
  <si>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</si>
  <si>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</si>
  <si>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</si>
  <si>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</si>
  <si>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</si>
  <si>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</si>
  <si>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</si>
  <si>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</si>
  <si>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</si>
  <si>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</si>
  <si>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</si>
  <si>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</si>
  <si>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</si>
  <si>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</si>
  <si>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</si>
  <si>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</si>
  <si>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</si>
  <si>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</si>
  <si>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</si>
  <si>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</si>
  <si>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</si>
  <si>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</si>
  <si>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</si>
  <si>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</si>
  <si>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</si>
  <si>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</si>
  <si>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</si>
  <si>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</si>
  <si>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</si>
  <si>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</si>
  <si>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</si>
  <si>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</si>
  <si>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</si>
  <si>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</si>
  <si>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</si>
  <si>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</si>
  <si>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</si>
  <si>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</si>
  <si>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</si>
  <si>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</si>
  <si>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</si>
  <si>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</si>
  <si>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</si>
  <si>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</si>
  <si>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</si>
  <si>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</si>
  <si>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</si>
  <si>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</si>
  <si>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</si>
  <si>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</si>
  <si>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</si>
  <si>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</si>
  <si>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</si>
  <si>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</si>
  <si>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</si>
  <si>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</si>
  <si>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</si>
  <si>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</si>
  <si>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</si>
  <si>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</si>
  <si>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</si>
  <si>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</si>
  <si>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</si>
  <si>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</si>
  <si>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</si>
  <si>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</si>
  <si>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</si>
  <si>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</si>
  <si>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</si>
  <si>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</si>
  <si>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</si>
  <si>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</si>
  <si>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</si>
  <si>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</si>
  <si>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</si>
  <si>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</si>
  <si>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</si>
  <si>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</si>
  <si>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</si>
  <si>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</si>
  <si>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</si>
  <si>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</si>
  <si>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</si>
  <si>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</si>
  <si>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</si>
  <si>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</si>
  <si>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</si>
  <si>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</si>
  <si>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</si>
  <si>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</si>
  <si>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</si>
  <si>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</si>
  <si>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</si>
  <si>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</si>
  <si>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</si>
  <si>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</si>
  <si>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</si>
  <si>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</si>
  <si>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</si>
  <si>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</si>
  <si>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</si>
  <si>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</si>
  <si>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</si>
  <si>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</si>
  <si>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</si>
  <si>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</si>
  <si>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</si>
  <si>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</si>
  <si>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</si>
  <si>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</si>
  <si>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</si>
  <si>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</si>
  <si>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</si>
  <si>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</si>
  <si>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</si>
  <si>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</si>
  <si>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</si>
  <si>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</si>
  <si>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</si>
  <si>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</si>
  <si>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</si>
  <si>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</si>
  <si>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</si>
  <si>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</si>
  <si>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</si>
  <si>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</si>
  <si>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</si>
  <si>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</si>
  <si>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</si>
  <si>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</si>
  <si>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</si>
  <si>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</si>
  <si>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</si>
  <si>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</si>
  <si>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</si>
  <si>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</si>
  <si>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</si>
  <si>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</si>
  <si>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</si>
  <si>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</si>
  <si>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</si>
  <si>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</si>
  <si>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</si>
  <si>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</si>
  <si>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</si>
  <si>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</si>
  <si>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</si>
  <si>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</si>
  <si>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</si>
  <si>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</si>
  <si>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</si>
  <si>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</si>
  <si>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</si>
  <si>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</si>
  <si>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</si>
  <si>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</si>
  <si>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</si>
  <si>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</si>
  <si>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</si>
  <si>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</si>
  <si>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</si>
  <si>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</si>
  <si>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</si>
  <si>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</si>
  <si>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</si>
  <si>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</si>
  <si>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</si>
  <si>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</si>
  <si>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</si>
  <si>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</si>
  <si>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</si>
  <si>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</si>
  <si>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</si>
  <si>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</si>
  <si>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</si>
  <si>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</si>
  <si>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</si>
  <si>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</si>
  <si>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</si>
  <si>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</si>
  <si>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</si>
  <si>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</si>
  <si>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</si>
  <si>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</si>
  <si>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</si>
  <si>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</si>
  <si>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</si>
  <si>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</si>
  <si>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</si>
  <si>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</si>
  <si>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</si>
  <si>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</si>
  <si>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</si>
  <si>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</si>
  <si>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</si>
  <si>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</si>
  <si>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</si>
  <si>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</si>
  <si>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</si>
  <si>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</si>
  <si>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</si>
  <si>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</si>
  <si>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</si>
  <si>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</si>
  <si>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</si>
  <si>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</si>
  <si>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</si>
  <si>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</si>
  <si>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</si>
  <si>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</si>
  <si>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</si>
  <si>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</si>
  <si>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</si>
  <si>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</si>
  <si>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</si>
  <si>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</si>
  <si>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</si>
  <si>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</si>
  <si>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</si>
  <si>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</si>
  <si>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</si>
  <si>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</si>
  <si>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</si>
  <si>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</si>
  <si>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</si>
  <si>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</si>
  <si>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</si>
  <si>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</si>
  <si>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</si>
  <si>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</si>
  <si>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</si>
  <si>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</si>
  <si>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</si>
  <si>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</si>
  <si>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</si>
  <si>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</si>
  <si>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</si>
  <si>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</si>
  <si>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</si>
  <si>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</si>
  <si>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</si>
  <si>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</si>
  <si>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</si>
  <si>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</si>
  <si>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</si>
  <si>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</si>
  <si>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</si>
  <si>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</si>
  <si>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</si>
  <si>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</si>
  <si>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</si>
  <si>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</si>
  <si>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</si>
  <si>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</si>
  <si>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</si>
  <si>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</si>
  <si>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</si>
  <si>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</si>
  <si>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</si>
  <si>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</si>
  <si>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</si>
  <si>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</si>
  <si>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</si>
  <si>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</si>
  <si>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</si>
  <si>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</si>
  <si>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</si>
  <si>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</si>
  <si>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</si>
  <si>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</si>
  <si>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</si>
  <si>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</si>
  <si>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</si>
  <si>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</si>
  <si>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</si>
  <si>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</si>
  <si>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</si>
  <si>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</si>
  <si>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</si>
  <si>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</si>
  <si>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</si>
  <si>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</si>
  <si>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</si>
  <si>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</si>
  <si>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</si>
  <si>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</si>
  <si>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</si>
  <si>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</si>
  <si>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</si>
  <si>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</si>
  <si>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</si>
  <si>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</si>
  <si>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</si>
  <si>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</si>
  <si>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</si>
  <si>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</si>
  <si>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</si>
  <si>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</si>
  <si>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</si>
  <si>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</si>
  <si>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</si>
  <si>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</si>
  <si>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</si>
  <si>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</si>
  <si>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</si>
  <si>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</si>
  <si>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</si>
  <si>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</si>
  <si>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</si>
  <si>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</si>
  <si>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</si>
  <si>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</si>
  <si>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</si>
  <si>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</si>
  <si>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</si>
  <si>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</si>
  <si>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</si>
  <si>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</si>
  <si>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</si>
  <si>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</si>
  <si>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</si>
  <si>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</si>
  <si>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</si>
  <si>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</si>
  <si>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</si>
  <si>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</si>
  <si>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</si>
  <si>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</si>
  <si>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</si>
  <si>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</si>
  <si>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</si>
  <si>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</si>
  <si>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</si>
  <si>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</si>
  <si>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</si>
  <si>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</si>
  <si>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</si>
  <si>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</si>
  <si>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</si>
  <si>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</si>
  <si>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</si>
  <si>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</si>
  <si>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</si>
  <si>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</si>
  <si>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</si>
  <si>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</si>
  <si>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</si>
  <si>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</si>
  <si>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</si>
  <si>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</si>
  <si>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</si>
  <si>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</si>
  <si>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</si>
  <si>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</si>
  <si>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</si>
  <si>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</si>
  <si>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</si>
  <si>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</si>
  <si>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</si>
  <si>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</si>
  <si>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</si>
  <si>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</si>
  <si>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</si>
  <si>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</si>
  <si>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</si>
  <si>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</si>
  <si>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</si>
  <si>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</si>
  <si>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</si>
  <si>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</si>
  <si>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</si>
  <si>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</si>
  <si>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</si>
  <si>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</si>
  <si>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</si>
  <si>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</si>
  <si>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</si>
  <si>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</si>
  <si>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</si>
  <si>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</si>
  <si>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</si>
  <si>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</si>
  <si>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</si>
  <si>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</si>
  <si>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</si>
  <si>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</si>
  <si>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</si>
  <si>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</si>
  <si>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</si>
  <si>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</si>
  <si>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</si>
  <si>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</si>
  <si>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</si>
  <si>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</si>
  <si>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</si>
  <si>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</si>
  <si>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</si>
  <si>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</si>
  <si>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</si>
  <si>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</si>
  <si>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</si>
  <si>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</si>
  <si>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</si>
  <si>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</si>
  <si>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</si>
  <si>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</si>
  <si>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</si>
  <si>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</si>
  <si>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</si>
  <si>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</si>
  <si>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</si>
  <si>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</si>
  <si>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</si>
  <si>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</si>
  <si>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</si>
  <si>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</si>
  <si>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</si>
  <si>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</si>
  <si>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</si>
  <si>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</si>
  <si>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</si>
  <si>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</si>
  <si>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</si>
  <si>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</si>
  <si>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</si>
  <si>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</si>
  <si>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</si>
  <si>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</si>
  <si>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</si>
  <si>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</si>
  <si>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</si>
  <si>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</si>
  <si>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</si>
  <si>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</si>
  <si>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</si>
  <si>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</si>
  <si>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</si>
  <si>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</si>
  <si>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</si>
  <si>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</si>
  <si>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</si>
  <si>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</si>
  <si>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</si>
  <si>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</si>
  <si>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</si>
  <si>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</si>
  <si>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</si>
  <si>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</si>
  <si>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</si>
  <si>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</si>
  <si>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</si>
  <si>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</si>
  <si>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</si>
  <si>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</si>
  <si>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</si>
  <si>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</si>
  <si>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</si>
  <si>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</si>
  <si>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</si>
  <si>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</si>
  <si>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</si>
  <si>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</si>
  <si>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</si>
  <si>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</si>
  <si>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</si>
  <si>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</si>
  <si>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</si>
  <si>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</si>
  <si>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</si>
  <si>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</si>
  <si>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</si>
  <si>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</si>
  <si>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</si>
  <si>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</si>
  <si>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</si>
  <si>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</si>
  <si>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</si>
  <si>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</si>
  <si>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</si>
  <si>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</si>
  <si>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</si>
  <si>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</si>
  <si>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</si>
  <si>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</si>
  <si>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</si>
  <si>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</si>
  <si>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</si>
  <si>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</si>
  <si>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</si>
  <si>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</si>
  <si>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</si>
  <si>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</si>
  <si>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</si>
  <si>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</si>
  <si>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</si>
  <si>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</si>
  <si>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</si>
  <si>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</si>
  <si>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</si>
  <si>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</si>
  <si>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</si>
  <si>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</si>
  <si>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</si>
  <si>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</si>
  <si>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</si>
  <si>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</si>
  <si>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</si>
  <si>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</si>
  <si>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</si>
  <si>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</si>
  <si>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</si>
  <si>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</si>
  <si>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</si>
  <si>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</si>
  <si>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</si>
  <si>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</si>
  <si>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</si>
  <si>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</si>
  <si>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</si>
  <si>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</si>
  <si>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</si>
  <si>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</si>
  <si>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</si>
  <si>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</si>
  <si>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</si>
  <si>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</si>
  <si>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</si>
  <si>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</si>
  <si>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</si>
  <si>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</si>
  <si>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</si>
  <si>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</si>
  <si>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</si>
  <si>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</si>
  <si>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</si>
  <si>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</si>
  <si>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</si>
  <si>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</si>
  <si>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</si>
  <si>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</si>
  <si>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</si>
  <si>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</si>
  <si>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</si>
  <si>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</si>
  <si>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</si>
  <si>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</si>
  <si>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</si>
  <si>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</si>
  <si>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</si>
  <si>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</si>
  <si>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</si>
  <si>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</si>
  <si>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</si>
  <si>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</si>
  <si>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</si>
  <si>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</si>
  <si>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</si>
  <si>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</si>
  <si>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</si>
  <si>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</si>
  <si>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</si>
  <si>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</si>
  <si>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</si>
  <si>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</si>
  <si>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</si>
  <si>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</si>
  <si>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</si>
  <si>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</si>
  <si>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</si>
  <si>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</si>
  <si>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</si>
  <si>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</si>
  <si>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</si>
  <si>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</si>
  <si>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</si>
  <si>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</si>
  <si>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</si>
  <si>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</si>
  <si>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</si>
  <si>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</si>
  <si>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</si>
  <si>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</si>
  <si>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</si>
  <si>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</si>
  <si>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</si>
  <si>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</si>
  <si>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</si>
  <si>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</si>
  <si>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</si>
  <si>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</si>
  <si>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</si>
  <si>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</si>
  <si>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</si>
  <si>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</si>
  <si>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</si>
  <si>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</si>
  <si>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</si>
  <si>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</si>
  <si>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</si>
  <si>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</si>
  <si>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</si>
  <si>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</si>
  <si>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</si>
  <si>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</si>
  <si>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</si>
  <si>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</si>
  <si>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</si>
  <si>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</si>
  <si>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</si>
  <si>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</si>
  <si>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</si>
  <si>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</si>
  <si>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</si>
  <si>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</si>
  <si>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</si>
  <si>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</si>
  <si>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</si>
  <si>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</si>
  <si>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</si>
  <si>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</si>
  <si>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</si>
  <si>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</si>
  <si>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</si>
  <si>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</si>
  <si>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</si>
  <si>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</si>
  <si>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</si>
  <si>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</si>
  <si>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</si>
  <si>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</si>
  <si>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</si>
  <si>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</si>
  <si>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</si>
  <si>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</si>
  <si>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</si>
  <si>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</si>
  <si>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</si>
  <si>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</si>
  <si>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</si>
  <si>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</si>
  <si>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</si>
  <si>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</si>
  <si>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</si>
  <si>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</si>
  <si>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</si>
  <si>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</si>
  <si>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</si>
  <si>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</si>
  <si>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</si>
  <si>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</si>
  <si>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</si>
  <si>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</si>
  <si>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</si>
  <si>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</si>
  <si>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</si>
  <si>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</si>
  <si>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</si>
  <si>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</si>
  <si>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</si>
  <si>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</si>
  <si>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</si>
  <si>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</si>
  <si>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</si>
  <si>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</si>
  <si>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</si>
  <si>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</si>
  <si>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</si>
  <si>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</si>
  <si>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</si>
  <si>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</si>
  <si>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</si>
  <si>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</si>
  <si>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</si>
  <si>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</si>
  <si>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</si>
  <si>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</si>
  <si>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</si>
  <si>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</si>
  <si>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</si>
  <si>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</si>
  <si>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</si>
  <si>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</si>
  <si>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</si>
  <si>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</si>
  <si>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</si>
  <si>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</si>
  <si>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</si>
  <si>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</si>
  <si>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</si>
  <si>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</si>
  <si>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</si>
  <si>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</si>
  <si>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</si>
  <si>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</si>
  <si>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</si>
  <si>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</si>
  <si>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</si>
  <si>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</si>
  <si>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</si>
  <si>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</si>
  <si>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</si>
  <si>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</si>
  <si>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</si>
  <si>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</si>
  <si>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</si>
  <si>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</si>
  <si>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</si>
  <si>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</si>
  <si>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</si>
  <si>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</si>
  <si>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</si>
  <si>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</si>
  <si>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</si>
  <si>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</si>
  <si>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</si>
  <si>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</si>
  <si>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</si>
  <si>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</si>
  <si>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</si>
  <si>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</si>
  <si>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</si>
  <si>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</si>
  <si>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</si>
  <si>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</si>
  <si>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</si>
  <si>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</si>
  <si>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</si>
  <si>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</si>
  <si>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</si>
  <si>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</si>
  <si>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</si>
  <si>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</si>
  <si>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</si>
  <si>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</si>
  <si>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</si>
  <si>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</si>
  <si>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</si>
  <si>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</si>
  <si>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</si>
  <si>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</si>
  <si>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</si>
  <si>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</si>
  <si>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</si>
  <si>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</si>
  <si>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</si>
  <si>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</si>
  <si>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</si>
  <si>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</si>
  <si>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</si>
  <si>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</si>
  <si>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</si>
  <si>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</si>
  <si>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</si>
  <si>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</si>
  <si>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</si>
  <si>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</si>
  <si>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</si>
  <si>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</si>
  <si>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</si>
  <si>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</si>
  <si>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</si>
  <si>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</si>
  <si>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</si>
  <si>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</si>
  <si>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</si>
  <si>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</si>
  <si>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</si>
  <si>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</si>
  <si>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</si>
  <si>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</si>
  <si>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</si>
  <si>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</si>
  <si>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</si>
  <si>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</si>
  <si>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</si>
  <si>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</si>
  <si>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</si>
  <si>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</si>
  <si>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</si>
  <si>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</si>
  <si>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</si>
  <si>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</si>
  <si>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</si>
  <si>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</si>
  <si>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</si>
  <si>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</si>
  <si>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</si>
  <si>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</si>
  <si>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</si>
  <si>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</si>
  <si>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</si>
  <si>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</si>
  <si>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</si>
  <si>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</si>
  <si>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</si>
  <si>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</si>
  <si>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</si>
  <si>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</si>
  <si>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</si>
  <si>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</si>
  <si>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</si>
  <si>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</si>
  <si>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</si>
  <si>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</si>
  <si>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</si>
  <si>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</si>
  <si>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</si>
  <si>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</si>
  <si>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</si>
  <si>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</si>
  <si>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</si>
  <si>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</si>
  <si>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</si>
  <si>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</si>
  <si>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</si>
  <si>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</si>
  <si>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</si>
  <si>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</si>
  <si>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</si>
  <si>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</si>
  <si>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</si>
  <si>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</si>
  <si>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</si>
  <si>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</si>
  <si>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</si>
  <si>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</si>
  <si>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</si>
  <si>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Smoke Detetor</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</si>
  <si>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</si>
  <si>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</si>
  <si>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</si>
  <si>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</si>
  <si>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</si>
  <si>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</si>
  <si>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</si>
  <si>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</si>
  <si>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</si>
  <si>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</si>
  <si>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</si>
  <si>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</si>
  <si>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</si>
  <si>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</si>
  <si>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</si>
  <si>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</si>
  <si>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</si>
  <si>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</si>
  <si>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</si>
  <si>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</si>
  <si>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</si>
  <si>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General Controls (MJS Tab)</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</si>
  <si>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</si>
  <si>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</si>
  <si>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</si>
  <si>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</si>
  <si>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</si>
  <si>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</si>
  <si>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</si>
  <si>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</si>
  <si>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</si>
  <si>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</si>
  <si>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</si>
  <si>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</si>
  <si>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</si>
  <si>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</si>
  <si>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</si>
  <si>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</si>
  <si>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</si>
  <si>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[LOCATION]</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</si>
  <si>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</si>
  <si>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</si>
  <si>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</si>
  <si>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</si>
  <si>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</si>
  <si>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</si>
  <si>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</si>
  <si>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</si>
  <si>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</si>
  <si>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</si>
  <si>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</si>
  <si>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</si>
  <si>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</si>
  <si>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</si>
  <si>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</si>
  <si>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</si>
  <si>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</si>
  <si>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</si>
  <si>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</si>
  <si>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</si>
  <si>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</si>
  <si>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</si>
  <si>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</si>
  <si>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</si>
  <si>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</si>
  <si>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</si>
  <si>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</si>
  <si>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</si>
  <si>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</si>
  <si>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</si>
  <si>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</si>
  <si>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</si>
  <si>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</si>
  <si>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</si>
  <si>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</si>
  <si>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</si>
  <si>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</si>
  <si>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</si>
  <si>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</si>
  <si>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</si>
  <si>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</si>
  <si>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</si>
  <si>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</si>
  <si>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</si>
  <si>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</si>
  <si>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</si>
  <si>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</si>
  <si>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</si>
  <si>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</si>
  <si>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</si>
  <si>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</si>
  <si>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</si>
  <si>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</si>
  <si>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</si>
  <si>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</si>
  <si>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</si>
  <si>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</si>
  <si>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</si>
  <si>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</si>
  <si>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</si>
  <si>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</si>
  <si>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</si>
  <si>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</si>
  <si>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</si>
  <si>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</si>
  <si>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</si>
  <si>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</si>
  <si>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</si>
  <si>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</si>
  <si>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</si>
  <si>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</si>
  <si>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</si>
  <si>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</si>
  <si>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</si>
  <si>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</si>
  <si>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</si>
  <si>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</si>
  <si>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</si>
  <si>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</si>
  <si>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</si>
  <si>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</si>
  <si>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</si>
  <si>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</si>
  <si>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</si>
  <si>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</si>
  <si>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</si>
  <si>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</si>
  <si>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</si>
  <si>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</si>
  <si>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</si>
  <si>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</si>
  <si>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</si>
  <si>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</si>
  <si>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</si>
  <si>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</si>
  <si>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</si>
  <si>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</si>
  <si>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</si>
  <si>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</si>
  <si>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</si>
  <si>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</si>
  <si>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</si>
  <si>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</si>
  <si>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</si>
  <si>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</si>
  <si>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</si>
  <si>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</si>
  <si>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</si>
  <si>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</si>
  <si>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</si>
  <si>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</si>
  <si>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</si>
  <si>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</si>
  <si>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</si>
  <si>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</si>
  <si>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</si>
  <si>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</si>
  <si>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</si>
  <si>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</si>
  <si>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</si>
  <si>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</si>
  <si>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</si>
  <si>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VRF outdoor condensor unit</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</si>
  <si>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</si>
  <si>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</si>
  <si>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</si>
  <si>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</si>
  <si>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</si>
  <si>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</si>
  <si>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</si>
  <si>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</si>
  <si>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</si>
  <si>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</si>
  <si>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</si>
  <si>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</si>
  <si>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</si>
  <si>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</si>
  <si>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</si>
  <si>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</si>
  <si>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</si>
  <si>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</si>
  <si>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</si>
  <si>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</si>
  <si>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</si>
  <si>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</si>
  <si>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</si>
  <si>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</si>
  <si>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</si>
  <si>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</si>
  <si>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</si>
  <si>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</si>
  <si>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</si>
  <si>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</si>
  <si>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</si>
  <si>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</si>
  <si>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</si>
  <si>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</si>
  <si>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</si>
  <si>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</si>
  <si>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</si>
  <si>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</si>
  <si>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</si>
  <si>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</si>
  <si>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</si>
  <si>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</si>
  <si>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</si>
  <si>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</si>
  <si>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</si>
  <si>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</si>
  <si>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</si>
  <si>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</si>
  <si>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</si>
  <si>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</si>
  <si>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</si>
  <si>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</si>
  <si>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</si>
  <si>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</si>
  <si>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</si>
  <si>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</si>
  <si>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</si>
  <si>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</si>
  <si>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</si>
  <si>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</si>
  <si>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</si>
  <si>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</si>
  <si>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</si>
  <si>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</si>
  <si>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</si>
  <si>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</si>
  <si>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</si>
  <si>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</si>
  <si>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</si>
  <si>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</si>
  <si>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</si>
  <si>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</si>
  <si>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</si>
  <si>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</si>
  <si>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</si>
  <si>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</si>
  <si>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</si>
  <si>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</si>
  <si>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</si>
  <si>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</si>
  <si>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</si>
  <si>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</si>
  <si>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</si>
  <si>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</si>
  <si>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</si>
  <si>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</si>
  <si>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</si>
  <si>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</si>
  <si>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</si>
  <si>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</si>
  <si>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</si>
  <si>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</si>
  <si>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</si>
  <si>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</si>
  <si>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</si>
  <si>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</si>
  <si>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</si>
  <si>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</si>
  <si>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</si>
  <si>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</si>
  <si>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</si>
  <si>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</si>
  <si>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</si>
  <si>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</si>
  <si>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</si>
  <si>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</si>
  <si>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</si>
  <si>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</si>
  <si>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</si>
  <si>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</si>
  <si>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</si>
  <si>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</si>
  <si>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</si>
  <si>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</si>
  <si>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</si>
  <si>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</si>
  <si>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</si>
  <si>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</si>
  <si>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</si>
  <si>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</si>
  <si>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</si>
  <si>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</si>
  <si>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</si>
  <si>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</si>
  <si>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</si>
  <si>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</si>
  <si>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</si>
  <si>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</si>
  <si>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</si>
  <si>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</si>
  <si>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</si>
  <si>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</si>
  <si>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</si>
  <si>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</si>
  <si>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</si>
  <si>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</si>
  <si>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</si>
  <si>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</si>
  <si>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</si>
  <si>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</si>
  <si>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</si>
  <si>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</si>
  <si>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</si>
  <si>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</si>
  <si>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</si>
  <si>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</si>
  <si>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</si>
  <si>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</si>
  <si>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</si>
  <si>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</si>
  <si>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</si>
  <si>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</si>
  <si>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</si>
  <si>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</si>
  <si>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</si>
  <si>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</si>
  <si>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</si>
  <si>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</si>
  <si>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</si>
  <si>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</si>
  <si>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</si>
  <si>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</si>
  <si>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</si>
  <si>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</si>
  <si>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</si>
  <si>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</si>
  <si>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</si>
  <si>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</si>
  <si>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</si>
  <si>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</si>
  <si>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</si>
  <si>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</si>
  <si>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</si>
  <si>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</si>
  <si>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</si>
  <si>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</si>
  <si>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</si>
  <si>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</si>
  <si>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</si>
  <si>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</si>
  <si>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</si>
  <si>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</si>
  <si>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</si>
  <si>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</si>
  <si>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</si>
  <si>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</si>
  <si>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s</t>
  </si>
  <si>
    <t>Power Cabling</t>
  </si>
  <si>
    <t>Controls Cabling</t>
  </si>
  <si>
    <t>Jet Fan</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</si>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</sst>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s>
  <fonts count="37" x14ac:knownFonts="1">
    <font>
      <sz val="11"/>
      <color theme="1"/>
      <name val="Calibri"/>
      <family val="2"/>
      <scheme val="minor"/>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s>
  <fills count="40">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s>
  <borders count="56">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16">
    <xf numFmtId="0" fontId="0" fillId="0" borderId="0"/>
    <xf numFmtId="42" fontId="25" fillId="0" borderId="0" applyFont="0" applyFill="0" applyBorder="0" applyAlignment="0" applyProtection="0"/>
    <xf numFmtId="0" fontId="26" fillId="25" borderId="21" applyNumberFormat="0" applyAlignment="0" applyProtection="0"/>
    <xf numFmtId="9" fontId="25" fillId="0" borderId="0" applyFont="0" applyFill="0" applyBorder="0" applyAlignment="0" applyProtection="0"/>
    <xf numFmtId="44" fontId="25" fillId="0" borderId="0" applyFont="0" applyFill="0" applyBorder="0" applyAlignment="0" applyProtection="0"/>
    <xf numFmtId="0" fontId="28" fillId="26" borderId="0" applyNumberFormat="0" applyBorder="0" applyAlignment="0" applyProtection="0"/>
    <xf numFmtId="0" fontId="29" fillId="27" borderId="21" applyNumberFormat="0" applyAlignment="0" applyProtection="0"/>
    <xf numFmtId="0" fontId="30" fillId="25" borderId="22" applyNumberFormat="0" applyAlignment="0" applyProtection="0"/>
    <xf numFmtId="43" fontId="25" fillId="0" borderId="0" applyFont="0" applyFill="0" applyBorder="0" applyAlignment="0" applyProtection="0"/>
    <xf numFmtId="0" fontId="33" fillId="32" borderId="0" applyNumberFormat="0" applyBorder="0" applyAlignment="0" applyProtection="0"/>
    <xf numFmtId="0" fontId="34" fillId="0" borderId="0" applyNumberFormat="0" applyFill="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5" fillId="38" borderId="44" applyNumberFormat="0" applyFont="0" applyAlignment="0" applyProtection="0"/>
    <xf numFmtId="0" fontId="1" fillId="39" borderId="0" applyNumberFormat="0" applyBorder="0" applyAlignment="0" applyProtection="0"/>
  </cellStyleXfs>
  <cellXfs count="476">
    <xf numFmtId="0" fontId="0" fillId="0" borderId="0" xfId="0"/>
    <xf numFmtId="0" fontId="0" fillId="2" borderId="0" xfId="0" applyFill="1"/>
    <xf numFmtId="0" fontId="7" fillId="3" borderId="0" xfId="0" applyFont="1" applyFill="1" applyAlignment="1">
      <alignment wrapText="1"/>
    </xf>
    <xf numFmtId="0" fontId="0" fillId="0" borderId="1" xfId="0" applyBorder="1"/>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8" fillId="4" borderId="3" xfId="0" applyFont="1" applyFill="1" applyBorder="1" applyAlignment="1">
      <alignment vertical="center" wrapText="1"/>
    </xf>
    <xf numFmtId="0" fontId="9" fillId="4" borderId="3" xfId="0" applyFont="1" applyFill="1" applyBorder="1" applyAlignment="1">
      <alignment vertical="center" wrapText="1"/>
    </xf>
    <xf numFmtId="0" fontId="0" fillId="5" borderId="0" xfId="0" applyFill="1"/>
    <xf numFmtId="0" fontId="7"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6" fillId="6" borderId="1" xfId="0" applyFont="1" applyFill="1" applyBorder="1" applyAlignment="1">
      <alignment wrapText="1"/>
    </xf>
    <xf numFmtId="0" fontId="0" fillId="11" borderId="1" xfId="0" applyFill="1" applyBorder="1"/>
    <xf numFmtId="0" fontId="10" fillId="7" borderId="0" xfId="0" applyFont="1" applyFill="1" applyAlignment="1">
      <alignment wrapText="1"/>
    </xf>
    <xf numFmtId="0" fontId="10" fillId="7" borderId="0" xfId="0" applyFont="1" applyFill="1" applyAlignment="1">
      <alignment vertical="top" wrapText="1"/>
    </xf>
    <xf numFmtId="44" fontId="0" fillId="8" borderId="0" xfId="0" applyNumberFormat="1" applyFill="1" applyBorder="1"/>
    <xf numFmtId="0" fontId="0" fillId="0" borderId="0" xfId="0"/>
    <xf numFmtId="0" fontId="4" fillId="0" borderId="0" xfId="0" applyFont="1"/>
    <xf numFmtId="0" fontId="7" fillId="0" borderId="0" xfId="0" applyFont="1"/>
    <xf numFmtId="0" fontId="5" fillId="0" borderId="0" xfId="0" applyFont="1"/>
    <xf numFmtId="164" fontId="0" fillId="0" borderId="0" xfId="0" applyNumberFormat="1"/>
    <xf numFmtId="0" fontId="7" fillId="0" borderId="1" xfId="0" applyFont="1" applyBorder="1"/>
    <xf numFmtId="0" fontId="0" fillId="0" borderId="1" xfId="0" applyBorder="1"/>
    <xf numFmtId="0" fontId="0" fillId="9" borderId="0" xfId="0" applyFill="1"/>
    <xf numFmtId="0" fontId="4" fillId="9" borderId="0" xfId="0" applyFont="1" applyFill="1"/>
    <xf numFmtId="164" fontId="4"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1" fillId="9" borderId="0" xfId="0" applyFont="1" applyFill="1"/>
    <xf numFmtId="0" fontId="12" fillId="9" borderId="0" xfId="0" applyFont="1" applyFill="1"/>
    <xf numFmtId="164" fontId="12"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7"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7"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3"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7" fillId="19" borderId="1" xfId="0" applyFont="1" applyFill="1" applyBorder="1" applyAlignment="1">
      <alignment wrapText="1"/>
    </xf>
    <xf numFmtId="0" fontId="0" fillId="19" borderId="0" xfId="0" applyFill="1" applyBorder="1"/>
    <xf numFmtId="0" fontId="14" fillId="19" borderId="0" xfId="0" applyFont="1" applyFill="1" applyBorder="1"/>
    <xf numFmtId="0" fontId="6" fillId="6" borderId="5" xfId="0" applyFont="1" applyFill="1" applyBorder="1" applyAlignment="1">
      <alignment wrapText="1"/>
    </xf>
    <xf numFmtId="0" fontId="14" fillId="19" borderId="1" xfId="0" applyFont="1" applyFill="1" applyBorder="1"/>
    <xf numFmtId="0" fontId="0" fillId="21" borderId="0" xfId="0" applyFill="1"/>
    <xf numFmtId="0" fontId="7"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7"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7"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7"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7" fillId="3" borderId="0" xfId="0" applyFont="1" applyFill="1" applyAlignment="1">
      <alignment wrapText="1"/>
    </xf>
    <xf numFmtId="0" fontId="0" fillId="0" borderId="1" xfId="0" applyBorder="1"/>
    <xf numFmtId="0" fontId="7"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6"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7"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7"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3"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7" fillId="19" borderId="1" xfId="0" applyFont="1" applyFill="1" applyBorder="1" applyAlignment="1">
      <alignment wrapText="1"/>
    </xf>
    <xf numFmtId="0" fontId="6" fillId="6" borderId="5" xfId="0" applyFont="1" applyFill="1" applyBorder="1" applyAlignment="1">
      <alignment wrapText="1"/>
    </xf>
    <xf numFmtId="0" fontId="14" fillId="19" borderId="1" xfId="0" applyFont="1" applyFill="1" applyBorder="1"/>
    <xf numFmtId="0" fontId="0" fillId="21" borderId="0" xfId="0" applyFill="1"/>
    <xf numFmtId="0" fontId="7" fillId="21" borderId="0" xfId="0" applyFont="1" applyFill="1" applyAlignment="1">
      <alignment wrapText="1"/>
    </xf>
    <xf numFmtId="0" fontId="0" fillId="6" borderId="1" xfId="0" applyFill="1" applyBorder="1" applyAlignment="1">
      <alignment horizontal="center"/>
    </xf>
    <xf numFmtId="0" fontId="7"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7" fillId="21" borderId="1" xfId="0" applyFont="1" applyFill="1" applyBorder="1" applyAlignment="1">
      <alignment wrapText="1"/>
    </xf>
    <xf numFmtId="164" fontId="13" fillId="0" borderId="6" xfId="0" applyNumberFormat="1" applyFont="1" applyBorder="1"/>
    <xf numFmtId="44" fontId="0" fillId="13" borderId="4" xfId="0" applyNumberFormat="1" applyFill="1" applyBorder="1"/>
    <xf numFmtId="0" fontId="7"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7" fillId="19" borderId="14" xfId="0" applyNumberFormat="1" applyFont="1" applyFill="1" applyBorder="1"/>
    <xf numFmtId="44" fontId="17"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8" fillId="17" borderId="0" xfId="0" applyFont="1" applyFill="1"/>
    <xf numFmtId="0" fontId="19" fillId="13" borderId="0" xfId="0" applyFont="1" applyFill="1"/>
    <xf numFmtId="44" fontId="19" fillId="13" borderId="11" xfId="0" applyNumberFormat="1" applyFont="1" applyFill="1" applyBorder="1"/>
    <xf numFmtId="44" fontId="19" fillId="13" borderId="13" xfId="0" applyNumberFormat="1" applyFont="1" applyFill="1" applyBorder="1"/>
    <xf numFmtId="0" fontId="19" fillId="13" borderId="9" xfId="0" applyFont="1" applyFill="1" applyBorder="1"/>
    <xf numFmtId="0" fontId="19" fillId="13" borderId="15" xfId="0" applyFont="1" applyFill="1" applyBorder="1"/>
    <xf numFmtId="0" fontId="19" fillId="13" borderId="11" xfId="0" applyFont="1" applyFill="1" applyBorder="1"/>
    <xf numFmtId="0" fontId="19" fillId="13" borderId="1" xfId="0" applyFont="1" applyFill="1" applyBorder="1"/>
    <xf numFmtId="0" fontId="18" fillId="0" borderId="0" xfId="0" applyFont="1"/>
    <xf numFmtId="0" fontId="20" fillId="0" borderId="1" xfId="0" applyFont="1" applyBorder="1"/>
    <xf numFmtId="164" fontId="20" fillId="0" borderId="1" xfId="0" applyNumberFormat="1" applyFont="1" applyBorder="1"/>
    <xf numFmtId="0" fontId="20" fillId="3" borderId="0" xfId="0" applyFont="1" applyFill="1" applyAlignment="1">
      <alignment wrapText="1"/>
    </xf>
    <xf numFmtId="0" fontId="18" fillId="8" borderId="0" xfId="0" applyFont="1" applyFill="1"/>
    <xf numFmtId="0" fontId="18" fillId="0" borderId="0" xfId="0" applyFont="1" applyAlignment="1">
      <alignment wrapText="1"/>
    </xf>
    <xf numFmtId="0" fontId="18" fillId="21" borderId="0" xfId="0" applyFont="1" applyFill="1"/>
    <xf numFmtId="0" fontId="18" fillId="12" borderId="0" xfId="0" applyFont="1" applyFill="1"/>
    <xf numFmtId="0" fontId="18" fillId="2" borderId="0" xfId="0" applyFont="1" applyFill="1"/>
    <xf numFmtId="0" fontId="18" fillId="0" borderId="1" xfId="0" applyFont="1" applyBorder="1" applyAlignment="1">
      <alignment wrapText="1"/>
    </xf>
    <xf numFmtId="0" fontId="20" fillId="3" borderId="1" xfId="0" applyFont="1" applyFill="1" applyBorder="1" applyAlignment="1">
      <alignment wrapText="1"/>
    </xf>
    <xf numFmtId="0" fontId="18" fillId="0" borderId="1" xfId="0" applyFont="1" applyBorder="1"/>
    <xf numFmtId="0" fontId="18" fillId="8" borderId="1" xfId="0" applyFont="1" applyFill="1" applyBorder="1"/>
    <xf numFmtId="0" fontId="21" fillId="0" borderId="1" xfId="0" applyFont="1" applyBorder="1"/>
    <xf numFmtId="0" fontId="15" fillId="3" borderId="1" xfId="0" applyFont="1" applyFill="1" applyBorder="1" applyAlignment="1">
      <alignment wrapText="1"/>
    </xf>
    <xf numFmtId="0" fontId="21" fillId="8" borderId="1" xfId="0" applyFont="1" applyFill="1" applyBorder="1"/>
    <xf numFmtId="0" fontId="21" fillId="0" borderId="0" xfId="0" applyFont="1"/>
    <xf numFmtId="0" fontId="15" fillId="0" borderId="1" xfId="0" applyFont="1" applyBorder="1"/>
    <xf numFmtId="10" fontId="15" fillId="0" borderId="1" xfId="0" applyNumberFormat="1" applyFont="1" applyBorder="1"/>
    <xf numFmtId="0" fontId="15" fillId="3" borderId="0" xfId="0" applyFont="1" applyFill="1" applyAlignment="1">
      <alignment wrapText="1"/>
    </xf>
    <xf numFmtId="0" fontId="21" fillId="8" borderId="0" xfId="0" applyFont="1" applyFill="1"/>
    <xf numFmtId="164" fontId="13" fillId="0" borderId="0" xfId="0" applyNumberFormat="1" applyFont="1"/>
    <xf numFmtId="44" fontId="20"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8" fillId="13" borderId="1" xfId="0" applyFont="1" applyFill="1" applyBorder="1"/>
    <xf numFmtId="0" fontId="18" fillId="13" borderId="1" xfId="0" applyFont="1" applyFill="1" applyBorder="1" applyAlignment="1">
      <alignment wrapText="1"/>
    </xf>
    <xf numFmtId="44" fontId="18" fillId="13" borderId="1" xfId="0" applyNumberFormat="1" applyFont="1" applyFill="1" applyBorder="1"/>
    <xf numFmtId="164" fontId="13" fillId="13" borderId="1" xfId="0" applyNumberFormat="1" applyFont="1" applyFill="1" applyBorder="1"/>
    <xf numFmtId="0" fontId="18" fillId="0" borderId="8" xfId="0" applyFont="1" applyBorder="1" applyAlignment="1">
      <alignment wrapText="1"/>
    </xf>
    <xf numFmtId="0" fontId="0" fillId="0" borderId="5" xfId="0" applyBorder="1"/>
    <xf numFmtId="0" fontId="15" fillId="3" borderId="5" xfId="0" applyFont="1" applyFill="1" applyBorder="1" applyAlignment="1">
      <alignment wrapText="1"/>
    </xf>
    <xf numFmtId="0" fontId="18" fillId="7" borderId="1" xfId="0" applyFont="1" applyFill="1" applyBorder="1" applyAlignment="1">
      <alignment wrapText="1"/>
    </xf>
    <xf numFmtId="0" fontId="21" fillId="0" borderId="17" xfId="0" applyFont="1" applyBorder="1"/>
    <xf numFmtId="0" fontId="21" fillId="0" borderId="6" xfId="0" applyFont="1" applyBorder="1"/>
    <xf numFmtId="0" fontId="21" fillId="17" borderId="7" xfId="0" applyFont="1" applyFill="1" applyBorder="1"/>
    <xf numFmtId="0" fontId="18" fillId="0" borderId="6" xfId="0" applyFont="1" applyBorder="1" applyAlignment="1">
      <alignment wrapText="1"/>
    </xf>
    <xf numFmtId="44" fontId="21" fillId="13" borderId="17" xfId="0" applyNumberFormat="1" applyFont="1" applyFill="1" applyBorder="1"/>
    <xf numFmtId="44" fontId="0" fillId="19" borderId="6" xfId="0" applyNumberFormat="1" applyFill="1" applyBorder="1"/>
    <xf numFmtId="44" fontId="21" fillId="13" borderId="18" xfId="0" applyNumberFormat="1" applyFont="1" applyFill="1" applyBorder="1"/>
    <xf numFmtId="44" fontId="21" fillId="13" borderId="19" xfId="0" applyNumberFormat="1" applyFont="1" applyFill="1" applyBorder="1"/>
    <xf numFmtId="44" fontId="0" fillId="21" borderId="6" xfId="0" applyNumberFormat="1" applyFill="1" applyBorder="1"/>
    <xf numFmtId="44" fontId="21" fillId="13" borderId="20" xfId="0" applyNumberFormat="1" applyFont="1" applyFill="1" applyBorder="1"/>
    <xf numFmtId="0" fontId="0" fillId="0" borderId="5" xfId="0" applyBorder="1" applyAlignment="1">
      <alignment wrapText="1"/>
    </xf>
    <xf numFmtId="0" fontId="7" fillId="3" borderId="5" xfId="0" applyFont="1" applyFill="1" applyBorder="1" applyAlignment="1">
      <alignment wrapText="1"/>
    </xf>
    <xf numFmtId="0" fontId="18" fillId="17" borderId="1" xfId="0" applyFont="1" applyFill="1" applyBorder="1"/>
    <xf numFmtId="0" fontId="0" fillId="17" borderId="1" xfId="0" applyFill="1" applyBorder="1"/>
    <xf numFmtId="164" fontId="4" fillId="0" borderId="1" xfId="0" applyNumberFormat="1" applyFont="1" applyBorder="1"/>
    <xf numFmtId="0" fontId="0" fillId="13" borderId="1" xfId="0" applyFill="1" applyBorder="1"/>
    <xf numFmtId="0" fontId="18" fillId="0" borderId="1" xfId="0" applyFont="1" applyBorder="1" applyAlignment="1">
      <alignment horizontal="center" vertical="center"/>
    </xf>
    <xf numFmtId="0" fontId="18" fillId="17" borderId="1" xfId="0" applyFont="1" applyFill="1" applyBorder="1" applyAlignment="1">
      <alignment horizontal="center" vertical="center"/>
    </xf>
    <xf numFmtId="0" fontId="18" fillId="0" borderId="1" xfId="0" applyFont="1" applyBorder="1" applyAlignment="1">
      <alignment horizontal="center" vertical="center" wrapText="1"/>
    </xf>
    <xf numFmtId="0" fontId="16" fillId="22" borderId="1" xfId="0" applyFont="1" applyFill="1" applyBorder="1" applyAlignment="1">
      <alignment horizontal="center" wrapText="1"/>
    </xf>
    <xf numFmtId="0" fontId="23" fillId="0" borderId="1" xfId="0" applyFont="1" applyBorder="1" applyAlignment="1">
      <alignment horizontal="center" vertical="center"/>
    </xf>
    <xf numFmtId="0" fontId="23" fillId="0" borderId="0" xfId="0" applyFont="1" applyAlignment="1">
      <alignment horizontal="center" vertical="center"/>
    </xf>
    <xf numFmtId="0" fontId="23" fillId="8" borderId="0" xfId="0" applyFont="1" applyFill="1" applyAlignment="1">
      <alignment horizontal="center" vertical="center"/>
    </xf>
    <xf numFmtId="0" fontId="0" fillId="24" borderId="0" xfId="0" applyFill="1"/>
    <xf numFmtId="0" fontId="18" fillId="24" borderId="0" xfId="0" applyFont="1" applyFill="1"/>
    <xf numFmtId="0" fontId="7" fillId="24" borderId="0" xfId="0" applyFont="1" applyFill="1" applyAlignment="1">
      <alignment wrapText="1"/>
    </xf>
    <xf numFmtId="0" fontId="10" fillId="24" borderId="0" xfId="0" applyFont="1" applyFill="1"/>
    <xf numFmtId="0" fontId="16" fillId="22" borderId="1" xfId="0" applyFont="1" applyFill="1" applyBorder="1" applyAlignment="1">
      <alignment horizontal="center" vertical="center" wrapText="1"/>
    </xf>
    <xf numFmtId="0" fontId="16" fillId="13" borderId="1" xfId="0" applyFont="1" applyFill="1" applyBorder="1" applyAlignment="1">
      <alignment horizontal="center" vertical="center"/>
    </xf>
    <xf numFmtId="0" fontId="16" fillId="24" borderId="0" xfId="0" applyFont="1" applyFill="1" applyAlignment="1">
      <alignment horizontal="center" vertical="center"/>
    </xf>
    <xf numFmtId="0" fontId="16" fillId="22" borderId="1" xfId="0" quotePrefix="1" applyFont="1" applyFill="1" applyBorder="1" applyAlignment="1">
      <alignment horizontal="center" vertical="center" wrapText="1"/>
    </xf>
    <xf numFmtId="0" fontId="16" fillId="13" borderId="1" xfId="0" quotePrefix="1" applyFont="1" applyFill="1" applyBorder="1" applyAlignment="1">
      <alignment horizontal="center" vertical="center"/>
    </xf>
    <xf numFmtId="0" fontId="16" fillId="17" borderId="1" xfId="0" quotePrefix="1" applyFont="1" applyFill="1" applyBorder="1" applyAlignment="1">
      <alignment horizontal="center" vertical="center"/>
    </xf>
    <xf numFmtId="22" fontId="24"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6" fillId="22" borderId="1" xfId="1" applyFont="1" applyFill="1" applyBorder="1" applyAlignment="1">
      <alignment horizontal="center" wrapText="1"/>
    </xf>
    <xf numFmtId="42" fontId="7" fillId="3" borderId="0" xfId="1" applyFont="1" applyFill="1" applyAlignment="1">
      <alignment wrapText="1"/>
    </xf>
    <xf numFmtId="42" fontId="0" fillId="8" borderId="0" xfId="1" applyFont="1" applyFill="1"/>
    <xf numFmtId="42" fontId="18" fillId="13" borderId="1" xfId="1" applyFont="1" applyFill="1" applyBorder="1"/>
    <xf numFmtId="0" fontId="0" fillId="0" borderId="0" xfId="0" applyAlignment="1">
      <alignment wrapText="1"/>
    </xf>
    <xf numFmtId="0" fontId="0" fillId="8" borderId="0" xfId="0" applyFill="1" applyAlignment="1">
      <alignment wrapText="1"/>
    </xf>
    <xf numFmtId="44" fontId="18" fillId="13" borderId="1" xfId="0" applyNumberFormat="1" applyFont="1" applyFill="1" applyBorder="1" applyAlignment="1">
      <alignment wrapText="1"/>
    </xf>
    <xf numFmtId="0" fontId="15" fillId="3" borderId="1" xfId="0" applyFont="1" applyFill="1" applyBorder="1" applyAlignment="1">
      <alignment horizontal="center" vertical="center" wrapText="1"/>
    </xf>
    <xf numFmtId="0" fontId="26" fillId="25" borderId="21" xfId="2"/>
    <xf numFmtId="10" fontId="26" fillId="25" borderId="21" xfId="2" applyNumberFormat="1"/>
    <xf numFmtId="0" fontId="26" fillId="25" borderId="21" xfId="2" applyAlignment="1">
      <alignment wrapText="1"/>
    </xf>
    <xf numFmtId="0" fontId="26" fillId="25" borderId="21" xfId="2" applyAlignment="1">
      <alignment horizontal="center" wrapText="1"/>
    </xf>
    <xf numFmtId="44" fontId="26" fillId="25" borderId="21" xfId="2" applyNumberFormat="1"/>
    <xf numFmtId="42" fontId="26" fillId="25" borderId="21" xfId="2" applyNumberFormat="1"/>
    <xf numFmtId="42" fontId="0" fillId="0" borderId="0" xfId="0" applyNumberFormat="1"/>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4"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8" fillId="26" borderId="21" xfId="5" applyBorder="1"/>
    <xf numFmtId="0" fontId="26" fillId="25" borderId="21" xfId="2" applyAlignment="1">
      <alignment horizontal="right"/>
    </xf>
    <xf numFmtId="0" fontId="26" fillId="25" borderId="21" xfId="2" applyAlignment="1">
      <alignment horizontal="center"/>
    </xf>
    <xf numFmtId="0" fontId="31" fillId="25" borderId="22" xfId="7" applyFont="1"/>
    <xf numFmtId="0" fontId="29" fillId="27" borderId="21" xfId="6"/>
    <xf numFmtId="44" fontId="30" fillId="25" borderId="22" xfId="4" applyFont="1" applyFill="1" applyBorder="1"/>
    <xf numFmtId="0" fontId="30" fillId="25" borderId="22" xfId="7" applyAlignment="1">
      <alignment horizontal="right"/>
    </xf>
    <xf numFmtId="0" fontId="31"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2"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4" fillId="0" borderId="28" xfId="0" applyFont="1" applyBorder="1"/>
    <xf numFmtId="0" fontId="4" fillId="0" borderId="18" xfId="0" applyFont="1" applyBorder="1"/>
    <xf numFmtId="0" fontId="4" fillId="0" borderId="29" xfId="0" applyFont="1" applyBorder="1"/>
    <xf numFmtId="0" fontId="0" fillId="36" borderId="0" xfId="0" applyFont="1" applyFill="1"/>
    <xf numFmtId="0" fontId="0" fillId="0" borderId="0" xfId="0" applyFont="1"/>
    <xf numFmtId="0" fontId="34" fillId="0" borderId="0" xfId="10"/>
    <xf numFmtId="0" fontId="34" fillId="0" borderId="0" xfId="10" applyFill="1" applyBorder="1"/>
    <xf numFmtId="0" fontId="33" fillId="32" borderId="0" xfId="9"/>
    <xf numFmtId="0" fontId="0" fillId="37" borderId="0" xfId="0" applyFont="1" applyFill="1"/>
    <xf numFmtId="43" fontId="0" fillId="0" borderId="0" xfId="8" applyFont="1"/>
    <xf numFmtId="0" fontId="2" fillId="33" borderId="0" xfId="11" applyAlignment="1">
      <alignment horizontal="right"/>
    </xf>
    <xf numFmtId="44" fontId="2" fillId="33" borderId="0" xfId="11" applyNumberFormat="1"/>
    <xf numFmtId="0" fontId="2" fillId="33" borderId="0" xfId="11"/>
    <xf numFmtId="170" fontId="2" fillId="33" borderId="0" xfId="11" applyNumberFormat="1"/>
    <xf numFmtId="44" fontId="2" fillId="34" borderId="0" xfId="12" applyNumberFormat="1"/>
    <xf numFmtId="0" fontId="2" fillId="35" borderId="0" xfId="13"/>
    <xf numFmtId="0" fontId="31" fillId="25" borderId="30" xfId="7" applyFont="1" applyBorder="1" applyAlignment="1">
      <alignment horizontal="right"/>
    </xf>
    <xf numFmtId="170" fontId="26" fillId="25" borderId="21" xfId="2" applyNumberFormat="1"/>
    <xf numFmtId="0" fontId="31" fillId="25" borderId="31" xfId="7" applyFont="1" applyBorder="1" applyAlignment="1">
      <alignment horizontal="right"/>
    </xf>
    <xf numFmtId="0" fontId="33" fillId="32" borderId="32" xfId="9" applyBorder="1" applyAlignment="1">
      <alignment horizontal="center" vertical="center"/>
    </xf>
    <xf numFmtId="0" fontId="33" fillId="32" borderId="33" xfId="9" applyBorder="1" applyAlignment="1">
      <alignment horizontal="center" vertical="center"/>
    </xf>
    <xf numFmtId="0" fontId="33" fillId="32" borderId="34" xfId="9" applyBorder="1" applyAlignment="1">
      <alignment horizontal="center" vertical="center"/>
    </xf>
    <xf numFmtId="43" fontId="30" fillId="25" borderId="22" xfId="8" applyFont="1" applyFill="1" applyBorder="1"/>
    <xf numFmtId="43" fontId="2" fillId="34" borderId="0" xfId="8" applyFont="1" applyFill="1"/>
    <xf numFmtId="44" fontId="30" fillId="25" borderId="22" xfId="7" applyNumberFormat="1" applyAlignment="1">
      <alignment horizontal="right"/>
    </xf>
    <xf numFmtId="42" fontId="31" fillId="25" borderId="22" xfId="7" applyNumberFormat="1" applyFont="1" applyAlignment="1">
      <alignment horizontal="right"/>
    </xf>
    <xf numFmtId="43" fontId="31" fillId="25" borderId="22" xfId="8" applyFont="1" applyFill="1" applyBorder="1" applyAlignment="1">
      <alignment horizontal="right"/>
    </xf>
    <xf numFmtId="0" fontId="31" fillId="25" borderId="30" xfId="7" applyFont="1" applyBorder="1" applyAlignment="1">
      <alignment horizontal="center" vertical="center"/>
    </xf>
    <xf numFmtId="43" fontId="31" fillId="25" borderId="22" xfId="7" applyNumberFormat="1" applyFont="1" applyAlignment="1">
      <alignment horizontal="center" vertical="center"/>
    </xf>
    <xf numFmtId="44" fontId="31" fillId="25" borderId="30" xfId="7" applyNumberFormat="1" applyFont="1" applyBorder="1" applyAlignment="1">
      <alignment horizontal="center" vertical="center"/>
    </xf>
    <xf numFmtId="0" fontId="0" fillId="6" borderId="0" xfId="0" applyFill="1"/>
    <xf numFmtId="0" fontId="26" fillId="25" borderId="35" xfId="2" applyBorder="1"/>
    <xf numFmtId="0" fontId="0" fillId="0" borderId="23" xfId="0" applyBorder="1"/>
    <xf numFmtId="0" fontId="0" fillId="0" borderId="25" xfId="0" applyBorder="1"/>
    <xf numFmtId="0" fontId="26" fillId="25" borderId="36" xfId="2" applyBorder="1"/>
    <xf numFmtId="0" fontId="26"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2" fillId="33" borderId="24" xfId="11" applyBorder="1"/>
    <xf numFmtId="0" fontId="2" fillId="33" borderId="27" xfId="11" applyBorder="1"/>
    <xf numFmtId="0" fontId="2" fillId="35" borderId="24" xfId="13" applyBorder="1"/>
    <xf numFmtId="0" fontId="2" fillId="35" borderId="27" xfId="13" applyBorder="1"/>
    <xf numFmtId="0" fontId="2" fillId="34" borderId="24" xfId="12" applyBorder="1"/>
    <xf numFmtId="0" fontId="2" fillId="34" borderId="27" xfId="12" applyBorder="1"/>
    <xf numFmtId="0" fontId="26" fillId="25" borderId="38" xfId="2" applyBorder="1"/>
    <xf numFmtId="168" fontId="26" fillId="25" borderId="39" xfId="2" applyNumberFormat="1" applyBorder="1"/>
    <xf numFmtId="164" fontId="26"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2" fillId="33" borderId="42" xfId="11" applyBorder="1"/>
    <xf numFmtId="0" fontId="2" fillId="34" borderId="42" xfId="12" applyBorder="1"/>
    <xf numFmtId="0" fontId="2" fillId="35" borderId="42" xfId="13" applyBorder="1"/>
    <xf numFmtId="164" fontId="0" fillId="0" borderId="42" xfId="0" applyNumberFormat="1" applyBorder="1"/>
    <xf numFmtId="164" fontId="0" fillId="0" borderId="27" xfId="0" applyNumberFormat="1" applyBorder="1"/>
    <xf numFmtId="0" fontId="26" fillId="25" borderId="43" xfId="2" applyBorder="1"/>
    <xf numFmtId="42" fontId="26"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6"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6"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7"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2" fillId="33" borderId="40" xfId="3" applyFont="1" applyFill="1" applyBorder="1"/>
    <xf numFmtId="9" fontId="2" fillId="33" borderId="23" xfId="3" applyFont="1" applyFill="1" applyBorder="1"/>
    <xf numFmtId="9" fontId="2" fillId="33" borderId="25" xfId="3" applyFont="1" applyFill="1" applyBorder="1"/>
    <xf numFmtId="9" fontId="2" fillId="34" borderId="40" xfId="3" applyFont="1" applyFill="1" applyBorder="1"/>
    <xf numFmtId="9" fontId="2" fillId="34" borderId="23" xfId="3" applyFont="1" applyFill="1" applyBorder="1"/>
    <xf numFmtId="9" fontId="2" fillId="34" borderId="25" xfId="3" applyFont="1" applyFill="1" applyBorder="1"/>
    <xf numFmtId="9" fontId="2" fillId="35" borderId="40" xfId="3" applyFont="1" applyFill="1" applyBorder="1"/>
    <xf numFmtId="9" fontId="2" fillId="35" borderId="23" xfId="3" applyFont="1" applyFill="1" applyBorder="1"/>
    <xf numFmtId="9" fontId="2" fillId="35" borderId="25" xfId="3" applyFont="1" applyFill="1" applyBorder="1"/>
    <xf numFmtId="44" fontId="0" fillId="0" borderId="27" xfId="4" applyFont="1" applyBorder="1"/>
    <xf numFmtId="44" fontId="15" fillId="3" borderId="1" xfId="4" applyFont="1" applyFill="1" applyBorder="1" applyAlignment="1">
      <alignment horizontal="center" vertical="center" wrapText="1"/>
    </xf>
    <xf numFmtId="44" fontId="7" fillId="7" borderId="0" xfId="0" applyNumberFormat="1" applyFont="1" applyFill="1" applyAlignment="1">
      <alignment wrapText="1"/>
    </xf>
    <xf numFmtId="0" fontId="0" fillId="0" borderId="0" xfId="0" applyAlignment="1"/>
    <xf numFmtId="0" fontId="4" fillId="0" borderId="0" xfId="0" applyFont="1" applyAlignment="1">
      <alignment horizontal="center" vertical="top"/>
    </xf>
    <xf numFmtId="44" fontId="4" fillId="0" borderId="0" xfId="4" applyFont="1" applyAlignment="1">
      <alignment horizontal="center" vertical="top"/>
    </xf>
    <xf numFmtId="0" fontId="4" fillId="0" borderId="0" xfId="0" applyFont="1" applyAlignment="1">
      <alignment horizontal="center" vertical="top" wrapText="1"/>
    </xf>
    <xf numFmtId="0" fontId="26" fillId="25" borderId="21" xfId="2" applyAlignment="1">
      <alignment horizontal="center" vertical="center" wrapText="1"/>
    </xf>
    <xf numFmtId="0" fontId="26" fillId="25" borderId="21" xfId="2" applyAlignment="1">
      <alignment horizontal="center" vertical="center"/>
    </xf>
    <xf numFmtId="0" fontId="4"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5" fillId="0" borderId="0" xfId="0" applyFont="1" applyAlignment="1">
      <alignment horizontal="center" vertical="top"/>
    </xf>
    <xf numFmtId="44" fontId="35" fillId="0" borderId="0" xfId="4" applyFont="1" applyAlignment="1">
      <alignment horizontal="center" vertical="top"/>
    </xf>
    <xf numFmtId="0" fontId="35" fillId="0" borderId="0" xfId="0" applyFont="1" applyAlignment="1">
      <alignment horizontal="center" vertical="top" wrapText="1"/>
    </xf>
    <xf numFmtId="0" fontId="4" fillId="0" borderId="32" xfId="0" applyFont="1" applyBorder="1" applyAlignment="1">
      <alignment horizontal="center" vertical="center"/>
    </xf>
    <xf numFmtId="0" fontId="36" fillId="0" borderId="0" xfId="0" applyFont="1" applyAlignment="1">
      <alignment horizontal="center"/>
    </xf>
    <xf numFmtId="0" fontId="36" fillId="0" borderId="0" xfId="0" applyFont="1"/>
    <xf numFmtId="44" fontId="36" fillId="0" borderId="0" xfId="4" applyFont="1"/>
    <xf numFmtId="0" fontId="36" fillId="0" borderId="33" xfId="0" applyFont="1" applyBorder="1"/>
    <xf numFmtId="0" fontId="35" fillId="0" borderId="0" xfId="0" applyFont="1" applyAlignment="1">
      <alignment horizontal="center" vertical="center"/>
    </xf>
    <xf numFmtId="0" fontId="35" fillId="0" borderId="40" xfId="0" applyFont="1" applyBorder="1" applyAlignment="1">
      <alignment horizontal="center" vertical="top" wrapText="1"/>
    </xf>
    <xf numFmtId="0" fontId="35" fillId="0" borderId="42" xfId="0" applyFont="1" applyBorder="1" applyAlignment="1">
      <alignment horizontal="center" vertical="top" wrapText="1"/>
    </xf>
    <xf numFmtId="0" fontId="35" fillId="0" borderId="40" xfId="0" applyFont="1" applyBorder="1" applyAlignment="1">
      <alignment horizontal="center" vertical="top"/>
    </xf>
    <xf numFmtId="0" fontId="35" fillId="0" borderId="42" xfId="0" applyFont="1" applyBorder="1" applyAlignment="1">
      <alignment horizontal="center" vertical="top"/>
    </xf>
    <xf numFmtId="0" fontId="35" fillId="0" borderId="32" xfId="0" applyFont="1" applyBorder="1" applyAlignment="1">
      <alignment horizontal="center" vertical="top" wrapText="1"/>
    </xf>
    <xf numFmtId="0" fontId="35" fillId="0" borderId="41" xfId="0" applyFont="1" applyBorder="1" applyAlignment="1">
      <alignment horizontal="center" vertical="top" wrapText="1"/>
    </xf>
    <xf numFmtId="0" fontId="36" fillId="0" borderId="23" xfId="0" applyFont="1" applyBorder="1"/>
    <xf numFmtId="0" fontId="36" fillId="0" borderId="24" xfId="0" applyFont="1" applyBorder="1"/>
    <xf numFmtId="0" fontId="36" fillId="0" borderId="0" xfId="0" applyFont="1" applyBorder="1"/>
    <xf numFmtId="0" fontId="0" fillId="0" borderId="0" xfId="0" applyFont="1" applyBorder="1"/>
    <xf numFmtId="0" fontId="0" fillId="0" borderId="0" xfId="0" applyFont="1" applyFill="1" applyBorder="1"/>
    <xf numFmtId="44" fontId="4" fillId="0" borderId="0" xfId="4" applyFont="1"/>
    <xf numFmtId="0" fontId="1" fillId="39" borderId="0" xfId="15"/>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0" fillId="38" borderId="53" xfId="14" applyFont="1" applyBorder="1" applyAlignment="1">
      <alignment horizontal="left" vertical="top" wrapText="1"/>
    </xf>
    <xf numFmtId="0" fontId="0" fillId="38" borderId="54" xfId="14" applyFont="1" applyBorder="1" applyAlignment="1">
      <alignment horizontal="left" vertical="top" wrapText="1"/>
    </xf>
    <xf numFmtId="0" fontId="0" fillId="38" borderId="55" xfId="14" applyFont="1" applyBorder="1" applyAlignment="1">
      <alignment horizontal="left" vertical="top" wrapText="1"/>
    </xf>
    <xf numFmtId="44" fontId="0" fillId="19" borderId="1" xfId="0" applyNumberFormat="1" applyFill="1" applyBorder="1" applyAlignment="1">
      <alignment horizontal="center"/>
    </xf>
    <xf numFmtId="0" fontId="7" fillId="3" borderId="1" xfId="0" applyFont="1" applyFill="1" applyBorder="1" applyAlignment="1">
      <alignment horizontal="center" wrapText="1"/>
    </xf>
    <xf numFmtId="44" fontId="0" fillId="19" borderId="1" xfId="0" applyNumberFormat="1" applyFill="1" applyBorder="1" applyAlignment="1">
      <alignment horizontal="right"/>
    </xf>
    <xf numFmtId="0" fontId="7"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6" fillId="0" borderId="1" xfId="0" applyFont="1" applyBorder="1" applyAlignment="1">
      <alignment horizontal="center"/>
    </xf>
    <xf numFmtId="0" fontId="15" fillId="0" borderId="1" xfId="0" applyFont="1" applyBorder="1" applyAlignment="1">
      <alignment horizontal="center"/>
    </xf>
    <xf numFmtId="14" fontId="22" fillId="0" borderId="1" xfId="0" applyNumberFormat="1" applyFont="1" applyBorder="1" applyAlignment="1">
      <alignment horizontal="center"/>
    </xf>
    <xf numFmtId="0" fontId="22" fillId="0" borderId="1" xfId="0" applyFont="1" applyBorder="1" applyAlignment="1">
      <alignment horizontal="center" vertical="center"/>
    </xf>
    <xf numFmtId="0" fontId="18" fillId="0" borderId="0" xfId="0" applyFont="1" applyAlignment="1">
      <alignment horizontal="center"/>
    </xf>
    <xf numFmtId="0" fontId="16" fillId="0" borderId="1" xfId="0" applyFont="1" applyBorder="1" applyAlignment="1">
      <alignment horizontal="center" vertical="center"/>
    </xf>
    <xf numFmtId="0" fontId="22" fillId="0" borderId="1" xfId="0" applyFont="1" applyBorder="1" applyAlignment="1">
      <alignment horizontal="center"/>
    </xf>
    <xf numFmtId="43" fontId="0" fillId="0" borderId="0" xfId="0" applyNumberFormat="1"/>
    <xf numFmtId="170" fontId="26" fillId="25" borderId="38" xfId="2" applyNumberFormat="1" applyBorder="1"/>
  </cellXfs>
  <cellStyles count="16">
    <cellStyle name="20% - Accent1" xfId="11" builtinId="30"/>
    <cellStyle name="20% - Accent2" xfId="12" builtinId="34"/>
    <cellStyle name="20% - Accent3" xfId="13" builtinId="38"/>
    <cellStyle name="20% - Accent6" xfId="15" builtinId="50"/>
    <cellStyle name="Accent5" xfId="5" builtinId="45"/>
    <cellStyle name="Bad" xfId="9" builtinId="27"/>
    <cellStyle name="Calculation" xfId="2" builtinId="22"/>
    <cellStyle name="Comma" xfId="8" builtinId="3"/>
    <cellStyle name="Currency" xfId="4" builtinId="4"/>
    <cellStyle name="Currency [0]" xfId="1" builtinId="7"/>
    <cellStyle name="Explanatory Text" xfId="10" builtinId="53"/>
    <cellStyle name="Input" xfId="6" builtinId="20"/>
    <cellStyle name="Normal" xfId="0" builtinId="0"/>
    <cellStyle name="Note" xfId="14" builtinId="10"/>
    <cellStyle name="Output" xfId="7" builtinId="21"/>
    <cellStyle name="Percent" xfId="3" builtinId="5"/>
  </cellStyles>
  <dxfs count="478">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Summary'!$D$8:$D$14</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Summary'!$O$8:$O$14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298187</xdr:colOff>
      <xdr:row>16</xdr:row>
      <xdr:rowOff>118188</xdr:rowOff>
    </xdr:from>
    <xdr:to>
      <xdr:col>8</xdr:col>
      <xdr:colOff>351840</xdr:colOff>
      <xdr:row>34</xdr:row>
      <xdr:rowOff>142292</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470419</xdr:colOff>
      <xdr:row>16</xdr:row>
      <xdr:rowOff>109634</xdr:rowOff>
    </xdr:from>
    <xdr:to>
      <xdr:col>15</xdr:col>
      <xdr:colOff>580053</xdr:colOff>
      <xdr:row>34</xdr:row>
      <xdr:rowOff>133738</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3"/>
  <sheetViews>
    <sheetView tabSelected="1" zoomScale="80" zoomScaleNormal="80" workbookViewId="0">
      <selection activeCell="C4" sqref="C4"/>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9.84375" style="114" customWidth="1"/>
    <col min="6" max="7" width="11.3828125" style="114" customWidth="1"/>
    <col min="8" max="13" width="10.3828125" style="114" customWidth="1"/>
    <col min="14" max="14" width="14.15234375" style="114" customWidth="1"/>
    <col min="15" max="15" width="12.3828125" style="114" customWidth="1"/>
    <col min="16" max="16384" width="9.3046875" style="114"/>
  </cols>
  <sheetData>
    <row r="1" spans="1:21" ht="17.600000000000001" thickBot="1" x14ac:dyDescent="0.75">
      <c r="A1" s="386" t="s">
        <v>723</v>
      </c>
      <c r="B1" s="400">
        <f>B13*(1+B4+B5)</f>
        <v>0</v>
      </c>
      <c r="D1" s="304" t="s">
        <v>790</v>
      </c>
      <c r="E1" s="114" t="s">
        <v>941</v>
      </c>
      <c r="G1" s="417"/>
      <c r="H1" s="417"/>
      <c r="I1" s="417"/>
      <c r="J1" s="417"/>
      <c r="K1" s="417"/>
      <c r="L1" s="417"/>
      <c r="M1" s="417"/>
      <c r="N1" s="417"/>
      <c r="O1" s="417"/>
      <c r="Q1" s="449" t="s">
        <v>940</v>
      </c>
      <c r="R1" s="450"/>
      <c r="S1" s="450"/>
      <c r="T1" s="450"/>
      <c r="U1" s="451"/>
    </row>
    <row r="2" spans="1:21" x14ac:dyDescent="0.4">
      <c r="A2" s="377" t="s">
        <v>747</v>
      </c>
      <c r="B2" s="401">
        <f>B13*B5</f>
        <v>0</v>
      </c>
      <c r="D2" s="304" t="s">
        <v>792</v>
      </c>
      <c r="E2" s="114" t="s">
        <v>1255</v>
      </c>
      <c r="G2" s="417"/>
      <c r="H2" s="417"/>
      <c r="I2" s="417"/>
      <c r="J2" s="417"/>
      <c r="K2" s="417"/>
      <c r="L2" s="417"/>
      <c r="M2" s="417"/>
      <c r="N2" s="417"/>
      <c r="O2" s="417"/>
      <c r="Q2" s="452"/>
      <c r="R2" s="453"/>
      <c r="S2" s="453"/>
      <c r="T2" s="453"/>
      <c r="U2" s="454"/>
    </row>
    <row r="3" spans="1:21" x14ac:dyDescent="0.4">
      <c r="A3" s="355" t="s">
        <v>746</v>
      </c>
      <c r="B3" s="402">
        <f>B13*B4</f>
        <v>0</v>
      </c>
      <c r="G3" s="417"/>
      <c r="H3" s="417"/>
      <c r="I3" s="417"/>
      <c r="J3" s="417"/>
      <c r="K3" s="417"/>
      <c r="L3" s="417"/>
      <c r="M3" s="417"/>
      <c r="N3" s="417"/>
      <c r="O3" s="417"/>
      <c r="Q3" s="455"/>
      <c r="R3" s="456"/>
      <c r="S3" s="456"/>
      <c r="T3" s="456"/>
      <c r="U3" s="457"/>
    </row>
    <row r="4" spans="1:21" x14ac:dyDescent="0.4">
      <c r="A4" s="355" t="s">
        <v>724</v>
      </c>
      <c r="B4" s="403">
        <v>0.25</v>
      </c>
      <c r="E4" s="474"/>
      <c r="G4" s="417"/>
      <c r="H4" s="417"/>
      <c r="I4" s="417"/>
      <c r="J4" s="417"/>
      <c r="K4" s="417"/>
      <c r="L4" s="417"/>
      <c r="M4" s="417"/>
      <c r="N4" s="417"/>
      <c r="O4" s="417"/>
      <c r="Q4" s="455"/>
      <c r="R4" s="456"/>
      <c r="S4" s="456"/>
      <c r="T4" s="456"/>
      <c r="U4" s="457"/>
    </row>
    <row r="5" spans="1:21" ht="15" thickBot="1" x14ac:dyDescent="0.45">
      <c r="A5" s="356" t="s">
        <v>725</v>
      </c>
      <c r="B5" s="404">
        <v>0.03</v>
      </c>
      <c r="G5" s="417"/>
      <c r="H5" s="417"/>
      <c r="I5" s="417"/>
      <c r="J5" s="417"/>
      <c r="K5" s="417"/>
      <c r="L5" s="417"/>
      <c r="M5" s="417"/>
      <c r="N5" s="417"/>
      <c r="O5" s="417"/>
      <c r="Q5" s="455"/>
      <c r="R5" s="456"/>
      <c r="S5" s="456"/>
      <c r="T5" s="456"/>
      <c r="U5" s="457"/>
    </row>
    <row r="6" spans="1:21" ht="15" thickBot="1" x14ac:dyDescent="0.45">
      <c r="B6" s="295"/>
      <c r="Q6" s="455"/>
      <c r="R6" s="456"/>
      <c r="S6" s="456"/>
      <c r="T6" s="456"/>
      <c r="U6" s="457"/>
    </row>
    <row r="7" spans="1:21" ht="15" thickBot="1" x14ac:dyDescent="0.45">
      <c r="A7" s="386" t="s">
        <v>726</v>
      </c>
      <c r="B7" s="396"/>
      <c r="D7" s="357" t="s">
        <v>727</v>
      </c>
      <c r="E7" s="475">
        <f>SUM(E8:E23)</f>
        <v>0</v>
      </c>
      <c r="F7" s="374" t="s">
        <v>728</v>
      </c>
      <c r="G7" s="358" t="s">
        <v>791</v>
      </c>
      <c r="H7" s="357" t="s">
        <v>924</v>
      </c>
      <c r="I7" s="358" t="s">
        <v>925</v>
      </c>
      <c r="J7" s="357" t="s">
        <v>926</v>
      </c>
      <c r="K7" s="358" t="s">
        <v>927</v>
      </c>
      <c r="L7" s="357" t="s">
        <v>928</v>
      </c>
      <c r="M7" s="358" t="s">
        <v>717</v>
      </c>
      <c r="N7" s="357" t="s">
        <v>929</v>
      </c>
      <c r="O7" s="358" t="s">
        <v>930</v>
      </c>
      <c r="Q7" s="455"/>
      <c r="R7" s="456"/>
      <c r="S7" s="456"/>
      <c r="T7" s="456"/>
      <c r="U7" s="457"/>
    </row>
    <row r="8" spans="1:21" x14ac:dyDescent="0.4">
      <c r="A8" s="377" t="s">
        <v>717</v>
      </c>
      <c r="B8" s="397">
        <f>SUM(B14:B17)</f>
        <v>0</v>
      </c>
      <c r="D8" s="377" t="s">
        <v>729</v>
      </c>
      <c r="E8" s="378">
        <f>Takeoffs!AQ15/80+'Car Park'!I7</f>
        <v>0</v>
      </c>
      <c r="F8" s="379">
        <v>80</v>
      </c>
      <c r="G8" s="380" t="e">
        <f>E8/E7</f>
        <v>#DIV/0!</v>
      </c>
      <c r="H8" s="405"/>
      <c r="I8" s="381">
        <f>E8*H8</f>
        <v>0</v>
      </c>
      <c r="J8" s="408"/>
      <c r="K8" s="382">
        <f>J8*E8</f>
        <v>0</v>
      </c>
      <c r="L8" s="411"/>
      <c r="M8" s="383">
        <f>L8*E8</f>
        <v>0</v>
      </c>
      <c r="N8" s="378">
        <f>E8+I8+K8+M8</f>
        <v>0</v>
      </c>
      <c r="O8" s="384">
        <f>N8*F8</f>
        <v>0</v>
      </c>
      <c r="Q8" s="455"/>
      <c r="R8" s="456"/>
      <c r="S8" s="456"/>
      <c r="T8" s="456"/>
      <c r="U8" s="457"/>
    </row>
    <row r="9" spans="1:21" x14ac:dyDescent="0.4">
      <c r="A9" s="355" t="s">
        <v>718</v>
      </c>
      <c r="B9" s="398">
        <f>B18+B19+B21+B24</f>
        <v>0</v>
      </c>
      <c r="D9" s="355" t="s">
        <v>730</v>
      </c>
      <c r="E9" s="359">
        <f>$E$8*G9</f>
        <v>0</v>
      </c>
      <c r="F9" s="360">
        <v>100</v>
      </c>
      <c r="G9" s="361">
        <v>0.04</v>
      </c>
      <c r="H9" s="406"/>
      <c r="I9" s="368">
        <f t="shared" ref="I9:I14" si="0">E9*H9</f>
        <v>0</v>
      </c>
      <c r="J9" s="409"/>
      <c r="K9" s="372">
        <f t="shared" ref="K9:K14" si="1">J9*E9</f>
        <v>0</v>
      </c>
      <c r="L9" s="412"/>
      <c r="M9" s="370">
        <f t="shared" ref="M9:M14" si="2">L9*E9</f>
        <v>0</v>
      </c>
      <c r="N9" s="359">
        <f t="shared" ref="N9:N14" si="3">E9+I9+K9+M9</f>
        <v>0</v>
      </c>
      <c r="O9" s="367">
        <f t="shared" ref="O9:O14" si="4">N9*F9</f>
        <v>0</v>
      </c>
      <c r="Q9" s="455"/>
      <c r="R9" s="456"/>
      <c r="S9" s="456"/>
      <c r="T9" s="456"/>
      <c r="U9" s="457"/>
    </row>
    <row r="10" spans="1:21" x14ac:dyDescent="0.4">
      <c r="A10" s="355" t="s">
        <v>731</v>
      </c>
      <c r="B10" s="398">
        <f>SUM(B25:B29)</f>
        <v>0</v>
      </c>
      <c r="D10" s="355" t="s">
        <v>732</v>
      </c>
      <c r="E10" s="359">
        <f t="shared" ref="E10:E11" si="5">$E$8*G10</f>
        <v>0</v>
      </c>
      <c r="F10" s="360">
        <v>85</v>
      </c>
      <c r="G10" s="361">
        <v>0.12</v>
      </c>
      <c r="H10" s="406"/>
      <c r="I10" s="368">
        <f t="shared" si="0"/>
        <v>0</v>
      </c>
      <c r="J10" s="409"/>
      <c r="K10" s="372">
        <f t="shared" si="1"/>
        <v>0</v>
      </c>
      <c r="L10" s="412"/>
      <c r="M10" s="370">
        <f t="shared" si="2"/>
        <v>0</v>
      </c>
      <c r="N10" s="359">
        <f t="shared" si="3"/>
        <v>0</v>
      </c>
      <c r="O10" s="367">
        <f t="shared" si="4"/>
        <v>0</v>
      </c>
      <c r="Q10" s="455"/>
      <c r="R10" s="456"/>
      <c r="S10" s="456"/>
      <c r="T10" s="456"/>
      <c r="U10" s="457"/>
    </row>
    <row r="11" spans="1:21" ht="15" thickBot="1" x14ac:dyDescent="0.45">
      <c r="A11" s="356" t="s">
        <v>733</v>
      </c>
      <c r="B11" s="399">
        <f>B22+B20</f>
        <v>0</v>
      </c>
      <c r="D11" s="355" t="s">
        <v>734</v>
      </c>
      <c r="E11" s="359">
        <f t="shared" si="5"/>
        <v>0</v>
      </c>
      <c r="F11" s="360">
        <v>80</v>
      </c>
      <c r="G11" s="361">
        <v>0.12</v>
      </c>
      <c r="H11" s="406"/>
      <c r="I11" s="368">
        <f t="shared" si="0"/>
        <v>0</v>
      </c>
      <c r="J11" s="409"/>
      <c r="K11" s="372">
        <f t="shared" si="1"/>
        <v>0</v>
      </c>
      <c r="L11" s="412"/>
      <c r="M11" s="370">
        <f t="shared" si="2"/>
        <v>0</v>
      </c>
      <c r="N11" s="359">
        <f t="shared" si="3"/>
        <v>0</v>
      </c>
      <c r="O11" s="367">
        <f t="shared" si="4"/>
        <v>0</v>
      </c>
      <c r="Q11" s="455"/>
      <c r="R11" s="456"/>
      <c r="S11" s="456"/>
      <c r="T11" s="456"/>
      <c r="U11" s="457"/>
    </row>
    <row r="12" spans="1:21" x14ac:dyDescent="0.4">
      <c r="D12" s="355" t="s">
        <v>914</v>
      </c>
      <c r="E12" s="359">
        <f>'Car Park'!C27</f>
        <v>0</v>
      </c>
      <c r="F12" s="360">
        <f>'Car Park'!D27</f>
        <v>110</v>
      </c>
      <c r="G12" s="361" t="e">
        <f>E12/E7</f>
        <v>#DIV/0!</v>
      </c>
      <c r="H12" s="406"/>
      <c r="I12" s="368">
        <f t="shared" si="0"/>
        <v>0</v>
      </c>
      <c r="J12" s="409"/>
      <c r="K12" s="372">
        <f t="shared" si="1"/>
        <v>0</v>
      </c>
      <c r="L12" s="412"/>
      <c r="M12" s="370">
        <f t="shared" si="2"/>
        <v>0</v>
      </c>
      <c r="N12" s="359">
        <f t="shared" si="3"/>
        <v>0</v>
      </c>
      <c r="O12" s="367">
        <f t="shared" si="4"/>
        <v>0</v>
      </c>
      <c r="Q12" s="455"/>
      <c r="R12" s="456"/>
      <c r="S12" s="456"/>
      <c r="T12" s="456"/>
      <c r="U12" s="457"/>
    </row>
    <row r="13" spans="1:21" ht="15" thickBot="1" x14ac:dyDescent="0.45">
      <c r="A13" s="386" t="s">
        <v>735</v>
      </c>
      <c r="B13" s="387">
        <f>SUM(B14:B30)</f>
        <v>0</v>
      </c>
      <c r="D13" s="355" t="s">
        <v>907</v>
      </c>
      <c r="E13" s="359">
        <v>0</v>
      </c>
      <c r="F13" s="360">
        <v>0</v>
      </c>
      <c r="G13" s="361" t="e">
        <f>E13/E7</f>
        <v>#DIV/0!</v>
      </c>
      <c r="H13" s="406"/>
      <c r="I13" s="368">
        <f t="shared" si="0"/>
        <v>0</v>
      </c>
      <c r="J13" s="409"/>
      <c r="K13" s="372">
        <f t="shared" si="1"/>
        <v>0</v>
      </c>
      <c r="L13" s="412"/>
      <c r="M13" s="370">
        <f t="shared" si="2"/>
        <v>0</v>
      </c>
      <c r="N13" s="359">
        <f t="shared" si="3"/>
        <v>0</v>
      </c>
      <c r="O13" s="367">
        <f t="shared" si="4"/>
        <v>0</v>
      </c>
      <c r="Q13" s="455"/>
      <c r="R13" s="456"/>
      <c r="S13" s="456"/>
      <c r="T13" s="456"/>
      <c r="U13" s="457"/>
    </row>
    <row r="14" spans="1:21" ht="15" thickBot="1" x14ac:dyDescent="0.45">
      <c r="A14" s="377" t="s">
        <v>736</v>
      </c>
      <c r="B14" s="388">
        <f>E8*F8+B36+E12*F12</f>
        <v>0</v>
      </c>
      <c r="D14" s="356" t="s">
        <v>681</v>
      </c>
      <c r="E14" s="364">
        <v>0</v>
      </c>
      <c r="F14" s="365">
        <v>0</v>
      </c>
      <c r="G14" s="366" t="e">
        <f>E14/E7</f>
        <v>#DIV/0!</v>
      </c>
      <c r="H14" s="407"/>
      <c r="I14" s="369">
        <f t="shared" si="0"/>
        <v>0</v>
      </c>
      <c r="J14" s="410"/>
      <c r="K14" s="373">
        <f t="shared" si="1"/>
        <v>0</v>
      </c>
      <c r="L14" s="413"/>
      <c r="M14" s="371">
        <f t="shared" si="2"/>
        <v>0</v>
      </c>
      <c r="N14" s="364">
        <f t="shared" si="3"/>
        <v>0</v>
      </c>
      <c r="O14" s="385">
        <f t="shared" si="4"/>
        <v>0</v>
      </c>
      <c r="Q14" s="455"/>
      <c r="R14" s="456"/>
      <c r="S14" s="456"/>
      <c r="T14" s="456"/>
      <c r="U14" s="457"/>
    </row>
    <row r="15" spans="1:21" x14ac:dyDescent="0.4">
      <c r="A15" s="355" t="s">
        <v>737</v>
      </c>
      <c r="B15" s="389">
        <f>E9*F9</f>
        <v>0</v>
      </c>
      <c r="N15" s="375">
        <f>SUM(N8:N14)</f>
        <v>0</v>
      </c>
      <c r="O15" s="376">
        <f>SUM(O8:O14)</f>
        <v>0</v>
      </c>
      <c r="Q15" s="455"/>
      <c r="R15" s="456"/>
      <c r="S15" s="456"/>
      <c r="T15" s="456"/>
      <c r="U15" s="457"/>
    </row>
    <row r="16" spans="1:21" x14ac:dyDescent="0.4">
      <c r="A16" s="355" t="s">
        <v>738</v>
      </c>
      <c r="B16" s="389">
        <f>E10*F10</f>
        <v>0</v>
      </c>
      <c r="Q16" s="455"/>
      <c r="R16" s="456"/>
      <c r="S16" s="456"/>
      <c r="T16" s="456"/>
      <c r="U16" s="457"/>
    </row>
    <row r="17" spans="1:21" x14ac:dyDescent="0.4">
      <c r="A17" s="355" t="s">
        <v>739</v>
      </c>
      <c r="B17" s="389">
        <f>E11*F11</f>
        <v>0</v>
      </c>
      <c r="Q17" s="455"/>
      <c r="R17" s="456"/>
      <c r="S17" s="456"/>
      <c r="T17" s="456"/>
      <c r="U17" s="457"/>
    </row>
    <row r="18" spans="1:21" x14ac:dyDescent="0.4">
      <c r="A18" s="355" t="s">
        <v>722</v>
      </c>
      <c r="B18" s="389">
        <f>Takeoffs!AR15</f>
        <v>0</v>
      </c>
      <c r="Q18" s="455"/>
      <c r="R18" s="456"/>
      <c r="S18" s="456"/>
      <c r="T18" s="456"/>
      <c r="U18" s="457"/>
    </row>
    <row r="19" spans="1:21" x14ac:dyDescent="0.4">
      <c r="A19" s="355" t="s">
        <v>740</v>
      </c>
      <c r="B19" s="389">
        <f>Takeoffs!AS15</f>
        <v>0</v>
      </c>
      <c r="Q19" s="455"/>
      <c r="R19" s="456"/>
      <c r="S19" s="456"/>
      <c r="T19" s="456"/>
      <c r="U19" s="457"/>
    </row>
    <row r="20" spans="1:21" x14ac:dyDescent="0.4">
      <c r="A20" s="355" t="s">
        <v>741</v>
      </c>
      <c r="B20" s="389">
        <f>Takeoffs!AT15</f>
        <v>0</v>
      </c>
      <c r="D20" s="296"/>
      <c r="Q20" s="455"/>
      <c r="R20" s="456"/>
      <c r="S20" s="456"/>
      <c r="T20" s="456"/>
      <c r="U20" s="457"/>
    </row>
    <row r="21" spans="1:21" x14ac:dyDescent="0.4">
      <c r="A21" s="355" t="s">
        <v>742</v>
      </c>
      <c r="B21" s="389">
        <f>Takeoffs!AV15</f>
        <v>0</v>
      </c>
      <c r="Q21" s="455"/>
      <c r="R21" s="456"/>
      <c r="S21" s="456"/>
      <c r="T21" s="456"/>
      <c r="U21" s="457"/>
    </row>
    <row r="22" spans="1:21" ht="15" thickBot="1" x14ac:dyDescent="0.45">
      <c r="A22" s="356" t="s">
        <v>743</v>
      </c>
      <c r="B22" s="399">
        <f>Takeoffs!AU15</f>
        <v>0</v>
      </c>
      <c r="Q22" s="455"/>
      <c r="R22" s="456"/>
      <c r="S22" s="456"/>
      <c r="T22" s="456"/>
      <c r="U22" s="457"/>
    </row>
    <row r="23" spans="1:21" ht="15" thickBot="1" x14ac:dyDescent="0.45">
      <c r="Q23" s="455"/>
      <c r="R23" s="456"/>
      <c r="S23" s="456"/>
      <c r="T23" s="456"/>
      <c r="U23" s="457"/>
    </row>
    <row r="24" spans="1:21" x14ac:dyDescent="0.4">
      <c r="A24" s="377" t="s">
        <v>912</v>
      </c>
      <c r="B24" s="388">
        <f>B34+B37</f>
        <v>0</v>
      </c>
      <c r="Q24" s="455"/>
      <c r="R24" s="456"/>
      <c r="S24" s="456"/>
      <c r="T24" s="456"/>
      <c r="U24" s="457"/>
    </row>
    <row r="25" spans="1:21" x14ac:dyDescent="0.4">
      <c r="A25" s="355" t="s">
        <v>737</v>
      </c>
      <c r="B25" s="389">
        <v>0</v>
      </c>
      <c r="Q25" s="455"/>
      <c r="R25" s="456"/>
      <c r="S25" s="456"/>
      <c r="T25" s="456"/>
      <c r="U25" s="457"/>
    </row>
    <row r="26" spans="1:21" x14ac:dyDescent="0.4">
      <c r="A26" s="355" t="s">
        <v>738</v>
      </c>
      <c r="B26" s="389">
        <v>0</v>
      </c>
      <c r="Q26" s="455"/>
      <c r="R26" s="456"/>
      <c r="S26" s="456"/>
      <c r="T26" s="456"/>
      <c r="U26" s="457"/>
    </row>
    <row r="27" spans="1:21" x14ac:dyDescent="0.4">
      <c r="A27" s="355" t="s">
        <v>739</v>
      </c>
      <c r="B27" s="389">
        <v>0</v>
      </c>
      <c r="Q27" s="455"/>
      <c r="R27" s="456"/>
      <c r="S27" s="456"/>
      <c r="T27" s="456"/>
      <c r="U27" s="457"/>
    </row>
    <row r="28" spans="1:21" x14ac:dyDescent="0.4">
      <c r="A28" s="355" t="s">
        <v>744</v>
      </c>
      <c r="B28" s="389">
        <v>0</v>
      </c>
      <c r="Q28" s="455"/>
      <c r="R28" s="456"/>
      <c r="S28" s="456"/>
      <c r="T28" s="456"/>
      <c r="U28" s="457"/>
    </row>
    <row r="29" spans="1:21" x14ac:dyDescent="0.4">
      <c r="A29" s="355" t="s">
        <v>745</v>
      </c>
      <c r="B29" s="389">
        <f>B38</f>
        <v>0</v>
      </c>
      <c r="C29" s="292"/>
      <c r="Q29" s="455"/>
      <c r="R29" s="456"/>
      <c r="S29" s="456"/>
      <c r="T29" s="456"/>
      <c r="U29" s="457"/>
    </row>
    <row r="30" spans="1:21" ht="15" thickBot="1" x14ac:dyDescent="0.45">
      <c r="A30" s="356" t="s">
        <v>923</v>
      </c>
      <c r="B30" s="414">
        <f>'MJS Controls'!E34</f>
        <v>0</v>
      </c>
      <c r="Q30" s="455"/>
      <c r="R30" s="456"/>
      <c r="S30" s="456"/>
      <c r="T30" s="456"/>
      <c r="U30" s="457"/>
    </row>
    <row r="31" spans="1:21" x14ac:dyDescent="0.4">
      <c r="Q31" s="455"/>
      <c r="R31" s="456"/>
      <c r="S31" s="456"/>
      <c r="T31" s="456"/>
      <c r="U31" s="457"/>
    </row>
    <row r="32" spans="1:21" ht="15" thickBot="1" x14ac:dyDescent="0.45">
      <c r="A32" s="386" t="s">
        <v>931</v>
      </c>
      <c r="B32" s="387">
        <f>SUM(B33:B34)</f>
        <v>0</v>
      </c>
      <c r="Q32" s="455"/>
      <c r="R32" s="456"/>
      <c r="S32" s="456"/>
      <c r="T32" s="456"/>
      <c r="U32" s="457"/>
    </row>
    <row r="33" spans="1:21" x14ac:dyDescent="0.4">
      <c r="A33" s="394" t="s">
        <v>921</v>
      </c>
      <c r="B33" s="395">
        <f>'Car Park'!I7*F8+E12*F12</f>
        <v>0</v>
      </c>
      <c r="Q33" s="455"/>
      <c r="R33" s="456"/>
      <c r="S33" s="456"/>
      <c r="T33" s="456"/>
      <c r="U33" s="457"/>
    </row>
    <row r="34" spans="1:21" ht="15" thickBot="1" x14ac:dyDescent="0.45">
      <c r="A34" s="356" t="s">
        <v>920</v>
      </c>
      <c r="B34" s="393">
        <f>'Car Park'!E3</f>
        <v>0</v>
      </c>
      <c r="Q34" s="458"/>
      <c r="R34" s="459"/>
      <c r="S34" s="459"/>
      <c r="T34" s="459"/>
      <c r="U34" s="460"/>
    </row>
    <row r="35" spans="1:21" ht="15" thickBot="1" x14ac:dyDescent="0.45">
      <c r="A35" s="354" t="s">
        <v>812</v>
      </c>
      <c r="B35" s="391">
        <f>SUM(B36:B37)</f>
        <v>0</v>
      </c>
    </row>
    <row r="36" spans="1:21" x14ac:dyDescent="0.4">
      <c r="A36" s="377" t="s">
        <v>911</v>
      </c>
      <c r="B36" s="392">
        <f>'Car Park'!E64</f>
        <v>0</v>
      </c>
    </row>
    <row r="37" spans="1:21" ht="15" thickBot="1" x14ac:dyDescent="0.45">
      <c r="A37" s="356" t="s">
        <v>915</v>
      </c>
      <c r="B37" s="393">
        <f>'Car Park'!I12</f>
        <v>0</v>
      </c>
    </row>
    <row r="38" spans="1:21" ht="15" thickBot="1" x14ac:dyDescent="0.45">
      <c r="A38" s="354" t="s">
        <v>932</v>
      </c>
      <c r="B38" s="391">
        <f>SUM(B39:B43)</f>
        <v>0</v>
      </c>
    </row>
    <row r="39" spans="1:21" x14ac:dyDescent="0.4">
      <c r="A39" s="377" t="s">
        <v>933</v>
      </c>
      <c r="B39" s="388">
        <v>0</v>
      </c>
    </row>
    <row r="40" spans="1:21" x14ac:dyDescent="0.4">
      <c r="A40" s="362" t="s">
        <v>934</v>
      </c>
      <c r="B40" s="389">
        <v>0</v>
      </c>
    </row>
    <row r="41" spans="1:21" x14ac:dyDescent="0.4">
      <c r="A41" s="362" t="s">
        <v>935</v>
      </c>
      <c r="B41" s="389">
        <v>0</v>
      </c>
    </row>
    <row r="42" spans="1:21" x14ac:dyDescent="0.4">
      <c r="A42" s="362" t="s">
        <v>820</v>
      </c>
      <c r="B42" s="389">
        <v>0</v>
      </c>
    </row>
    <row r="43" spans="1:21" ht="15" thickBot="1" x14ac:dyDescent="0.45">
      <c r="A43" s="363" t="s">
        <v>936</v>
      </c>
      <c r="B43" s="390">
        <v>0</v>
      </c>
    </row>
  </sheetData>
  <mergeCells count="2">
    <mergeCell ref="Q1:U1"/>
    <mergeCell ref="Q2:U34"/>
  </mergeCells>
  <conditionalFormatting sqref="A19:A20 D7:O7">
    <cfRule type="expression" dxfId="477" priority="5">
      <formula>IF(ROW() = ROW(), TRUE, FALSE)</formula>
    </cfRule>
  </conditionalFormatting>
  <conditionalFormatting sqref="A18">
    <cfRule type="expression" dxfId="476" priority="2">
      <formula>IF(ROW() = ROW(), TRUE, FALSE)</formula>
    </cfRule>
  </conditionalFormatting>
  <pageMargins left="0.25" right="0.25"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L22" sqref="L22"/>
    </sheetView>
  </sheetViews>
  <sheetFormatPr defaultRowHeight="14.6" x14ac:dyDescent="0.4"/>
  <cols>
    <col min="1" max="10" width="9.23046875" style="114"/>
    <col min="11" max="11" width="9.23046875" style="417"/>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950</v>
      </c>
      <c r="B1" s="33" t="s">
        <v>951</v>
      </c>
      <c r="C1" s="33" t="s">
        <v>952</v>
      </c>
      <c r="D1" s="33" t="s">
        <v>953</v>
      </c>
      <c r="E1" s="33" t="s">
        <v>964</v>
      </c>
      <c r="F1" s="420" t="s">
        <v>955</v>
      </c>
      <c r="G1" s="33" t="s">
        <v>965</v>
      </c>
      <c r="H1" s="114" t="str">
        <f>C1</f>
        <v>Colour</v>
      </c>
      <c r="I1" s="114" t="s">
        <v>966</v>
      </c>
      <c r="J1" s="33" t="s">
        <v>967</v>
      </c>
      <c r="K1" s="417" t="s">
        <v>968</v>
      </c>
      <c r="L1" s="33" t="s">
        <v>842</v>
      </c>
      <c r="P1" s="114" t="str">
        <f>J1</f>
        <v>IGOC</v>
      </c>
      <c r="Q1" s="114" t="str">
        <f>L1</f>
        <v>Dore</v>
      </c>
    </row>
    <row r="2" spans="1:17" x14ac:dyDescent="0.4">
      <c r="A2" s="114">
        <v>1</v>
      </c>
      <c r="B2" s="114" t="s">
        <v>969</v>
      </c>
      <c r="C2" s="114" t="s">
        <v>959</v>
      </c>
      <c r="D2" s="114">
        <v>250</v>
      </c>
      <c r="E2" s="114" t="s">
        <v>970</v>
      </c>
      <c r="F2" s="114" t="s">
        <v>963</v>
      </c>
      <c r="H2" s="114" t="s">
        <v>959</v>
      </c>
      <c r="I2" s="114" t="s">
        <v>970</v>
      </c>
      <c r="J2" s="327" t="str">
        <f>_xlfn.CONCAT("EN",IF(I2=$E$2,46,IF(I2=$E$3,66,IF(I2=$E$4,68,IF(I2=$E$5,88,810)))),IF(H2="Orange","-O","-G"))</f>
        <v>EN46-O</v>
      </c>
      <c r="K2" s="417" t="s">
        <v>971</v>
      </c>
      <c r="L2" s="114" t="s">
        <v>972</v>
      </c>
      <c r="P2" s="114" t="str">
        <f t="shared" ref="P2:P11" si="0">J2</f>
        <v>EN46-O</v>
      </c>
      <c r="Q2" s="114" t="str">
        <f t="shared" ref="Q2:Q11" si="1">L2</f>
        <v>MBO4620</v>
      </c>
    </row>
    <row r="3" spans="1:17" x14ac:dyDescent="0.4">
      <c r="A3" s="114">
        <v>2</v>
      </c>
      <c r="B3" s="114" t="s">
        <v>973</v>
      </c>
      <c r="C3" s="114" t="s">
        <v>962</v>
      </c>
      <c r="D3" s="114">
        <v>400</v>
      </c>
      <c r="E3" s="114" t="s">
        <v>974</v>
      </c>
      <c r="F3" s="114" t="s">
        <v>961</v>
      </c>
      <c r="H3" s="114" t="s">
        <v>959</v>
      </c>
      <c r="I3" s="114" t="s">
        <v>974</v>
      </c>
      <c r="J3" s="327" t="str">
        <f t="shared" ref="J3:J11" si="2">_xlfn.CONCAT("EN",IF(I3=$E$2,46,IF(I3=$E$3,66,IF(I3=$E$4,68,IF(I3=$E$5,88,810)))),IF(H3="Orange","-O","-G"))</f>
        <v>EN66-O</v>
      </c>
      <c r="K3" s="417" t="s">
        <v>971</v>
      </c>
      <c r="L3" s="114" t="s">
        <v>754</v>
      </c>
      <c r="P3" s="114" t="str">
        <f t="shared" si="0"/>
        <v>EN66-O</v>
      </c>
      <c r="Q3" s="114" t="str">
        <f t="shared" si="1"/>
        <v>MBO6620</v>
      </c>
    </row>
    <row r="4" spans="1:17" x14ac:dyDescent="0.4">
      <c r="A4" s="114">
        <v>3</v>
      </c>
      <c r="B4" s="114" t="s">
        <v>958</v>
      </c>
      <c r="E4" s="114" t="s">
        <v>960</v>
      </c>
      <c r="H4" s="114" t="s">
        <v>959</v>
      </c>
      <c r="I4" s="114" t="s">
        <v>960</v>
      </c>
      <c r="J4" s="327" t="str">
        <f t="shared" si="2"/>
        <v>EN68-O</v>
      </c>
      <c r="K4" s="417" t="s">
        <v>971</v>
      </c>
      <c r="L4" s="114" t="s">
        <v>975</v>
      </c>
      <c r="P4" s="114" t="str">
        <f t="shared" si="0"/>
        <v>EN68-O</v>
      </c>
      <c r="Q4" s="114" t="str">
        <f t="shared" si="1"/>
        <v>MBO6825</v>
      </c>
    </row>
    <row r="5" spans="1:17" x14ac:dyDescent="0.4">
      <c r="A5" s="114" t="s">
        <v>976</v>
      </c>
      <c r="E5" s="114" t="s">
        <v>977</v>
      </c>
      <c r="H5" s="114" t="s">
        <v>959</v>
      </c>
      <c r="I5" s="114" t="s">
        <v>977</v>
      </c>
      <c r="J5" s="327" t="str">
        <f t="shared" si="2"/>
        <v>EN88-O</v>
      </c>
      <c r="K5" s="417" t="s">
        <v>978</v>
      </c>
      <c r="L5" s="114" t="s">
        <v>979</v>
      </c>
      <c r="P5" s="114" t="str">
        <f t="shared" si="0"/>
        <v>EN88-O</v>
      </c>
      <c r="Q5" s="114" t="str">
        <f t="shared" si="1"/>
        <v>N/A</v>
      </c>
    </row>
    <row r="6" spans="1:17" x14ac:dyDescent="0.4">
      <c r="E6" s="114" t="s">
        <v>980</v>
      </c>
      <c r="H6" s="114" t="s">
        <v>959</v>
      </c>
      <c r="I6" s="114" t="s">
        <v>980</v>
      </c>
      <c r="J6" s="327" t="str">
        <f t="shared" si="2"/>
        <v>EN810-O</v>
      </c>
      <c r="K6" s="417" t="s">
        <v>971</v>
      </c>
      <c r="L6" s="114" t="s">
        <v>981</v>
      </c>
      <c r="P6" s="114" t="str">
        <f t="shared" si="0"/>
        <v>EN810-O</v>
      </c>
      <c r="Q6" s="114" t="str">
        <f t="shared" si="1"/>
        <v>MB81030</v>
      </c>
    </row>
    <row r="7" spans="1:17" x14ac:dyDescent="0.4">
      <c r="E7" s="114">
        <v>24</v>
      </c>
      <c r="H7" s="114" t="s">
        <v>962</v>
      </c>
      <c r="I7" s="114" t="s">
        <v>970</v>
      </c>
      <c r="J7" s="327" t="str">
        <f t="shared" si="2"/>
        <v>EN46-G</v>
      </c>
      <c r="K7" s="417" t="s">
        <v>971</v>
      </c>
      <c r="L7" s="114" t="s">
        <v>982</v>
      </c>
      <c r="P7" s="114" t="str">
        <f t="shared" si="0"/>
        <v>EN46-G</v>
      </c>
      <c r="Q7" s="114" t="str">
        <f t="shared" si="1"/>
        <v>MB4620</v>
      </c>
    </row>
    <row r="8" spans="1:17" x14ac:dyDescent="0.4">
      <c r="E8" s="114">
        <v>36</v>
      </c>
      <c r="H8" s="114" t="s">
        <v>962</v>
      </c>
      <c r="I8" s="114" t="s">
        <v>974</v>
      </c>
      <c r="J8" s="327" t="str">
        <f t="shared" si="2"/>
        <v>EN66-G</v>
      </c>
      <c r="K8" s="417" t="s">
        <v>971</v>
      </c>
      <c r="L8" s="114" t="s">
        <v>983</v>
      </c>
      <c r="P8" s="114" t="str">
        <f t="shared" si="0"/>
        <v>EN66-G</v>
      </c>
      <c r="Q8" s="114" t="str">
        <f t="shared" si="1"/>
        <v>MB6630</v>
      </c>
    </row>
    <row r="9" spans="1:17" x14ac:dyDescent="0.4">
      <c r="E9" s="114">
        <v>48</v>
      </c>
      <c r="H9" s="114" t="s">
        <v>962</v>
      </c>
      <c r="I9" s="114" t="s">
        <v>960</v>
      </c>
      <c r="J9" s="327" t="str">
        <f t="shared" si="2"/>
        <v>EN68-G</v>
      </c>
      <c r="K9" s="417" t="s">
        <v>971</v>
      </c>
      <c r="L9" s="114" t="s">
        <v>984</v>
      </c>
      <c r="P9" s="114" t="str">
        <f t="shared" si="0"/>
        <v>EN68-G</v>
      </c>
      <c r="Q9" s="114" t="str">
        <f t="shared" si="1"/>
        <v>MB6830</v>
      </c>
    </row>
    <row r="10" spans="1:17" x14ac:dyDescent="0.4">
      <c r="E10" s="114">
        <v>60</v>
      </c>
      <c r="H10" s="114" t="s">
        <v>962</v>
      </c>
      <c r="I10" s="114" t="s">
        <v>977</v>
      </c>
      <c r="J10" s="327" t="str">
        <f t="shared" si="2"/>
        <v>EN88-G</v>
      </c>
      <c r="K10" s="417" t="s">
        <v>971</v>
      </c>
      <c r="L10" s="114" t="s">
        <v>985</v>
      </c>
      <c r="P10" s="114" t="str">
        <f t="shared" si="0"/>
        <v>EN88-G</v>
      </c>
      <c r="Q10" s="114" t="str">
        <f t="shared" si="1"/>
        <v>MB8830</v>
      </c>
    </row>
    <row r="11" spans="1:17" x14ac:dyDescent="0.4">
      <c r="E11" s="114">
        <v>72</v>
      </c>
      <c r="H11" s="114" t="s">
        <v>962</v>
      </c>
      <c r="I11" s="114" t="s">
        <v>980</v>
      </c>
      <c r="J11" s="327" t="str">
        <f t="shared" si="2"/>
        <v>EN810-G</v>
      </c>
      <c r="K11" s="417" t="s">
        <v>971</v>
      </c>
      <c r="L11" s="114" t="s">
        <v>981</v>
      </c>
      <c r="P11" s="114" t="str">
        <f t="shared" si="0"/>
        <v>EN810-G</v>
      </c>
      <c r="Q11" s="114" t="str">
        <f t="shared" si="1"/>
        <v>MB81030</v>
      </c>
    </row>
    <row r="12" spans="1:17" x14ac:dyDescent="0.4">
      <c r="M12" s="33"/>
      <c r="N12" s="33"/>
    </row>
    <row r="13" spans="1:17" x14ac:dyDescent="0.4">
      <c r="A13" s="33" t="s">
        <v>986</v>
      </c>
      <c r="G13" s="114" t="s">
        <v>987</v>
      </c>
      <c r="H13" s="114" t="s">
        <v>959</v>
      </c>
      <c r="I13" s="114">
        <f>D2</f>
        <v>250</v>
      </c>
      <c r="J13" s="114">
        <v>24</v>
      </c>
      <c r="K13" s="417" t="str">
        <f>F2</f>
        <v>Non-Auto</v>
      </c>
      <c r="L13" s="114" t="s">
        <v>973</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976</v>
      </c>
      <c r="B14" s="114" t="s">
        <v>988</v>
      </c>
      <c r="H14" s="114" t="s">
        <v>959</v>
      </c>
      <c r="I14" s="114">
        <f>D2</f>
        <v>250</v>
      </c>
      <c r="J14" s="114">
        <v>24</v>
      </c>
      <c r="K14" s="417" t="str">
        <f>F3</f>
        <v>MCCB</v>
      </c>
      <c r="L14" s="114" t="s">
        <v>973</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989</v>
      </c>
      <c r="B15" s="114" t="s">
        <v>990</v>
      </c>
      <c r="H15" s="114" t="s">
        <v>959</v>
      </c>
      <c r="I15" s="114">
        <f>D2</f>
        <v>250</v>
      </c>
      <c r="J15" s="114">
        <v>36</v>
      </c>
      <c r="K15" s="417" t="s">
        <v>963</v>
      </c>
      <c r="L15" s="114" t="s">
        <v>973</v>
      </c>
      <c r="M15" s="114" t="str">
        <f t="shared" si="4"/>
        <v>DB36-2-42-O</v>
      </c>
      <c r="N15" s="114" t="str">
        <f t="shared" si="5"/>
        <v>EUR-MDB36OR</v>
      </c>
      <c r="P15" s="114" t="str">
        <f t="shared" si="3"/>
        <v>DB36-2-42-O</v>
      </c>
      <c r="Q15" s="114" t="str">
        <f t="shared" si="3"/>
        <v>EUR-MDB36OR</v>
      </c>
    </row>
    <row r="16" spans="1:17" x14ac:dyDescent="0.4">
      <c r="H16" s="114" t="s">
        <v>959</v>
      </c>
      <c r="I16" s="114">
        <f>D2</f>
        <v>250</v>
      </c>
      <c r="J16" s="114">
        <v>36</v>
      </c>
      <c r="K16" s="417" t="s">
        <v>961</v>
      </c>
      <c r="L16" s="114" t="s">
        <v>973</v>
      </c>
      <c r="M16" s="114" t="str">
        <f t="shared" si="4"/>
        <v>DB36-2-42-O-M</v>
      </c>
      <c r="N16" s="114" t="str">
        <f t="shared" si="5"/>
        <v>EUR-MDB36O2MC</v>
      </c>
      <c r="P16" s="114" t="str">
        <f t="shared" si="3"/>
        <v>DB36-2-42-O-M</v>
      </c>
      <c r="Q16" s="114" t="str">
        <f t="shared" si="3"/>
        <v>EUR-MDB36O2MC</v>
      </c>
    </row>
    <row r="17" spans="8:17" x14ac:dyDescent="0.4">
      <c r="H17" s="114" t="s">
        <v>959</v>
      </c>
      <c r="I17" s="114">
        <f>D2</f>
        <v>250</v>
      </c>
      <c r="J17" s="114">
        <f>E9</f>
        <v>48</v>
      </c>
      <c r="K17" s="417" t="str">
        <f>K15</f>
        <v>Non-Auto</v>
      </c>
      <c r="L17" s="114" t="s">
        <v>973</v>
      </c>
      <c r="M17" s="114" t="str">
        <f t="shared" si="4"/>
        <v>DB48-2-42-O</v>
      </c>
      <c r="N17" s="114" t="str">
        <f t="shared" si="5"/>
        <v>EUR-MDB48OR</v>
      </c>
      <c r="P17" s="114" t="str">
        <f t="shared" si="3"/>
        <v>DB48-2-42-O</v>
      </c>
      <c r="Q17" s="114" t="str">
        <f t="shared" si="3"/>
        <v>EUR-MDB48OR</v>
      </c>
    </row>
    <row r="18" spans="8:17" x14ac:dyDescent="0.4">
      <c r="H18" s="114" t="s">
        <v>959</v>
      </c>
      <c r="I18" s="114">
        <f>D2</f>
        <v>250</v>
      </c>
      <c r="J18" s="114">
        <f>E9</f>
        <v>48</v>
      </c>
      <c r="K18" s="417" t="str">
        <f>K16</f>
        <v>MCCB</v>
      </c>
      <c r="L18" s="114" t="s">
        <v>973</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7"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7"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7"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7"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959</v>
      </c>
      <c r="I23" s="114">
        <v>250</v>
      </c>
      <c r="J23" s="114">
        <v>24</v>
      </c>
      <c r="K23" s="417" t="s">
        <v>963</v>
      </c>
      <c r="L23" s="114" t="s">
        <v>958</v>
      </c>
      <c r="M23" s="114" t="str">
        <f t="shared" si="4"/>
        <v>DB24-2-56-O</v>
      </c>
      <c r="N23" s="114" t="str">
        <f t="shared" si="5"/>
        <v>EUR-MDB24OR/WP</v>
      </c>
      <c r="P23" s="114" t="str">
        <f t="shared" si="3"/>
        <v>DB24-2-56-O</v>
      </c>
      <c r="Q23" s="114" t="str">
        <f t="shared" si="3"/>
        <v>EUR-MDB24OR/WP</v>
      </c>
    </row>
    <row r="24" spans="8:17" x14ac:dyDescent="0.4">
      <c r="H24" s="114" t="s">
        <v>959</v>
      </c>
      <c r="I24" s="114">
        <v>250</v>
      </c>
      <c r="J24" s="114">
        <v>24</v>
      </c>
      <c r="K24" s="417" t="s">
        <v>961</v>
      </c>
      <c r="L24" s="114" t="s">
        <v>958</v>
      </c>
      <c r="M24" s="114" t="str">
        <f t="shared" si="4"/>
        <v>DB24-2-56-O-M</v>
      </c>
      <c r="N24" s="114" t="str">
        <f t="shared" si="5"/>
        <v>EUR-MDB24O2MCWP</v>
      </c>
      <c r="P24" s="114" t="str">
        <f t="shared" si="3"/>
        <v>DB24-2-56-O-M</v>
      </c>
      <c r="Q24" s="114" t="str">
        <f t="shared" si="3"/>
        <v>EUR-MDB24O2MCWP</v>
      </c>
    </row>
    <row r="25" spans="8:17" x14ac:dyDescent="0.4">
      <c r="H25" s="114" t="s">
        <v>959</v>
      </c>
      <c r="I25" s="114">
        <v>250</v>
      </c>
      <c r="J25" s="114">
        <v>36</v>
      </c>
      <c r="K25" s="417" t="s">
        <v>963</v>
      </c>
      <c r="L25" s="114" t="s">
        <v>958</v>
      </c>
      <c r="M25" s="114" t="str">
        <f t="shared" si="4"/>
        <v>DB36-2-56-O</v>
      </c>
      <c r="N25" s="114" t="str">
        <f t="shared" si="5"/>
        <v>EUR-MDB36OR/WP</v>
      </c>
      <c r="P25" s="114" t="str">
        <f t="shared" si="3"/>
        <v>DB36-2-56-O</v>
      </c>
      <c r="Q25" s="114" t="str">
        <f t="shared" si="3"/>
        <v>EUR-MDB36OR/WP</v>
      </c>
    </row>
    <row r="26" spans="8:17" x14ac:dyDescent="0.4">
      <c r="H26" s="114" t="s">
        <v>959</v>
      </c>
      <c r="I26" s="114">
        <v>250</v>
      </c>
      <c r="J26" s="114">
        <v>36</v>
      </c>
      <c r="K26" s="417" t="s">
        <v>961</v>
      </c>
      <c r="L26" s="114" t="s">
        <v>958</v>
      </c>
      <c r="M26" s="114" t="str">
        <f t="shared" si="4"/>
        <v>DB36-2-56-O-M</v>
      </c>
      <c r="N26" s="114" t="str">
        <f t="shared" si="5"/>
        <v>EUR-MDB36O2MCWP</v>
      </c>
      <c r="P26" s="114" t="str">
        <f t="shared" si="3"/>
        <v>DB36-2-56-O-M</v>
      </c>
      <c r="Q26" s="114" t="str">
        <f t="shared" si="3"/>
        <v>EUR-MDB36O2MCWP</v>
      </c>
    </row>
    <row r="27" spans="8:17" x14ac:dyDescent="0.4">
      <c r="H27" s="114" t="s">
        <v>959</v>
      </c>
      <c r="I27" s="114">
        <v>250</v>
      </c>
      <c r="J27" s="114">
        <v>48</v>
      </c>
      <c r="K27" s="417" t="s">
        <v>963</v>
      </c>
      <c r="L27" s="114" t="s">
        <v>958</v>
      </c>
      <c r="M27" s="114" t="str">
        <f t="shared" si="4"/>
        <v>DB48-2-56-O</v>
      </c>
      <c r="N27" s="114" t="str">
        <f t="shared" si="5"/>
        <v>EUR-MDB48OR/WP</v>
      </c>
      <c r="P27" s="114" t="str">
        <f t="shared" si="3"/>
        <v>DB48-2-56-O</v>
      </c>
      <c r="Q27" s="114" t="str">
        <f t="shared" si="3"/>
        <v>EUR-MDB48OR/WP</v>
      </c>
    </row>
    <row r="28" spans="8:17" x14ac:dyDescent="0.4">
      <c r="H28" s="114" t="s">
        <v>959</v>
      </c>
      <c r="I28" s="114">
        <v>250</v>
      </c>
      <c r="J28" s="114">
        <v>48</v>
      </c>
      <c r="K28" s="417" t="s">
        <v>961</v>
      </c>
      <c r="L28" s="114" t="s">
        <v>958</v>
      </c>
      <c r="M28" s="114" t="str">
        <f t="shared" si="4"/>
        <v>DB48-2-56-O-M</v>
      </c>
      <c r="N28" s="114" t="str">
        <f t="shared" si="5"/>
        <v>EUR-MDB48O2MCWP</v>
      </c>
      <c r="P28" s="114" t="str">
        <f t="shared" si="3"/>
        <v>DB48-2-56-O-M</v>
      </c>
      <c r="Q28" s="114" t="str">
        <f t="shared" si="3"/>
        <v>EUR-MDB48O2MCWP</v>
      </c>
    </row>
    <row r="29" spans="8:17" x14ac:dyDescent="0.4">
      <c r="H29" s="114" t="s">
        <v>959</v>
      </c>
      <c r="I29" s="114">
        <v>250</v>
      </c>
      <c r="J29" s="114">
        <v>60</v>
      </c>
      <c r="K29" s="417" t="s">
        <v>963</v>
      </c>
      <c r="L29" s="114" t="s">
        <v>958</v>
      </c>
      <c r="M29" s="114" t="str">
        <f t="shared" si="4"/>
        <v>DB60-2-56-O</v>
      </c>
      <c r="N29" s="114" t="str">
        <f t="shared" si="5"/>
        <v>EUR-MDB60OR/WP</v>
      </c>
      <c r="P29" s="114" t="str">
        <f t="shared" si="3"/>
        <v>DB60-2-56-O</v>
      </c>
      <c r="Q29" s="114" t="str">
        <f t="shared" si="3"/>
        <v>EUR-MDB60OR/WP</v>
      </c>
    </row>
    <row r="30" spans="8:17" x14ac:dyDescent="0.4">
      <c r="H30" s="114" t="s">
        <v>959</v>
      </c>
      <c r="I30" s="114">
        <v>250</v>
      </c>
      <c r="J30" s="114">
        <v>60</v>
      </c>
      <c r="K30" s="417" t="s">
        <v>961</v>
      </c>
      <c r="L30" s="114" t="s">
        <v>958</v>
      </c>
      <c r="M30" s="114" t="str">
        <f t="shared" si="4"/>
        <v>DB60-2-56-O-M</v>
      </c>
      <c r="N30" s="114" t="str">
        <f t="shared" si="5"/>
        <v>EUR-MDB60O2MCWP</v>
      </c>
      <c r="P30" s="114" t="str">
        <f t="shared" si="3"/>
        <v>DB60-2-56-O-M</v>
      </c>
      <c r="Q30" s="114" t="str">
        <f t="shared" si="3"/>
        <v>EUR-MDB60O2MCWP</v>
      </c>
    </row>
    <row r="31" spans="8:17" x14ac:dyDescent="0.4">
      <c r="H31" s="114" t="s">
        <v>959</v>
      </c>
      <c r="I31" s="114">
        <v>250</v>
      </c>
      <c r="J31" s="114">
        <v>72</v>
      </c>
      <c r="K31" s="417" t="s">
        <v>963</v>
      </c>
      <c r="L31" s="114" t="s">
        <v>958</v>
      </c>
      <c r="M31" s="114" t="str">
        <f t="shared" si="4"/>
        <v>DB72-2-56-O</v>
      </c>
      <c r="N31" s="114" t="str">
        <f t="shared" si="5"/>
        <v>EUR-MDB72OR/WP</v>
      </c>
      <c r="P31" s="114" t="str">
        <f t="shared" si="3"/>
        <v>DB72-2-56-O</v>
      </c>
      <c r="Q31" s="114" t="str">
        <f t="shared" si="3"/>
        <v>EUR-MDB72OR/WP</v>
      </c>
    </row>
    <row r="32" spans="8:17" x14ac:dyDescent="0.4">
      <c r="H32" s="114" t="s">
        <v>959</v>
      </c>
      <c r="I32" s="114">
        <v>250</v>
      </c>
      <c r="J32" s="114">
        <v>72</v>
      </c>
      <c r="K32" s="417" t="s">
        <v>961</v>
      </c>
      <c r="L32" s="114" t="s">
        <v>958</v>
      </c>
      <c r="M32" s="114" t="str">
        <f t="shared" si="4"/>
        <v>DB72-2-56-O-M</v>
      </c>
      <c r="N32" s="114" t="str">
        <f t="shared" si="5"/>
        <v>EUR-MDB72O2MCWP</v>
      </c>
      <c r="P32" s="114" t="str">
        <f t="shared" si="3"/>
        <v>DB72-2-56-O-M</v>
      </c>
      <c r="Q32" s="114" t="str">
        <f t="shared" si="3"/>
        <v>EUR-MDB72O2MCWP</v>
      </c>
    </row>
    <row r="33" spans="8:17" x14ac:dyDescent="0.4">
      <c r="H33" s="114" t="s">
        <v>959</v>
      </c>
      <c r="I33" s="114">
        <v>400</v>
      </c>
      <c r="J33" s="114">
        <v>24</v>
      </c>
      <c r="K33" s="417" t="s">
        <v>963</v>
      </c>
      <c r="L33" s="114" t="s">
        <v>973</v>
      </c>
      <c r="M33" s="114" t="str">
        <f t="shared" si="4"/>
        <v>DB24-4-42-O</v>
      </c>
      <c r="N33" s="114" t="str">
        <f t="shared" si="5"/>
        <v>EUR-MDB24O4NA</v>
      </c>
      <c r="P33" s="114" t="str">
        <f t="shared" si="3"/>
        <v>DB24-4-42-O</v>
      </c>
      <c r="Q33" s="114" t="str">
        <f t="shared" si="3"/>
        <v>EUR-MDB24O4NA</v>
      </c>
    </row>
    <row r="34" spans="8:17" x14ac:dyDescent="0.4">
      <c r="H34" s="114" t="s">
        <v>959</v>
      </c>
      <c r="I34" s="114">
        <v>400</v>
      </c>
      <c r="J34" s="114">
        <v>24</v>
      </c>
      <c r="K34" s="417" t="s">
        <v>961</v>
      </c>
      <c r="L34" s="114" t="s">
        <v>973</v>
      </c>
      <c r="M34" s="114" t="str">
        <f t="shared" si="4"/>
        <v>DB24-4-42-O-M</v>
      </c>
      <c r="N34" s="114" t="str">
        <f t="shared" si="5"/>
        <v>EUR-MDB24O4MC</v>
      </c>
      <c r="P34" s="114" t="str">
        <f t="shared" si="3"/>
        <v>DB24-4-42-O-M</v>
      </c>
      <c r="Q34" s="114" t="str">
        <f t="shared" si="3"/>
        <v>EUR-MDB24O4MC</v>
      </c>
    </row>
    <row r="35" spans="8:17" x14ac:dyDescent="0.4">
      <c r="H35" s="114" t="s">
        <v>959</v>
      </c>
      <c r="I35" s="114">
        <v>400</v>
      </c>
      <c r="J35" s="114">
        <v>36</v>
      </c>
      <c r="K35" s="417" t="s">
        <v>963</v>
      </c>
      <c r="L35" s="114" t="s">
        <v>973</v>
      </c>
      <c r="M35" s="114" t="str">
        <f t="shared" si="4"/>
        <v>DB36-4-42-O</v>
      </c>
      <c r="N35" s="114" t="str">
        <f t="shared" si="5"/>
        <v>EUR-MDB36O4NA</v>
      </c>
      <c r="P35" s="114" t="str">
        <f t="shared" si="3"/>
        <v>DB36-4-42-O</v>
      </c>
      <c r="Q35" s="114" t="str">
        <f t="shared" si="3"/>
        <v>EUR-MDB36O4NA</v>
      </c>
    </row>
    <row r="36" spans="8:17" x14ac:dyDescent="0.4">
      <c r="H36" s="114" t="s">
        <v>959</v>
      </c>
      <c r="I36" s="114">
        <v>400</v>
      </c>
      <c r="J36" s="114">
        <v>36</v>
      </c>
      <c r="K36" s="417" t="s">
        <v>961</v>
      </c>
      <c r="L36" s="114" t="s">
        <v>973</v>
      </c>
      <c r="M36" s="114" t="str">
        <f t="shared" si="4"/>
        <v>DB36-4-42-O-M</v>
      </c>
      <c r="N36" s="114" t="str">
        <f t="shared" si="5"/>
        <v>EUR-MDB36O4MC</v>
      </c>
      <c r="P36" s="114" t="str">
        <f t="shared" si="3"/>
        <v>DB36-4-42-O-M</v>
      </c>
      <c r="Q36" s="114" t="str">
        <f t="shared" si="3"/>
        <v>EUR-MDB36O4MC</v>
      </c>
    </row>
    <row r="37" spans="8:17" x14ac:dyDescent="0.4">
      <c r="H37" s="114" t="s">
        <v>959</v>
      </c>
      <c r="I37" s="114">
        <v>400</v>
      </c>
      <c r="J37" s="114">
        <v>48</v>
      </c>
      <c r="K37" s="417" t="s">
        <v>963</v>
      </c>
      <c r="L37" s="114" t="s">
        <v>973</v>
      </c>
      <c r="M37" s="114" t="str">
        <f t="shared" si="4"/>
        <v>DB48-4-42-O</v>
      </c>
      <c r="N37" s="114" t="str">
        <f t="shared" si="5"/>
        <v>EUR-MDB48O4NA</v>
      </c>
      <c r="P37" s="114" t="str">
        <f t="shared" si="3"/>
        <v>DB48-4-42-O</v>
      </c>
      <c r="Q37" s="114" t="str">
        <f t="shared" si="3"/>
        <v>EUR-MDB48O4NA</v>
      </c>
    </row>
    <row r="38" spans="8:17" x14ac:dyDescent="0.4">
      <c r="H38" s="114" t="s">
        <v>959</v>
      </c>
      <c r="I38" s="114">
        <v>400</v>
      </c>
      <c r="J38" s="114">
        <v>48</v>
      </c>
      <c r="K38" s="417" t="s">
        <v>961</v>
      </c>
      <c r="L38" s="114" t="s">
        <v>973</v>
      </c>
      <c r="M38" s="114" t="str">
        <f t="shared" si="4"/>
        <v>DB48-4-42-O-M</v>
      </c>
      <c r="N38" s="114" t="str">
        <f t="shared" si="5"/>
        <v>EUR-MDB48O4MC</v>
      </c>
      <c r="P38" s="114" t="str">
        <f t="shared" si="3"/>
        <v>DB48-4-42-O-M</v>
      </c>
      <c r="Q38" s="114" t="str">
        <f t="shared" si="3"/>
        <v>EUR-MDB48O4MC</v>
      </c>
    </row>
    <row r="39" spans="8:17" x14ac:dyDescent="0.4">
      <c r="H39" s="114" t="s">
        <v>959</v>
      </c>
      <c r="I39" s="114">
        <v>400</v>
      </c>
      <c r="J39" s="114">
        <v>60</v>
      </c>
      <c r="K39" s="417" t="s">
        <v>963</v>
      </c>
      <c r="L39" s="114" t="s">
        <v>973</v>
      </c>
      <c r="M39" s="114" t="str">
        <f t="shared" si="4"/>
        <v>DB60-4-42-O</v>
      </c>
      <c r="N39" s="114" t="str">
        <f t="shared" si="5"/>
        <v>EUR-MDB60O4NA</v>
      </c>
      <c r="P39" s="114" t="str">
        <f t="shared" si="3"/>
        <v>DB60-4-42-O</v>
      </c>
      <c r="Q39" s="114" t="str">
        <f t="shared" si="3"/>
        <v>EUR-MDB60O4NA</v>
      </c>
    </row>
    <row r="40" spans="8:17" x14ac:dyDescent="0.4">
      <c r="H40" s="114" t="s">
        <v>959</v>
      </c>
      <c r="I40" s="114">
        <v>400</v>
      </c>
      <c r="J40" s="114">
        <v>60</v>
      </c>
      <c r="K40" s="417" t="s">
        <v>961</v>
      </c>
      <c r="L40" s="114" t="s">
        <v>973</v>
      </c>
      <c r="M40" s="114" t="str">
        <f t="shared" si="4"/>
        <v>DB60-4-42-O-M</v>
      </c>
      <c r="N40" s="114" t="str">
        <f t="shared" si="5"/>
        <v>EUR-MDB60O4MC</v>
      </c>
      <c r="P40" s="114" t="str">
        <f t="shared" si="3"/>
        <v>DB60-4-42-O-M</v>
      </c>
      <c r="Q40" s="114" t="str">
        <f t="shared" si="3"/>
        <v>EUR-MDB60O4MC</v>
      </c>
    </row>
    <row r="41" spans="8:17" x14ac:dyDescent="0.4">
      <c r="H41" s="114" t="s">
        <v>959</v>
      </c>
      <c r="I41" s="114">
        <v>400</v>
      </c>
      <c r="J41" s="114">
        <v>72</v>
      </c>
      <c r="K41" s="417" t="s">
        <v>963</v>
      </c>
      <c r="L41" s="114" t="s">
        <v>973</v>
      </c>
      <c r="M41" s="114" t="str">
        <f t="shared" si="4"/>
        <v>DB72-4-42-O</v>
      </c>
      <c r="N41" s="114" t="str">
        <f t="shared" si="5"/>
        <v>EUR-MDB72O4NA</v>
      </c>
      <c r="P41" s="114" t="str">
        <f t="shared" si="3"/>
        <v>DB72-4-42-O</v>
      </c>
      <c r="Q41" s="114" t="str">
        <f t="shared" si="3"/>
        <v>EUR-MDB72O4NA</v>
      </c>
    </row>
    <row r="42" spans="8:17" x14ac:dyDescent="0.4">
      <c r="H42" s="114" t="s">
        <v>959</v>
      </c>
      <c r="I42" s="114">
        <v>400</v>
      </c>
      <c r="J42" s="114">
        <v>72</v>
      </c>
      <c r="K42" s="417" t="s">
        <v>961</v>
      </c>
      <c r="L42" s="114" t="s">
        <v>973</v>
      </c>
      <c r="M42" s="114" t="str">
        <f t="shared" si="4"/>
        <v>DB72-4-42-O-M</v>
      </c>
      <c r="N42" s="114" t="str">
        <f t="shared" si="5"/>
        <v>EUR-MDB72O4MC</v>
      </c>
      <c r="P42" s="114" t="str">
        <f t="shared" si="3"/>
        <v>DB72-4-42-O-M</v>
      </c>
      <c r="Q42" s="114" t="str">
        <f t="shared" si="3"/>
        <v>EUR-MDB72O4MC</v>
      </c>
    </row>
    <row r="43" spans="8:17" x14ac:dyDescent="0.4">
      <c r="H43" s="114" t="s">
        <v>959</v>
      </c>
      <c r="I43" s="114">
        <v>400</v>
      </c>
      <c r="J43" s="114">
        <v>24</v>
      </c>
      <c r="K43" s="417" t="s">
        <v>963</v>
      </c>
      <c r="L43" s="114" t="s">
        <v>958</v>
      </c>
      <c r="M43" s="114" t="str">
        <f t="shared" si="4"/>
        <v>DB24-4-56-O</v>
      </c>
      <c r="N43" s="114" t="str">
        <f t="shared" si="5"/>
        <v>EUR-MDB24O4NAWP</v>
      </c>
      <c r="P43" s="114" t="str">
        <f t="shared" si="3"/>
        <v>DB24-4-56-O</v>
      </c>
      <c r="Q43" s="114" t="str">
        <f t="shared" si="3"/>
        <v>EUR-MDB24O4NAWP</v>
      </c>
    </row>
    <row r="44" spans="8:17" x14ac:dyDescent="0.4">
      <c r="H44" s="114" t="s">
        <v>959</v>
      </c>
      <c r="I44" s="114">
        <v>400</v>
      </c>
      <c r="J44" s="114">
        <v>24</v>
      </c>
      <c r="K44" s="417" t="s">
        <v>961</v>
      </c>
      <c r="L44" s="114" t="s">
        <v>958</v>
      </c>
      <c r="M44" s="114" t="str">
        <f t="shared" si="4"/>
        <v>DB24-4-56-O-M</v>
      </c>
      <c r="N44" s="114" t="str">
        <f t="shared" si="5"/>
        <v>EUR-MDB24O4MCWP</v>
      </c>
      <c r="P44" s="114" t="str">
        <f t="shared" si="3"/>
        <v>DB24-4-56-O-M</v>
      </c>
      <c r="Q44" s="114" t="str">
        <f t="shared" si="3"/>
        <v>EUR-MDB24O4MCWP</v>
      </c>
    </row>
    <row r="45" spans="8:17" x14ac:dyDescent="0.4">
      <c r="H45" s="114" t="s">
        <v>959</v>
      </c>
      <c r="I45" s="114">
        <v>400</v>
      </c>
      <c r="J45" s="114">
        <v>36</v>
      </c>
      <c r="K45" s="417" t="s">
        <v>963</v>
      </c>
      <c r="L45" s="114" t="s">
        <v>958</v>
      </c>
      <c r="M45" s="114" t="str">
        <f t="shared" si="4"/>
        <v>DB36-4-56-O</v>
      </c>
      <c r="N45" s="114" t="str">
        <f t="shared" si="5"/>
        <v>EUR-MDB36O4NAWP</v>
      </c>
      <c r="P45" s="114" t="str">
        <f t="shared" si="3"/>
        <v>DB36-4-56-O</v>
      </c>
      <c r="Q45" s="114" t="str">
        <f t="shared" si="3"/>
        <v>EUR-MDB36O4NAWP</v>
      </c>
    </row>
    <row r="46" spans="8:17" x14ac:dyDescent="0.4">
      <c r="H46" s="114" t="s">
        <v>959</v>
      </c>
      <c r="I46" s="114">
        <v>400</v>
      </c>
      <c r="J46" s="114">
        <v>36</v>
      </c>
      <c r="K46" s="417" t="s">
        <v>961</v>
      </c>
      <c r="L46" s="114" t="s">
        <v>958</v>
      </c>
      <c r="M46" s="114" t="str">
        <f t="shared" si="4"/>
        <v>DB36-4-56-O-M</v>
      </c>
      <c r="N46" s="114" t="str">
        <f t="shared" si="5"/>
        <v>EUR-MDB36O4MCWP</v>
      </c>
      <c r="P46" s="114" t="str">
        <f t="shared" si="3"/>
        <v>DB36-4-56-O-M</v>
      </c>
      <c r="Q46" s="114" t="str">
        <f t="shared" si="3"/>
        <v>EUR-MDB36O4MCWP</v>
      </c>
    </row>
    <row r="47" spans="8:17" x14ac:dyDescent="0.4">
      <c r="H47" s="114" t="s">
        <v>959</v>
      </c>
      <c r="I47" s="114">
        <v>400</v>
      </c>
      <c r="J47" s="114">
        <v>48</v>
      </c>
      <c r="K47" s="417" t="s">
        <v>963</v>
      </c>
      <c r="L47" s="114" t="s">
        <v>958</v>
      </c>
      <c r="M47" s="114" t="str">
        <f t="shared" si="4"/>
        <v>DB48-4-56-O</v>
      </c>
      <c r="N47" s="114" t="str">
        <f t="shared" si="5"/>
        <v>EUR-MDB48O4NAWP</v>
      </c>
      <c r="P47" s="114" t="str">
        <f t="shared" si="3"/>
        <v>DB48-4-56-O</v>
      </c>
      <c r="Q47" s="114" t="str">
        <f t="shared" si="3"/>
        <v>EUR-MDB48O4NAWP</v>
      </c>
    </row>
    <row r="48" spans="8:17" x14ac:dyDescent="0.4">
      <c r="H48" s="114" t="s">
        <v>959</v>
      </c>
      <c r="I48" s="114">
        <v>400</v>
      </c>
      <c r="J48" s="114">
        <v>48</v>
      </c>
      <c r="K48" s="417" t="s">
        <v>961</v>
      </c>
      <c r="L48" s="114" t="s">
        <v>958</v>
      </c>
      <c r="M48" s="114" t="str">
        <f t="shared" si="4"/>
        <v>DB48-4-56-O-M</v>
      </c>
      <c r="N48" s="114" t="str">
        <f t="shared" si="5"/>
        <v>EUR-MDB48O4MCWP</v>
      </c>
      <c r="P48" s="114" t="str">
        <f t="shared" si="3"/>
        <v>DB48-4-56-O-M</v>
      </c>
      <c r="Q48" s="114" t="str">
        <f t="shared" si="3"/>
        <v>EUR-MDB48O4MCWP</v>
      </c>
    </row>
    <row r="49" spans="8:17" x14ac:dyDescent="0.4">
      <c r="H49" s="114" t="s">
        <v>959</v>
      </c>
      <c r="I49" s="114">
        <v>400</v>
      </c>
      <c r="J49" s="114">
        <v>60</v>
      </c>
      <c r="K49" s="417" t="s">
        <v>963</v>
      </c>
      <c r="L49" s="114" t="s">
        <v>958</v>
      </c>
      <c r="M49" s="114" t="str">
        <f t="shared" si="4"/>
        <v>DB60-4-56-O</v>
      </c>
      <c r="N49" s="114" t="str">
        <f t="shared" si="5"/>
        <v>EUR-MDB60O4NAWP</v>
      </c>
      <c r="P49" s="114" t="str">
        <f t="shared" si="3"/>
        <v>DB60-4-56-O</v>
      </c>
      <c r="Q49" s="114" t="str">
        <f t="shared" si="3"/>
        <v>EUR-MDB60O4NAWP</v>
      </c>
    </row>
    <row r="50" spans="8:17" x14ac:dyDescent="0.4">
      <c r="H50" s="114" t="s">
        <v>959</v>
      </c>
      <c r="I50" s="114">
        <v>400</v>
      </c>
      <c r="J50" s="114">
        <v>60</v>
      </c>
      <c r="K50" s="417" t="s">
        <v>961</v>
      </c>
      <c r="L50" s="114" t="s">
        <v>958</v>
      </c>
      <c r="M50" s="114" t="str">
        <f t="shared" si="4"/>
        <v>DB60-4-56-O-M</v>
      </c>
      <c r="N50" s="114" t="str">
        <f t="shared" si="5"/>
        <v>EUR-MDB60O4MCWP</v>
      </c>
      <c r="P50" s="114" t="str">
        <f t="shared" si="3"/>
        <v>DB60-4-56-O-M</v>
      </c>
      <c r="Q50" s="114" t="str">
        <f t="shared" si="3"/>
        <v>EUR-MDB60O4MCWP</v>
      </c>
    </row>
    <row r="51" spans="8:17" x14ac:dyDescent="0.4">
      <c r="H51" s="114" t="s">
        <v>959</v>
      </c>
      <c r="I51" s="114">
        <v>400</v>
      </c>
      <c r="J51" s="114">
        <v>72</v>
      </c>
      <c r="K51" s="417" t="s">
        <v>963</v>
      </c>
      <c r="L51" s="114" t="s">
        <v>958</v>
      </c>
      <c r="M51" s="114" t="str">
        <f t="shared" si="4"/>
        <v>DB72-4-56-O</v>
      </c>
      <c r="N51" s="114" t="str">
        <f t="shared" si="5"/>
        <v>EUR-MDB72O4NAWP</v>
      </c>
      <c r="P51" s="114" t="str">
        <f t="shared" si="3"/>
        <v>DB72-4-56-O</v>
      </c>
      <c r="Q51" s="114" t="str">
        <f t="shared" si="3"/>
        <v>EUR-MDB72O4NAWP</v>
      </c>
    </row>
    <row r="52" spans="8:17" x14ac:dyDescent="0.4">
      <c r="H52" s="114" t="s">
        <v>959</v>
      </c>
      <c r="I52" s="114">
        <v>400</v>
      </c>
      <c r="J52" s="114">
        <v>72</v>
      </c>
      <c r="K52" s="417" t="s">
        <v>961</v>
      </c>
      <c r="L52" s="114" t="s">
        <v>958</v>
      </c>
      <c r="M52" s="114" t="str">
        <f t="shared" si="4"/>
        <v>DB72-4-56-O-M</v>
      </c>
      <c r="N52" s="114" t="str">
        <f t="shared" si="5"/>
        <v>EUR-MDB72O4MCWP</v>
      </c>
      <c r="P52" s="114" t="str">
        <f t="shared" si="3"/>
        <v>DB72-4-56-O-M</v>
      </c>
      <c r="Q52" s="114" t="str">
        <f t="shared" si="3"/>
        <v>EUR-MDB72O4MCWP</v>
      </c>
    </row>
    <row r="53" spans="8:17" x14ac:dyDescent="0.4">
      <c r="H53" s="114" t="s">
        <v>962</v>
      </c>
      <c r="I53" s="114">
        <v>250</v>
      </c>
      <c r="J53" s="114">
        <v>24</v>
      </c>
      <c r="K53" s="417" t="s">
        <v>963</v>
      </c>
      <c r="L53" s="114" t="s">
        <v>973</v>
      </c>
      <c r="M53" s="114" t="str">
        <f t="shared" si="4"/>
        <v>DB24-2-42-G</v>
      </c>
      <c r="N53" s="114" t="str">
        <f t="shared" si="5"/>
        <v>EUR-MDB24G</v>
      </c>
      <c r="P53" s="114" t="str">
        <f t="shared" si="3"/>
        <v>DB24-2-42-G</v>
      </c>
      <c r="Q53" s="114" t="str">
        <f t="shared" si="3"/>
        <v>EUR-MDB24G</v>
      </c>
    </row>
    <row r="54" spans="8:17" x14ac:dyDescent="0.4">
      <c r="H54" s="114" t="s">
        <v>962</v>
      </c>
      <c r="I54" s="114">
        <v>250</v>
      </c>
      <c r="J54" s="114">
        <v>24</v>
      </c>
      <c r="K54" s="417" t="s">
        <v>961</v>
      </c>
      <c r="L54" s="114" t="s">
        <v>973</v>
      </c>
      <c r="M54" s="114" t="str">
        <f t="shared" si="4"/>
        <v>DB24-2-42-G-M</v>
      </c>
      <c r="N54" s="114" t="str">
        <f t="shared" si="5"/>
        <v>EUR-MDB24G2MC</v>
      </c>
      <c r="P54" s="114" t="str">
        <f t="shared" si="3"/>
        <v>DB24-2-42-G-M</v>
      </c>
      <c r="Q54" s="114" t="str">
        <f t="shared" si="3"/>
        <v>EUR-MDB24G2MC</v>
      </c>
    </row>
    <row r="55" spans="8:17" x14ac:dyDescent="0.4">
      <c r="H55" s="114" t="s">
        <v>962</v>
      </c>
      <c r="I55" s="114">
        <v>250</v>
      </c>
      <c r="J55" s="114">
        <v>36</v>
      </c>
      <c r="K55" s="417" t="s">
        <v>963</v>
      </c>
      <c r="L55" s="114" t="s">
        <v>973</v>
      </c>
      <c r="M55" s="114" t="str">
        <f t="shared" si="4"/>
        <v>DB36-2-42-G</v>
      </c>
      <c r="N55" s="114" t="str">
        <f t="shared" si="5"/>
        <v>EUR-MDB36G</v>
      </c>
      <c r="P55" s="114" t="str">
        <f t="shared" si="3"/>
        <v>DB36-2-42-G</v>
      </c>
      <c r="Q55" s="114" t="str">
        <f t="shared" si="3"/>
        <v>EUR-MDB36G</v>
      </c>
    </row>
    <row r="56" spans="8:17" x14ac:dyDescent="0.4">
      <c r="H56" s="114" t="s">
        <v>962</v>
      </c>
      <c r="I56" s="114">
        <v>250</v>
      </c>
      <c r="J56" s="114">
        <v>36</v>
      </c>
      <c r="K56" s="417" t="s">
        <v>961</v>
      </c>
      <c r="L56" s="114" t="s">
        <v>973</v>
      </c>
      <c r="M56" s="114" t="str">
        <f t="shared" si="4"/>
        <v>DB36-2-42-G-M</v>
      </c>
      <c r="N56" s="114" t="str">
        <f t="shared" si="5"/>
        <v>EUR-MDB36G2MC</v>
      </c>
      <c r="P56" s="114" t="str">
        <f t="shared" si="3"/>
        <v>DB36-2-42-G-M</v>
      </c>
      <c r="Q56" s="114" t="str">
        <f t="shared" si="3"/>
        <v>EUR-MDB36G2MC</v>
      </c>
    </row>
    <row r="57" spans="8:17" x14ac:dyDescent="0.4">
      <c r="H57" s="114" t="s">
        <v>962</v>
      </c>
      <c r="I57" s="114">
        <v>250</v>
      </c>
      <c r="J57" s="114">
        <v>48</v>
      </c>
      <c r="K57" s="417" t="s">
        <v>963</v>
      </c>
      <c r="L57" s="114" t="s">
        <v>973</v>
      </c>
      <c r="M57" s="114" t="str">
        <f t="shared" si="4"/>
        <v>DB48-2-42-G</v>
      </c>
      <c r="N57" s="114" t="str">
        <f t="shared" si="5"/>
        <v>EUR-MDB48G</v>
      </c>
      <c r="P57" s="114" t="str">
        <f t="shared" si="3"/>
        <v>DB48-2-42-G</v>
      </c>
      <c r="Q57" s="114" t="str">
        <f t="shared" si="3"/>
        <v>EUR-MDB48G</v>
      </c>
    </row>
    <row r="58" spans="8:17" x14ac:dyDescent="0.4">
      <c r="H58" s="114" t="s">
        <v>962</v>
      </c>
      <c r="I58" s="114">
        <v>250</v>
      </c>
      <c r="J58" s="114">
        <v>48</v>
      </c>
      <c r="K58" s="417" t="s">
        <v>961</v>
      </c>
      <c r="L58" s="114" t="s">
        <v>973</v>
      </c>
      <c r="M58" s="114" t="str">
        <f t="shared" si="4"/>
        <v>DB48-2-42-G-M</v>
      </c>
      <c r="N58" s="114" t="str">
        <f t="shared" si="5"/>
        <v>EUR-MDB48G2MC</v>
      </c>
      <c r="P58" s="114" t="str">
        <f t="shared" si="3"/>
        <v>DB48-2-42-G-M</v>
      </c>
      <c r="Q58" s="114" t="str">
        <f t="shared" si="3"/>
        <v>EUR-MDB48G2MC</v>
      </c>
    </row>
    <row r="59" spans="8:17" x14ac:dyDescent="0.4">
      <c r="H59" s="114" t="s">
        <v>962</v>
      </c>
      <c r="I59" s="114">
        <v>250</v>
      </c>
      <c r="J59" s="114">
        <v>60</v>
      </c>
      <c r="K59" s="417" t="s">
        <v>963</v>
      </c>
      <c r="L59" s="114" t="s">
        <v>973</v>
      </c>
      <c r="M59" s="114" t="str">
        <f t="shared" si="4"/>
        <v>DB60-2-42-G</v>
      </c>
      <c r="N59" s="114" t="str">
        <f t="shared" si="5"/>
        <v>EUR-MDB60G</v>
      </c>
      <c r="P59" s="114" t="str">
        <f t="shared" si="3"/>
        <v>DB60-2-42-G</v>
      </c>
      <c r="Q59" s="114" t="str">
        <f t="shared" si="3"/>
        <v>EUR-MDB60G</v>
      </c>
    </row>
    <row r="60" spans="8:17" x14ac:dyDescent="0.4">
      <c r="H60" s="114" t="s">
        <v>962</v>
      </c>
      <c r="I60" s="114">
        <v>250</v>
      </c>
      <c r="J60" s="114">
        <v>60</v>
      </c>
      <c r="K60" s="417" t="s">
        <v>961</v>
      </c>
      <c r="L60" s="114" t="s">
        <v>973</v>
      </c>
      <c r="M60" s="114" t="str">
        <f t="shared" si="4"/>
        <v>DB60-2-42-G-M</v>
      </c>
      <c r="N60" s="114" t="str">
        <f t="shared" si="5"/>
        <v>EUR-MDB60G2MC</v>
      </c>
      <c r="P60" s="114" t="str">
        <f t="shared" si="3"/>
        <v>DB60-2-42-G-M</v>
      </c>
      <c r="Q60" s="114" t="str">
        <f t="shared" si="3"/>
        <v>EUR-MDB60G2MC</v>
      </c>
    </row>
    <row r="61" spans="8:17" x14ac:dyDescent="0.4">
      <c r="H61" s="114" t="s">
        <v>962</v>
      </c>
      <c r="I61" s="114">
        <v>250</v>
      </c>
      <c r="J61" s="114">
        <v>72</v>
      </c>
      <c r="K61" s="417" t="s">
        <v>963</v>
      </c>
      <c r="L61" s="114" t="s">
        <v>973</v>
      </c>
      <c r="M61" s="114" t="str">
        <f t="shared" si="4"/>
        <v>DB72-2-42-G</v>
      </c>
      <c r="N61" s="114" t="str">
        <f t="shared" si="5"/>
        <v>EUR-MDB72G</v>
      </c>
      <c r="P61" s="114" t="str">
        <f t="shared" si="3"/>
        <v>DB72-2-42-G</v>
      </c>
      <c r="Q61" s="114" t="str">
        <f t="shared" si="3"/>
        <v>EUR-MDB72G</v>
      </c>
    </row>
    <row r="62" spans="8:17" x14ac:dyDescent="0.4">
      <c r="H62" s="114" t="s">
        <v>962</v>
      </c>
      <c r="I62" s="114">
        <v>250</v>
      </c>
      <c r="J62" s="114">
        <v>72</v>
      </c>
      <c r="K62" s="417" t="s">
        <v>961</v>
      </c>
      <c r="L62" s="114" t="s">
        <v>973</v>
      </c>
      <c r="M62" s="114" t="str">
        <f t="shared" si="4"/>
        <v>DB72-2-42-G-M</v>
      </c>
      <c r="N62" s="114" t="str">
        <f t="shared" si="5"/>
        <v>EUR-MDB72G2MC</v>
      </c>
      <c r="P62" s="114" t="str">
        <f t="shared" si="3"/>
        <v>DB72-2-42-G-M</v>
      </c>
      <c r="Q62" s="114" t="str">
        <f t="shared" si="3"/>
        <v>EUR-MDB72G2MC</v>
      </c>
    </row>
    <row r="63" spans="8:17" x14ac:dyDescent="0.4">
      <c r="H63" s="114" t="s">
        <v>962</v>
      </c>
      <c r="I63" s="114">
        <v>250</v>
      </c>
      <c r="J63" s="114">
        <v>24</v>
      </c>
      <c r="K63" s="417" t="s">
        <v>963</v>
      </c>
      <c r="L63" s="114" t="s">
        <v>958</v>
      </c>
      <c r="M63" s="114" t="str">
        <f t="shared" si="4"/>
        <v>DB24-2-56-G</v>
      </c>
      <c r="N63" s="114" t="str">
        <f t="shared" si="5"/>
        <v>EUR-MDB24G/WP</v>
      </c>
      <c r="P63" s="114" t="str">
        <f t="shared" si="3"/>
        <v>DB24-2-56-G</v>
      </c>
      <c r="Q63" s="114" t="str">
        <f t="shared" si="3"/>
        <v>EUR-MDB24G/WP</v>
      </c>
    </row>
    <row r="64" spans="8:17" x14ac:dyDescent="0.4">
      <c r="H64" s="114" t="s">
        <v>962</v>
      </c>
      <c r="I64" s="114">
        <v>250</v>
      </c>
      <c r="J64" s="114">
        <v>24</v>
      </c>
      <c r="K64" s="417" t="s">
        <v>961</v>
      </c>
      <c r="L64" s="114" t="s">
        <v>958</v>
      </c>
      <c r="M64" s="114" t="str">
        <f t="shared" si="4"/>
        <v>DB24-2-56-G-M</v>
      </c>
      <c r="N64" s="114" t="str">
        <f t="shared" si="5"/>
        <v>EUR-MDB24G2MCWP</v>
      </c>
      <c r="P64" s="114" t="str">
        <f t="shared" si="3"/>
        <v>DB24-2-56-G-M</v>
      </c>
      <c r="Q64" s="114" t="str">
        <f t="shared" si="3"/>
        <v>EUR-MDB24G2MCWP</v>
      </c>
    </row>
    <row r="65" spans="8:17" x14ac:dyDescent="0.4">
      <c r="H65" s="114" t="s">
        <v>962</v>
      </c>
      <c r="I65" s="114">
        <v>250</v>
      </c>
      <c r="J65" s="114">
        <v>36</v>
      </c>
      <c r="K65" s="417" t="s">
        <v>963</v>
      </c>
      <c r="L65" s="114" t="s">
        <v>958</v>
      </c>
      <c r="M65" s="114" t="str">
        <f t="shared" si="4"/>
        <v>DB36-2-56-G</v>
      </c>
      <c r="N65" s="114" t="str">
        <f t="shared" si="5"/>
        <v>EUR-MDB36G/WP</v>
      </c>
      <c r="P65" s="114" t="str">
        <f t="shared" si="3"/>
        <v>DB36-2-56-G</v>
      </c>
      <c r="Q65" s="114" t="str">
        <f t="shared" si="3"/>
        <v>EUR-MDB36G/WP</v>
      </c>
    </row>
    <row r="66" spans="8:17" x14ac:dyDescent="0.4">
      <c r="H66" s="114" t="s">
        <v>962</v>
      </c>
      <c r="I66" s="114">
        <v>250</v>
      </c>
      <c r="J66" s="114">
        <v>36</v>
      </c>
      <c r="K66" s="417" t="s">
        <v>961</v>
      </c>
      <c r="L66" s="114" t="s">
        <v>958</v>
      </c>
      <c r="M66" s="114" t="str">
        <f t="shared" si="4"/>
        <v>DB36-2-56-G-M</v>
      </c>
      <c r="N66" s="114" t="str">
        <f t="shared" si="5"/>
        <v>EUR-MDB36G2MCWP</v>
      </c>
      <c r="P66" s="114" t="str">
        <f t="shared" si="3"/>
        <v>DB36-2-56-G-M</v>
      </c>
      <c r="Q66" s="114" t="str">
        <f t="shared" si="3"/>
        <v>EUR-MDB36G2MCWP</v>
      </c>
    </row>
    <row r="67" spans="8:17" x14ac:dyDescent="0.4">
      <c r="H67" s="114" t="s">
        <v>962</v>
      </c>
      <c r="I67" s="114">
        <v>250</v>
      </c>
      <c r="J67" s="114">
        <v>48</v>
      </c>
      <c r="K67" s="417" t="s">
        <v>963</v>
      </c>
      <c r="L67" s="114" t="s">
        <v>958</v>
      </c>
      <c r="M67" s="114" t="str">
        <f t="shared" si="4"/>
        <v>DB48-2-56-G</v>
      </c>
      <c r="N67" s="114" t="str">
        <f t="shared" si="5"/>
        <v>EUR-MDB48G/WP</v>
      </c>
      <c r="P67" s="114" t="str">
        <f t="shared" si="3"/>
        <v>DB48-2-56-G</v>
      </c>
      <c r="Q67" s="114" t="str">
        <f t="shared" si="3"/>
        <v>EUR-MDB48G/WP</v>
      </c>
    </row>
    <row r="68" spans="8:17" x14ac:dyDescent="0.4">
      <c r="H68" s="114" t="s">
        <v>962</v>
      </c>
      <c r="I68" s="114">
        <v>250</v>
      </c>
      <c r="J68" s="114">
        <v>48</v>
      </c>
      <c r="K68" s="417" t="s">
        <v>961</v>
      </c>
      <c r="L68" s="114" t="s">
        <v>958</v>
      </c>
      <c r="M68" s="114" t="str">
        <f t="shared" si="4"/>
        <v>DB48-2-56-G-M</v>
      </c>
      <c r="N68" s="114" t="str">
        <f t="shared" si="5"/>
        <v>EUR-MDB48G2MCWP</v>
      </c>
      <c r="P68" s="114" t="str">
        <f t="shared" si="3"/>
        <v>DB48-2-56-G-M</v>
      </c>
      <c r="Q68" s="114" t="str">
        <f t="shared" si="3"/>
        <v>EUR-MDB48G2MCWP</v>
      </c>
    </row>
    <row r="69" spans="8:17" x14ac:dyDescent="0.4">
      <c r="H69" s="114" t="s">
        <v>962</v>
      </c>
      <c r="I69" s="114">
        <v>250</v>
      </c>
      <c r="J69" s="114">
        <v>60</v>
      </c>
      <c r="K69" s="417" t="s">
        <v>963</v>
      </c>
      <c r="L69" s="114" t="s">
        <v>958</v>
      </c>
      <c r="M69" s="114" t="str">
        <f t="shared" si="4"/>
        <v>DB60-2-56-G</v>
      </c>
      <c r="N69" s="114" t="str">
        <f t="shared" si="5"/>
        <v>EUR-MDB60G/WP</v>
      </c>
      <c r="P69" s="114" t="str">
        <f t="shared" si="3"/>
        <v>DB60-2-56-G</v>
      </c>
      <c r="Q69" s="114" t="str">
        <f t="shared" si="3"/>
        <v>EUR-MDB60G/WP</v>
      </c>
    </row>
    <row r="70" spans="8:17" x14ac:dyDescent="0.4">
      <c r="H70" s="114" t="s">
        <v>962</v>
      </c>
      <c r="I70" s="114">
        <v>250</v>
      </c>
      <c r="J70" s="114">
        <v>60</v>
      </c>
      <c r="K70" s="417" t="s">
        <v>961</v>
      </c>
      <c r="L70" s="114" t="s">
        <v>958</v>
      </c>
      <c r="M70" s="114" t="str">
        <f t="shared" si="4"/>
        <v>DB60-2-56-G-M</v>
      </c>
      <c r="N70" s="114" t="str">
        <f t="shared" si="5"/>
        <v>EUR-MDB60G2MCWP</v>
      </c>
      <c r="P70" s="114" t="str">
        <f t="shared" si="3"/>
        <v>DB60-2-56-G-M</v>
      </c>
      <c r="Q70" s="114" t="str">
        <f t="shared" si="3"/>
        <v>EUR-MDB60G2MCWP</v>
      </c>
    </row>
    <row r="71" spans="8:17" x14ac:dyDescent="0.4">
      <c r="H71" s="114" t="s">
        <v>962</v>
      </c>
      <c r="I71" s="114">
        <v>250</v>
      </c>
      <c r="J71" s="114">
        <v>72</v>
      </c>
      <c r="K71" s="417" t="s">
        <v>963</v>
      </c>
      <c r="L71" s="114" t="s">
        <v>958</v>
      </c>
      <c r="M71" s="114" t="str">
        <f t="shared" si="4"/>
        <v>DB72-2-56-G</v>
      </c>
      <c r="N71" s="114" t="str">
        <f t="shared" si="5"/>
        <v>EUR-MDB72G/WP</v>
      </c>
      <c r="P71" s="114" t="str">
        <f t="shared" si="3"/>
        <v>DB72-2-56-G</v>
      </c>
      <c r="Q71" s="114" t="str">
        <f t="shared" si="3"/>
        <v>EUR-MDB72G/WP</v>
      </c>
    </row>
    <row r="72" spans="8:17" x14ac:dyDescent="0.4">
      <c r="H72" s="114" t="s">
        <v>962</v>
      </c>
      <c r="I72" s="114">
        <v>250</v>
      </c>
      <c r="J72" s="114">
        <v>72</v>
      </c>
      <c r="K72" s="417" t="s">
        <v>961</v>
      </c>
      <c r="L72" s="114" t="s">
        <v>958</v>
      </c>
      <c r="M72" s="114" t="str">
        <f t="shared" si="4"/>
        <v>DB72-2-56-G-M</v>
      </c>
      <c r="N72" s="114" t="str">
        <f t="shared" si="5"/>
        <v>EUR-MDB72G2MCWP</v>
      </c>
      <c r="P72" s="114" t="str">
        <f t="shared" si="3"/>
        <v>DB72-2-56-G-M</v>
      </c>
      <c r="Q72" s="114" t="str">
        <f t="shared" si="3"/>
        <v>EUR-MDB72G2MCWP</v>
      </c>
    </row>
    <row r="73" spans="8:17" x14ac:dyDescent="0.4">
      <c r="H73" s="114" t="s">
        <v>962</v>
      </c>
      <c r="I73" s="114">
        <v>400</v>
      </c>
      <c r="J73" s="114">
        <v>24</v>
      </c>
      <c r="K73" s="417" t="s">
        <v>963</v>
      </c>
      <c r="L73" s="114" t="s">
        <v>973</v>
      </c>
      <c r="M73" s="114" t="str">
        <f t="shared" si="4"/>
        <v>DB24-4-42-G</v>
      </c>
      <c r="N73" s="114" t="str">
        <f t="shared" si="5"/>
        <v>EUR-MDB24G4NA</v>
      </c>
      <c r="P73" s="114" t="str">
        <f t="shared" si="3"/>
        <v>DB24-4-42-G</v>
      </c>
      <c r="Q73" s="114" t="str">
        <f t="shared" si="3"/>
        <v>EUR-MDB24G4NA</v>
      </c>
    </row>
    <row r="74" spans="8:17" x14ac:dyDescent="0.4">
      <c r="H74" s="114" t="s">
        <v>962</v>
      </c>
      <c r="I74" s="114">
        <v>400</v>
      </c>
      <c r="J74" s="114">
        <v>24</v>
      </c>
      <c r="K74" s="417" t="s">
        <v>961</v>
      </c>
      <c r="L74" s="114" t="s">
        <v>973</v>
      </c>
      <c r="M74" s="114" t="str">
        <f t="shared" si="4"/>
        <v>DB24-4-42-G-M</v>
      </c>
      <c r="N74" s="114" t="str">
        <f t="shared" si="5"/>
        <v>EUR-MDB24G4MC</v>
      </c>
      <c r="P74" s="114" t="str">
        <f t="shared" si="3"/>
        <v>DB24-4-42-G-M</v>
      </c>
      <c r="Q74" s="114" t="str">
        <f t="shared" si="3"/>
        <v>EUR-MDB24G4MC</v>
      </c>
    </row>
    <row r="75" spans="8:17" x14ac:dyDescent="0.4">
      <c r="H75" s="114" t="s">
        <v>962</v>
      </c>
      <c r="I75" s="114">
        <v>400</v>
      </c>
      <c r="J75" s="114">
        <v>36</v>
      </c>
      <c r="K75" s="417" t="s">
        <v>963</v>
      </c>
      <c r="L75" s="114" t="s">
        <v>973</v>
      </c>
      <c r="M75" s="114" t="str">
        <f t="shared" si="4"/>
        <v>DB36-4-42-G</v>
      </c>
      <c r="N75" s="114" t="str">
        <f t="shared" si="5"/>
        <v>EUR-MDB36G4NA</v>
      </c>
      <c r="P75" s="114" t="str">
        <f t="shared" si="3"/>
        <v>DB36-4-42-G</v>
      </c>
      <c r="Q75" s="114" t="str">
        <f t="shared" si="3"/>
        <v>EUR-MDB36G4NA</v>
      </c>
    </row>
    <row r="76" spans="8:17" x14ac:dyDescent="0.4">
      <c r="H76" s="114" t="s">
        <v>962</v>
      </c>
      <c r="I76" s="114">
        <v>400</v>
      </c>
      <c r="J76" s="114">
        <v>36</v>
      </c>
      <c r="K76" s="417" t="s">
        <v>961</v>
      </c>
      <c r="L76" s="114" t="s">
        <v>973</v>
      </c>
      <c r="M76" s="114" t="str">
        <f t="shared" si="4"/>
        <v>DB36-4-42-G-M</v>
      </c>
      <c r="N76" s="114" t="str">
        <f t="shared" si="5"/>
        <v>EUR-MDB36G4MC</v>
      </c>
      <c r="P76" s="114" t="str">
        <f t="shared" si="3"/>
        <v>DB36-4-42-G-M</v>
      </c>
      <c r="Q76" s="114" t="str">
        <f t="shared" si="3"/>
        <v>EUR-MDB36G4MC</v>
      </c>
    </row>
    <row r="77" spans="8:17" x14ac:dyDescent="0.4">
      <c r="H77" s="114" t="s">
        <v>962</v>
      </c>
      <c r="I77" s="114">
        <v>400</v>
      </c>
      <c r="J77" s="114">
        <v>48</v>
      </c>
      <c r="K77" s="417" t="s">
        <v>963</v>
      </c>
      <c r="L77" s="114" t="s">
        <v>973</v>
      </c>
      <c r="M77" s="114" t="str">
        <f t="shared" si="4"/>
        <v>DB48-4-42-G</v>
      </c>
      <c r="N77" s="114" t="str">
        <f t="shared" si="5"/>
        <v>EUR-MDB48G4NA</v>
      </c>
      <c r="P77" s="114" t="str">
        <f t="shared" ref="P77:Q92" si="9">M77</f>
        <v>DB48-4-42-G</v>
      </c>
      <c r="Q77" s="114" t="str">
        <f t="shared" si="9"/>
        <v>EUR-MDB48G4NA</v>
      </c>
    </row>
    <row r="78" spans="8:17" x14ac:dyDescent="0.4">
      <c r="H78" s="114" t="s">
        <v>962</v>
      </c>
      <c r="I78" s="114">
        <v>400</v>
      </c>
      <c r="J78" s="114">
        <v>48</v>
      </c>
      <c r="K78" s="417" t="s">
        <v>961</v>
      </c>
      <c r="L78" s="114" t="s">
        <v>973</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962</v>
      </c>
      <c r="I79" s="114">
        <v>400</v>
      </c>
      <c r="J79" s="114">
        <v>60</v>
      </c>
      <c r="K79" s="417" t="s">
        <v>963</v>
      </c>
      <c r="L79" s="114" t="s">
        <v>973</v>
      </c>
      <c r="M79" s="114" t="str">
        <f t="shared" si="10"/>
        <v>DB60-4-42-G</v>
      </c>
      <c r="N79" s="114" t="str">
        <f t="shared" si="11"/>
        <v>EUR-MDB60G4NA</v>
      </c>
      <c r="P79" s="114" t="str">
        <f t="shared" si="9"/>
        <v>DB60-4-42-G</v>
      </c>
      <c r="Q79" s="114" t="str">
        <f t="shared" si="9"/>
        <v>EUR-MDB60G4NA</v>
      </c>
    </row>
    <row r="80" spans="8:17" x14ac:dyDescent="0.4">
      <c r="H80" s="114" t="s">
        <v>962</v>
      </c>
      <c r="I80" s="114">
        <v>400</v>
      </c>
      <c r="J80" s="114">
        <v>60</v>
      </c>
      <c r="K80" s="417" t="s">
        <v>961</v>
      </c>
      <c r="L80" s="114" t="s">
        <v>973</v>
      </c>
      <c r="M80" s="114" t="str">
        <f t="shared" si="10"/>
        <v>DB60-4-42-G-M</v>
      </c>
      <c r="N80" s="114" t="str">
        <f t="shared" si="11"/>
        <v>EUR-MDB60G4MC</v>
      </c>
      <c r="P80" s="114" t="str">
        <f t="shared" si="9"/>
        <v>DB60-4-42-G-M</v>
      </c>
      <c r="Q80" s="114" t="str">
        <f t="shared" si="9"/>
        <v>EUR-MDB60G4MC</v>
      </c>
    </row>
    <row r="81" spans="8:17" x14ac:dyDescent="0.4">
      <c r="H81" s="114" t="s">
        <v>962</v>
      </c>
      <c r="I81" s="114">
        <v>400</v>
      </c>
      <c r="J81" s="114">
        <v>72</v>
      </c>
      <c r="K81" s="417" t="s">
        <v>963</v>
      </c>
      <c r="L81" s="114" t="s">
        <v>973</v>
      </c>
      <c r="M81" s="114" t="str">
        <f t="shared" si="10"/>
        <v>DB72-4-42-G</v>
      </c>
      <c r="N81" s="114" t="str">
        <f t="shared" si="11"/>
        <v>EUR-MDB72G4NA</v>
      </c>
      <c r="P81" s="114" t="str">
        <f t="shared" si="9"/>
        <v>DB72-4-42-G</v>
      </c>
      <c r="Q81" s="114" t="str">
        <f t="shared" si="9"/>
        <v>EUR-MDB72G4NA</v>
      </c>
    </row>
    <row r="82" spans="8:17" x14ac:dyDescent="0.4">
      <c r="H82" s="114" t="s">
        <v>962</v>
      </c>
      <c r="I82" s="114">
        <v>400</v>
      </c>
      <c r="J82" s="114">
        <v>72</v>
      </c>
      <c r="K82" s="417" t="s">
        <v>961</v>
      </c>
      <c r="L82" s="114" t="s">
        <v>973</v>
      </c>
      <c r="M82" s="114" t="str">
        <f t="shared" si="10"/>
        <v>DB72-4-42-G-M</v>
      </c>
      <c r="N82" s="114" t="str">
        <f t="shared" si="11"/>
        <v>EUR-MDB72G4MC</v>
      </c>
      <c r="P82" s="114" t="str">
        <f t="shared" si="9"/>
        <v>DB72-4-42-G-M</v>
      </c>
      <c r="Q82" s="114" t="str">
        <f t="shared" si="9"/>
        <v>EUR-MDB72G4MC</v>
      </c>
    </row>
    <row r="83" spans="8:17" x14ac:dyDescent="0.4">
      <c r="H83" s="114" t="s">
        <v>962</v>
      </c>
      <c r="I83" s="114">
        <v>400</v>
      </c>
      <c r="J83" s="114">
        <v>24</v>
      </c>
      <c r="K83" s="417" t="s">
        <v>963</v>
      </c>
      <c r="L83" s="114" t="s">
        <v>958</v>
      </c>
      <c r="M83" s="114" t="str">
        <f t="shared" si="10"/>
        <v>DB24-4-56-G</v>
      </c>
      <c r="N83" s="114" t="str">
        <f t="shared" si="11"/>
        <v>EUR-MDB24G4NAWP</v>
      </c>
      <c r="P83" s="114" t="str">
        <f t="shared" si="9"/>
        <v>DB24-4-56-G</v>
      </c>
      <c r="Q83" s="114" t="str">
        <f t="shared" si="9"/>
        <v>EUR-MDB24G4NAWP</v>
      </c>
    </row>
    <row r="84" spans="8:17" x14ac:dyDescent="0.4">
      <c r="H84" s="114" t="s">
        <v>962</v>
      </c>
      <c r="I84" s="114">
        <v>400</v>
      </c>
      <c r="J84" s="114">
        <v>24</v>
      </c>
      <c r="K84" s="417" t="s">
        <v>961</v>
      </c>
      <c r="L84" s="114" t="s">
        <v>958</v>
      </c>
      <c r="M84" s="114" t="str">
        <f t="shared" si="10"/>
        <v>DB24-4-56-G-M</v>
      </c>
      <c r="N84" s="114" t="str">
        <f t="shared" si="11"/>
        <v>EUR-MDB24G4MCWP</v>
      </c>
      <c r="P84" s="114" t="str">
        <f t="shared" si="9"/>
        <v>DB24-4-56-G-M</v>
      </c>
      <c r="Q84" s="114" t="str">
        <f t="shared" si="9"/>
        <v>EUR-MDB24G4MCWP</v>
      </c>
    </row>
    <row r="85" spans="8:17" x14ac:dyDescent="0.4">
      <c r="H85" s="114" t="s">
        <v>962</v>
      </c>
      <c r="I85" s="114">
        <v>400</v>
      </c>
      <c r="J85" s="114">
        <v>36</v>
      </c>
      <c r="K85" s="417" t="s">
        <v>963</v>
      </c>
      <c r="L85" s="114" t="s">
        <v>958</v>
      </c>
      <c r="M85" s="114" t="str">
        <f t="shared" si="10"/>
        <v>DB36-4-56-G</v>
      </c>
      <c r="N85" s="114" t="str">
        <f t="shared" si="11"/>
        <v>EUR-MDB36G4NAWP</v>
      </c>
      <c r="P85" s="114" t="str">
        <f t="shared" si="9"/>
        <v>DB36-4-56-G</v>
      </c>
      <c r="Q85" s="114" t="str">
        <f t="shared" si="9"/>
        <v>EUR-MDB36G4NAWP</v>
      </c>
    </row>
    <row r="86" spans="8:17" x14ac:dyDescent="0.4">
      <c r="H86" s="114" t="s">
        <v>962</v>
      </c>
      <c r="I86" s="114">
        <v>400</v>
      </c>
      <c r="J86" s="114">
        <v>36</v>
      </c>
      <c r="K86" s="417" t="s">
        <v>961</v>
      </c>
      <c r="L86" s="114" t="s">
        <v>958</v>
      </c>
      <c r="M86" s="114" t="str">
        <f t="shared" si="10"/>
        <v>DB36-4-56-G-M</v>
      </c>
      <c r="N86" s="114" t="str">
        <f t="shared" si="11"/>
        <v>EUR-MDB36G4MCWP</v>
      </c>
      <c r="P86" s="114" t="str">
        <f t="shared" si="9"/>
        <v>DB36-4-56-G-M</v>
      </c>
      <c r="Q86" s="114" t="str">
        <f t="shared" si="9"/>
        <v>EUR-MDB36G4MCWP</v>
      </c>
    </row>
    <row r="87" spans="8:17" x14ac:dyDescent="0.4">
      <c r="H87" s="114" t="s">
        <v>962</v>
      </c>
      <c r="I87" s="114">
        <v>400</v>
      </c>
      <c r="J87" s="114">
        <v>48</v>
      </c>
      <c r="K87" s="417" t="s">
        <v>963</v>
      </c>
      <c r="L87" s="114" t="s">
        <v>958</v>
      </c>
      <c r="M87" s="114" t="str">
        <f t="shared" si="10"/>
        <v>DB48-4-56-G</v>
      </c>
      <c r="N87" s="114" t="str">
        <f t="shared" si="11"/>
        <v>EUR-MDB48G4NAWP</v>
      </c>
      <c r="P87" s="114" t="str">
        <f t="shared" si="9"/>
        <v>DB48-4-56-G</v>
      </c>
      <c r="Q87" s="114" t="str">
        <f t="shared" si="9"/>
        <v>EUR-MDB48G4NAWP</v>
      </c>
    </row>
    <row r="88" spans="8:17" x14ac:dyDescent="0.4">
      <c r="H88" s="114" t="s">
        <v>962</v>
      </c>
      <c r="I88" s="114">
        <v>400</v>
      </c>
      <c r="J88" s="114">
        <v>48</v>
      </c>
      <c r="K88" s="417" t="s">
        <v>961</v>
      </c>
      <c r="L88" s="114" t="s">
        <v>958</v>
      </c>
      <c r="M88" s="114" t="str">
        <f t="shared" si="10"/>
        <v>DB48-4-56-G-M</v>
      </c>
      <c r="N88" s="114" t="str">
        <f t="shared" si="11"/>
        <v>EUR-MDB48G4MCWP</v>
      </c>
      <c r="P88" s="114" t="str">
        <f t="shared" si="9"/>
        <v>DB48-4-56-G-M</v>
      </c>
      <c r="Q88" s="114" t="str">
        <f t="shared" si="9"/>
        <v>EUR-MDB48G4MCWP</v>
      </c>
    </row>
    <row r="89" spans="8:17" x14ac:dyDescent="0.4">
      <c r="H89" s="114" t="s">
        <v>962</v>
      </c>
      <c r="I89" s="114">
        <v>400</v>
      </c>
      <c r="J89" s="114">
        <v>60</v>
      </c>
      <c r="K89" s="417" t="s">
        <v>963</v>
      </c>
      <c r="L89" s="114" t="s">
        <v>958</v>
      </c>
      <c r="M89" s="114" t="str">
        <f t="shared" si="10"/>
        <v>DB60-4-56-G</v>
      </c>
      <c r="N89" s="114" t="str">
        <f t="shared" si="11"/>
        <v>EUR-MDB60G4NAWP</v>
      </c>
      <c r="P89" s="114" t="str">
        <f t="shared" si="9"/>
        <v>DB60-4-56-G</v>
      </c>
      <c r="Q89" s="114" t="str">
        <f t="shared" si="9"/>
        <v>EUR-MDB60G4NAWP</v>
      </c>
    </row>
    <row r="90" spans="8:17" x14ac:dyDescent="0.4">
      <c r="H90" s="114" t="s">
        <v>962</v>
      </c>
      <c r="I90" s="114">
        <v>400</v>
      </c>
      <c r="J90" s="114">
        <v>60</v>
      </c>
      <c r="K90" s="417" t="s">
        <v>961</v>
      </c>
      <c r="L90" s="114" t="s">
        <v>958</v>
      </c>
      <c r="M90" s="114" t="str">
        <f t="shared" si="10"/>
        <v>DB60-4-56-G-M</v>
      </c>
      <c r="N90" s="114" t="str">
        <f t="shared" si="11"/>
        <v>EUR-MDB60G4MCWP</v>
      </c>
      <c r="P90" s="114" t="str">
        <f t="shared" si="9"/>
        <v>DB60-4-56-G-M</v>
      </c>
      <c r="Q90" s="114" t="str">
        <f t="shared" si="9"/>
        <v>EUR-MDB60G4MCWP</v>
      </c>
    </row>
    <row r="91" spans="8:17" x14ac:dyDescent="0.4">
      <c r="H91" s="114" t="s">
        <v>962</v>
      </c>
      <c r="I91" s="114">
        <v>400</v>
      </c>
      <c r="J91" s="114">
        <v>72</v>
      </c>
      <c r="K91" s="417" t="s">
        <v>963</v>
      </c>
      <c r="L91" s="114" t="s">
        <v>958</v>
      </c>
      <c r="M91" s="114" t="str">
        <f t="shared" si="10"/>
        <v>DB72-4-56-G</v>
      </c>
      <c r="N91" s="114" t="str">
        <f t="shared" si="11"/>
        <v>EUR-MDB72G4NAWP</v>
      </c>
      <c r="P91" s="114" t="str">
        <f t="shared" si="9"/>
        <v>DB72-4-56-G</v>
      </c>
      <c r="Q91" s="114" t="str">
        <f t="shared" si="9"/>
        <v>EUR-MDB72G4NAWP</v>
      </c>
    </row>
    <row r="92" spans="8:17" x14ac:dyDescent="0.4">
      <c r="H92" s="114" t="s">
        <v>962</v>
      </c>
      <c r="I92" s="114">
        <v>400</v>
      </c>
      <c r="J92" s="114">
        <v>72</v>
      </c>
      <c r="K92" s="417" t="s">
        <v>961</v>
      </c>
      <c r="L92" s="114" t="s">
        <v>958</v>
      </c>
      <c r="M92" s="114" t="str">
        <f t="shared" si="10"/>
        <v>DB72-4-56-G-M</v>
      </c>
      <c r="N92" s="114" t="str">
        <f t="shared" si="11"/>
        <v>EUR-MDB72G4MCWP</v>
      </c>
      <c r="P92" s="114" t="str">
        <f t="shared" si="9"/>
        <v>DB72-4-56-G-M</v>
      </c>
      <c r="Q92" s="114" t="str">
        <f t="shared" si="9"/>
        <v>EUR-MDB72G4MCWP</v>
      </c>
    </row>
  </sheetData>
  <conditionalFormatting sqref="K2:K11">
    <cfRule type="cellIs" dxfId="109" priority="1" operator="equal">
      <formula>$ZV$2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X30"/>
  <sheetViews>
    <sheetView topLeftCell="I1" workbookViewId="0">
      <selection activeCell="K4" sqref="K4"/>
    </sheetView>
  </sheetViews>
  <sheetFormatPr defaultRowHeight="14.6" x14ac:dyDescent="0.4"/>
  <cols>
    <col min="1" max="3" width="12.23046875" style="114" customWidth="1"/>
    <col min="4" max="4" width="29.921875" style="114" customWidth="1"/>
    <col min="5" max="10" width="12.23046875" style="114" customWidth="1"/>
    <col min="11" max="11" width="9.23046875" style="114"/>
    <col min="12" max="12" width="27.765625" style="114" customWidth="1"/>
    <col min="13" max="15" width="9.23046875" style="114"/>
    <col min="16" max="16" width="21.3828125" style="114" customWidth="1"/>
    <col min="17" max="17" width="28.07421875" style="114" customWidth="1"/>
    <col min="18" max="18" width="40.84375" style="114" customWidth="1"/>
    <col min="19" max="16384" width="9.23046875" style="114"/>
  </cols>
  <sheetData>
    <row r="1" spans="1:24" s="420" customFormat="1" ht="29.15" x14ac:dyDescent="0.4">
      <c r="A1" s="420" t="s">
        <v>677</v>
      </c>
      <c r="B1" s="420" t="s">
        <v>994</v>
      </c>
      <c r="C1" s="420" t="s">
        <v>995</v>
      </c>
      <c r="D1" s="420" t="s">
        <v>996</v>
      </c>
      <c r="E1" s="420" t="s">
        <v>670</v>
      </c>
      <c r="F1" s="420" t="s">
        <v>997</v>
      </c>
      <c r="G1" s="420" t="s">
        <v>998</v>
      </c>
      <c r="H1" s="420" t="s">
        <v>999</v>
      </c>
      <c r="I1" s="420" t="s">
        <v>1000</v>
      </c>
      <c r="J1" s="420" t="s">
        <v>1001</v>
      </c>
      <c r="K1" s="420" t="s">
        <v>1254</v>
      </c>
      <c r="L1" s="420" t="s">
        <v>1006</v>
      </c>
      <c r="M1" s="420" t="s">
        <v>1007</v>
      </c>
      <c r="N1" s="420" t="s">
        <v>1008</v>
      </c>
    </row>
    <row r="2" spans="1:24" x14ac:dyDescent="0.4">
      <c r="A2" s="114" t="s">
        <v>1002</v>
      </c>
      <c r="B2" s="114" t="s">
        <v>894</v>
      </c>
      <c r="C2" s="114" t="s">
        <v>894</v>
      </c>
      <c r="D2" s="114" t="s">
        <v>996</v>
      </c>
      <c r="E2" s="114" t="s">
        <v>894</v>
      </c>
      <c r="F2" s="114" t="s">
        <v>894</v>
      </c>
      <c r="G2" s="114" t="s">
        <v>894</v>
      </c>
      <c r="H2" s="114" t="s">
        <v>894</v>
      </c>
      <c r="I2" s="114" t="s">
        <v>894</v>
      </c>
      <c r="J2" s="114" t="s">
        <v>894</v>
      </c>
      <c r="K2" s="114" t="s">
        <v>894</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1009</v>
      </c>
      <c r="P2" s="114" t="s">
        <v>253</v>
      </c>
      <c r="Q2" s="114" t="s">
        <v>1010</v>
      </c>
      <c r="R2" s="114" t="s">
        <v>268</v>
      </c>
      <c r="S2" s="114" t="s">
        <v>1011</v>
      </c>
      <c r="T2" s="114" t="s">
        <v>1012</v>
      </c>
    </row>
    <row r="3" spans="1:24" x14ac:dyDescent="0.4">
      <c r="A3" s="114" t="s">
        <v>679</v>
      </c>
      <c r="B3" s="114" t="s">
        <v>895</v>
      </c>
      <c r="C3" s="114" t="s">
        <v>895</v>
      </c>
      <c r="D3" s="114" t="s">
        <v>1004</v>
      </c>
      <c r="E3" s="114" t="s">
        <v>895</v>
      </c>
      <c r="F3" s="114" t="s">
        <v>895</v>
      </c>
      <c r="G3" s="114" t="s">
        <v>895</v>
      </c>
      <c r="H3" s="114" t="s">
        <v>895</v>
      </c>
      <c r="I3" s="114" t="s">
        <v>895</v>
      </c>
      <c r="J3" s="114" t="s">
        <v>895</v>
      </c>
      <c r="K3" s="114" t="s">
        <v>895</v>
      </c>
      <c r="P3" s="114">
        <v>1</v>
      </c>
      <c r="Q3" s="114">
        <v>1</v>
      </c>
      <c r="R3" s="114" t="s">
        <v>1013</v>
      </c>
      <c r="S3" s="114">
        <v>1</v>
      </c>
      <c r="T3" s="114">
        <v>1</v>
      </c>
    </row>
    <row r="4" spans="1:24" x14ac:dyDescent="0.4">
      <c r="D4" s="114" t="s">
        <v>1003</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3</v>
      </c>
      <c r="O4" s="114" t="s">
        <v>1014</v>
      </c>
      <c r="P4" s="114" t="s">
        <v>253</v>
      </c>
      <c r="Q4" s="114" t="s">
        <v>1010</v>
      </c>
      <c r="R4" s="114" t="s">
        <v>268</v>
      </c>
      <c r="S4" s="114" t="s">
        <v>305</v>
      </c>
      <c r="T4" s="114" t="s">
        <v>281</v>
      </c>
      <c r="U4" s="114" t="s">
        <v>1015</v>
      </c>
      <c r="V4" s="114" t="s">
        <v>1016</v>
      </c>
      <c r="W4" s="114" t="s">
        <v>1012</v>
      </c>
    </row>
    <row r="5" spans="1:24" x14ac:dyDescent="0.4">
      <c r="D5" s="114" t="s">
        <v>1005</v>
      </c>
      <c r="P5" s="114">
        <v>1</v>
      </c>
      <c r="Q5" s="114">
        <v>1</v>
      </c>
      <c r="R5" s="114" t="s">
        <v>1013</v>
      </c>
      <c r="S5" s="114">
        <v>1</v>
      </c>
      <c r="T5" s="114">
        <v>1</v>
      </c>
      <c r="U5" s="114">
        <v>1</v>
      </c>
      <c r="V5" s="114">
        <v>1</v>
      </c>
      <c r="W5" s="114">
        <v>1</v>
      </c>
      <c r="X5" s="114">
        <v>1</v>
      </c>
    </row>
    <row r="6" spans="1:24" x14ac:dyDescent="0.4">
      <c r="D6" s="114" t="s">
        <v>895</v>
      </c>
      <c r="L6" s="114" t="s">
        <v>994</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4.25</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0.5</v>
      </c>
      <c r="O6" s="114" t="s">
        <v>1017</v>
      </c>
      <c r="P6" s="114" t="s">
        <v>268</v>
      </c>
    </row>
    <row r="7" spans="1:24" x14ac:dyDescent="0.4">
      <c r="P7" s="114">
        <v>5</v>
      </c>
    </row>
    <row r="8" spans="1:24" x14ac:dyDescent="0.4">
      <c r="L8" s="114" t="s">
        <v>995</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0.85</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0.1</v>
      </c>
      <c r="O8" s="114" t="s">
        <v>1018</v>
      </c>
      <c r="P8" s="114" t="s">
        <v>268</v>
      </c>
    </row>
    <row r="9" spans="1:24" x14ac:dyDescent="0.4">
      <c r="P9" s="114">
        <v>1</v>
      </c>
    </row>
    <row r="10" spans="1:24" x14ac:dyDescent="0.4">
      <c r="L10" s="114" t="s">
        <v>996</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24.48</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O10" s="114" t="s">
        <v>1019</v>
      </c>
      <c r="P10" s="114" t="s">
        <v>419</v>
      </c>
      <c r="Q10" s="114" t="s">
        <v>327</v>
      </c>
    </row>
    <row r="11" spans="1:24" x14ac:dyDescent="0.4">
      <c r="P11" s="114">
        <v>1</v>
      </c>
      <c r="Q11" s="114">
        <v>1</v>
      </c>
    </row>
    <row r="12" spans="1:24" x14ac:dyDescent="0.4">
      <c r="L12" s="114" t="s">
        <v>1004</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47.879999999999995</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2</v>
      </c>
      <c r="O12" s="114" t="s">
        <v>1020</v>
      </c>
      <c r="P12" s="114" t="s">
        <v>840</v>
      </c>
      <c r="Q12" s="114" t="s">
        <v>698</v>
      </c>
      <c r="R12" s="114" t="s">
        <v>419</v>
      </c>
    </row>
    <row r="13" spans="1:24" x14ac:dyDescent="0.4">
      <c r="P13" s="114">
        <v>1</v>
      </c>
      <c r="Q13" s="114">
        <v>1</v>
      </c>
      <c r="R13" s="114">
        <v>1</v>
      </c>
    </row>
    <row r="14" spans="1:24" x14ac:dyDescent="0.4">
      <c r="A14" s="33" t="s">
        <v>986</v>
      </c>
      <c r="L14" s="114" t="s">
        <v>1003</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24.48</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2</v>
      </c>
      <c r="O14" s="114" t="s">
        <v>1021</v>
      </c>
      <c r="P14" s="114" t="s">
        <v>419</v>
      </c>
      <c r="Q14" s="114" t="s">
        <v>327</v>
      </c>
    </row>
    <row r="15" spans="1:24" x14ac:dyDescent="0.4">
      <c r="A15" s="114" t="s">
        <v>976</v>
      </c>
      <c r="B15" s="114" t="s">
        <v>988</v>
      </c>
      <c r="P15" s="114">
        <v>1</v>
      </c>
      <c r="Q15" s="114">
        <v>1</v>
      </c>
    </row>
    <row r="16" spans="1:24" x14ac:dyDescent="0.4">
      <c r="A16" s="114" t="s">
        <v>989</v>
      </c>
      <c r="B16" s="114" t="s">
        <v>990</v>
      </c>
      <c r="L16" s="114" t="s">
        <v>1005</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24.48</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2</v>
      </c>
      <c r="O16" s="114" t="s">
        <v>1022</v>
      </c>
      <c r="P16" s="114" t="s">
        <v>419</v>
      </c>
      <c r="Q16" s="114" t="s">
        <v>327</v>
      </c>
    </row>
    <row r="17" spans="12:18" x14ac:dyDescent="0.4">
      <c r="P17" s="114">
        <v>1</v>
      </c>
      <c r="Q17" s="114">
        <v>1</v>
      </c>
    </row>
    <row r="18" spans="12:18" x14ac:dyDescent="0.4">
      <c r="L18" s="114" t="s">
        <v>670</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84.48</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2</v>
      </c>
      <c r="O18" s="114" t="s">
        <v>1023</v>
      </c>
      <c r="P18" s="114" t="s">
        <v>670</v>
      </c>
      <c r="Q18" s="114" t="s">
        <v>419</v>
      </c>
      <c r="R18" s="114" t="s">
        <v>327</v>
      </c>
    </row>
    <row r="19" spans="12:18" x14ac:dyDescent="0.4">
      <c r="P19" s="114">
        <v>1</v>
      </c>
      <c r="Q19" s="114">
        <v>1</v>
      </c>
      <c r="R19" s="114">
        <v>1</v>
      </c>
    </row>
    <row r="20" spans="12:18" x14ac:dyDescent="0.4">
      <c r="L20" s="114" t="s">
        <v>997</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331.67999999999995</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1024</v>
      </c>
      <c r="P20" s="114" t="s">
        <v>997</v>
      </c>
      <c r="Q20" s="114" t="s">
        <v>419</v>
      </c>
      <c r="R20" s="114" t="s">
        <v>327</v>
      </c>
    </row>
    <row r="21" spans="12:18" x14ac:dyDescent="0.4">
      <c r="P21" s="114">
        <v>1</v>
      </c>
      <c r="Q21" s="114">
        <v>1</v>
      </c>
      <c r="R21" s="114">
        <v>1</v>
      </c>
    </row>
    <row r="22" spans="12:18" x14ac:dyDescent="0.4">
      <c r="L22" s="114" t="s">
        <v>998</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60</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1</v>
      </c>
      <c r="O22" s="114" t="s">
        <v>1025</v>
      </c>
      <c r="P22" s="114" t="s">
        <v>998</v>
      </c>
    </row>
    <row r="23" spans="12:18" x14ac:dyDescent="0.4">
      <c r="P23" s="114">
        <v>1</v>
      </c>
    </row>
    <row r="24" spans="12:18" x14ac:dyDescent="0.4">
      <c r="L24" s="114" t="s">
        <v>999</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80</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2</v>
      </c>
      <c r="O24" s="114" t="s">
        <v>1026</v>
      </c>
      <c r="P24" s="114" t="s">
        <v>589</v>
      </c>
    </row>
    <row r="25" spans="12:18" x14ac:dyDescent="0.4">
      <c r="P25" s="114">
        <v>1</v>
      </c>
    </row>
    <row r="26" spans="12:18" x14ac:dyDescent="0.4">
      <c r="L26" s="114" t="s">
        <v>1000</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57.95</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2</v>
      </c>
      <c r="O26" s="114" t="s">
        <v>1027</v>
      </c>
      <c r="P26" s="114" t="s">
        <v>305</v>
      </c>
    </row>
    <row r="27" spans="12:18" x14ac:dyDescent="0.4">
      <c r="P27" s="114">
        <v>1</v>
      </c>
    </row>
    <row r="28" spans="12:18" x14ac:dyDescent="0.4">
      <c r="L28" s="114" t="s">
        <v>1001</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44.519999999999996</v>
      </c>
      <c r="N28" s="114">
        <f>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2</v>
      </c>
      <c r="O28" s="114" t="s">
        <v>1028</v>
      </c>
      <c r="P28" s="114" t="s">
        <v>269</v>
      </c>
      <c r="Q28" s="114" t="s">
        <v>840</v>
      </c>
    </row>
    <row r="29" spans="12:18" x14ac:dyDescent="0.4">
      <c r="P29" s="114">
        <v>20</v>
      </c>
      <c r="Q29" s="114">
        <v>1</v>
      </c>
    </row>
    <row r="30" spans="12:18" x14ac:dyDescent="0.4">
      <c r="L30" s="114" t="s">
        <v>895</v>
      </c>
      <c r="M30" s="114">
        <v>0</v>
      </c>
      <c r="N30" s="114">
        <v>0</v>
      </c>
      <c r="O30" s="114" t="s">
        <v>1029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A021622-D918-4FAA-8D3E-657F57E39B94}">
          <x14:formula1>
            <xm:f>'Part List'!$A:$A</xm:f>
          </x14:formula1>
          <xm:sqref>W4 P8 P6 P10:Q10 P14:Q14 P16:Q16 P12:R12 P18:R18 P24 P22 P20:R20 H23:H25 F23:F25 P26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AX25"/>
  <sheetViews>
    <sheetView workbookViewId="0">
      <selection activeCell="D39" sqref="D39"/>
    </sheetView>
  </sheetViews>
  <sheetFormatPr defaultRowHeight="14.6" x14ac:dyDescent="0.4"/>
  <cols>
    <col min="1" max="1" width="7.61328125" style="424" bestFit="1" customWidth="1"/>
    <col min="2" max="2" width="7.3046875" style="114" bestFit="1" customWidth="1"/>
    <col min="3" max="3" width="13.61328125" style="425"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6" customWidth="1"/>
    <col min="14" max="14" width="14.765625" style="355" customWidth="1"/>
    <col min="15" max="17" width="14.765625" style="318" customWidth="1"/>
    <col min="18" max="18" width="14.765625" style="319" customWidth="1"/>
    <col min="19" max="38" width="12.23046875" style="114" customWidth="1"/>
    <col min="39" max="39" width="12.3828125" style="426" customWidth="1"/>
    <col min="40" max="40" width="18.765625" style="114" customWidth="1"/>
    <col min="41" max="41" width="17.3046875" style="114" customWidth="1"/>
    <col min="42" max="42" width="71.69140625" style="114" customWidth="1"/>
    <col min="43" max="43" width="9.23046875" style="114" customWidth="1"/>
    <col min="44" max="44" width="21.3046875" style="114" customWidth="1"/>
    <col min="45" max="45" width="9.4609375" style="114" customWidth="1"/>
    <col min="46" max="46" width="55.69140625" style="114" customWidth="1"/>
    <col min="47" max="47" width="13.69140625" style="114" customWidth="1"/>
    <col min="48" max="48" width="146.921875" style="114" customWidth="1"/>
    <col min="49" max="49" width="151.84375" style="114" customWidth="1"/>
    <col min="50" max="56" width="9.23046875" style="114" customWidth="1"/>
    <col min="57" max="16384" width="9.23046875" style="114"/>
  </cols>
  <sheetData>
    <row r="1" spans="1:50" s="299" customFormat="1" ht="29.15" x14ac:dyDescent="0.4">
      <c r="A1" s="427" t="s">
        <v>942</v>
      </c>
      <c r="B1" s="427" t="s">
        <v>943</v>
      </c>
      <c r="C1" s="428" t="s">
        <v>944</v>
      </c>
      <c r="D1" s="427" t="s">
        <v>945</v>
      </c>
      <c r="E1" s="427" t="s">
        <v>852</v>
      </c>
      <c r="F1" s="427" t="s">
        <v>1030</v>
      </c>
      <c r="G1" s="436" t="s">
        <v>991</v>
      </c>
      <c r="H1" s="437" t="s">
        <v>992</v>
      </c>
      <c r="I1" s="438" t="s">
        <v>947</v>
      </c>
      <c r="J1" s="439" t="s">
        <v>948</v>
      </c>
      <c r="K1" s="429" t="s">
        <v>993</v>
      </c>
      <c r="L1" s="440" t="str">
        <f>_VRF!A1</f>
        <v>Power Supply</v>
      </c>
      <c r="M1" s="440" t="str">
        <f>_VRF!B1</f>
        <v>Type</v>
      </c>
      <c r="N1" s="436" t="str">
        <f>_VRF!C1</f>
        <v>Run &amp; Fault Lights</v>
      </c>
      <c r="O1" s="441" t="str">
        <f>_VRF!D1</f>
        <v>Timeclock</v>
      </c>
      <c r="P1" s="441" t="str">
        <f>_VRF!E1</f>
        <v>Status to Other Units</v>
      </c>
      <c r="Q1" s="441" t="str">
        <f>_VRF!F1</f>
        <v>Push Button</v>
      </c>
      <c r="R1" s="437" t="str">
        <f>_VRF!G1</f>
        <v>Run Status Light</v>
      </c>
      <c r="S1" s="114"/>
      <c r="T1" s="114"/>
      <c r="U1" s="114"/>
      <c r="V1" s="430" t="s">
        <v>1031</v>
      </c>
      <c r="W1" s="299" t="s">
        <v>677</v>
      </c>
      <c r="X1" s="299" t="s">
        <v>1032</v>
      </c>
      <c r="Y1" s="299" t="s">
        <v>1033</v>
      </c>
      <c r="Z1" s="299" t="s">
        <v>1034</v>
      </c>
      <c r="AA1" s="299" t="s">
        <v>1035</v>
      </c>
      <c r="AB1" s="299" t="s">
        <v>1001</v>
      </c>
      <c r="AC1" s="299" t="s">
        <v>1036</v>
      </c>
      <c r="AD1" s="299" t="s">
        <v>677</v>
      </c>
      <c r="AE1" s="299" t="s">
        <v>1032</v>
      </c>
      <c r="AF1" s="299" t="s">
        <v>1033</v>
      </c>
      <c r="AG1" s="299" t="s">
        <v>1034</v>
      </c>
      <c r="AH1" s="299" t="s">
        <v>1035</v>
      </c>
      <c r="AI1" s="299" t="s">
        <v>1001</v>
      </c>
      <c r="AM1" s="299" t="s">
        <v>1037</v>
      </c>
      <c r="AN1" s="299">
        <f>MAX('@Fan'!W:W)</f>
        <v>0</v>
      </c>
    </row>
    <row r="2" spans="1:50" x14ac:dyDescent="0.4">
      <c r="A2" s="431" t="str">
        <f t="shared" ref="A2:A23" si="0">IFERROR((IF(NOT(K2="N/A"),IF((COUNTBLANK(N2:R2)-(5-SUM(X2:AB2)))=0,"VALID","INVALID"),"INVALID")),"INVALID")</f>
        <v>INVALID</v>
      </c>
      <c r="B2" s="432" t="str">
        <f>_xlfn.CONCAT("VRF ",(ROW()-1))</f>
        <v>VRF 1</v>
      </c>
      <c r="C2" s="433" t="e">
        <f>E2*I2</f>
        <v>#N/A</v>
      </c>
      <c r="D2" s="432" t="e">
        <f>IF(ISBLANK(G2),J2*E2,G2*E2)</f>
        <v>#N/A</v>
      </c>
      <c r="E2" s="432">
        <v>1</v>
      </c>
      <c r="F2" s="432">
        <f t="shared" ref="F2:F23" si="1">IF(COUNTBLANK(H2)=0,H2,IF(M2="Indoor",10,IF(L2="Local",5,20)))</f>
        <v>20</v>
      </c>
      <c r="G2" s="442"/>
      <c r="H2" s="443"/>
      <c r="I2" s="442" t="e">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#N/A</v>
      </c>
      <c r="J2" s="443" t="e">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#N/A</v>
      </c>
      <c r="K2" s="432" t="e">
        <f>_xlfn.CONCAT(VLOOKUP(M2,_VRF!$A$39:$C$44,3,FALSE), "-",
IF(N2="Yes", 1, 0)*X2, IF(O2="Yes", 1, 0)*Y2, IF(P2="Yes", 1, 0)*Z2, AA2*IF(Q2="Yes", 1, 0),IF(R2="Yes", 1, 0)*AB2,IF(W2 = 1, IF(L2="Local", "-L", "-M"),""))</f>
        <v>#N/A</v>
      </c>
      <c r="L2" s="434" t="s">
        <v>679</v>
      </c>
      <c r="M2" s="434"/>
      <c r="N2" s="442"/>
      <c r="O2" s="444"/>
      <c r="P2" s="444"/>
      <c r="Q2" s="444"/>
      <c r="R2" s="443"/>
      <c r="W2" s="114" t="e">
        <f>VLOOKUP($M2,_VRF!$A$26:$G$31, 2, FALSE)</f>
        <v>#N/A</v>
      </c>
      <c r="X2" s="114" t="e">
        <f>VLOOKUP($M2,_VRF!$A$26:$G$31, 3, FALSE)</f>
        <v>#N/A</v>
      </c>
      <c r="Y2" s="114" t="e">
        <f>VLOOKUP($M2,_VRF!$A$26:$G$31, 4, FALSE)</f>
        <v>#N/A</v>
      </c>
      <c r="Z2" s="114" t="e">
        <f>VLOOKUP($M2,_VRF!$A$26:$G$31, 5, FALSE)</f>
        <v>#N/A</v>
      </c>
      <c r="AA2" s="114" t="e">
        <f>VLOOKUP($M2,_VRF!$A$26:$G$31, 6, FALSE)</f>
        <v>#N/A</v>
      </c>
      <c r="AB2" s="114" t="e">
        <f>VLOOKUP($M2,_VRF!$A$26:$G$31, 7, FALSE)</f>
        <v>#N/A</v>
      </c>
      <c r="AD2" s="114" t="e">
        <f>IF(W2=1,L2, 0)</f>
        <v>#N/A</v>
      </c>
      <c r="AE2" s="114">
        <f>IF(N2="Yes",X2, 0)</f>
        <v>0</v>
      </c>
      <c r="AF2" s="114">
        <f t="shared" ref="AF2:AI17" si="2">IF(O2="Yes",Y2, 0)</f>
        <v>0</v>
      </c>
      <c r="AG2" s="114">
        <f t="shared" si="2"/>
        <v>0</v>
      </c>
      <c r="AH2" s="114">
        <f t="shared" si="2"/>
        <v>0</v>
      </c>
      <c r="AI2" s="114">
        <f t="shared" si="2"/>
        <v>0</v>
      </c>
      <c r="AM2" s="434" t="str">
        <f t="shared" ref="AM2:AM23" si="3">IF(A2="VALID",_xlfn.CONCAT(AT2,"
",REPT(" ",8),AU2,"
",REPT(" ",8),AV2,"
",REPT(" ", 8),AW2, "
"),"")</f>
        <v/>
      </c>
      <c r="AN2" s="114">
        <f t="shared" ref="AN2:AN22" si="4" xml:space="preserve"> IF(AND(E2&gt;0,A2="VALID"),AN1+1,AN1)</f>
        <v>0</v>
      </c>
      <c r="AO2" s="114" t="str">
        <f>_xlfn.CONCAT(E2," (",VLOOKUP(E2,[2]Backend!C:D,2,FALSE),")")</f>
        <v>1 (one)</v>
      </c>
      <c r="AP2" s="114" t="str">
        <f>_xlfn.CONCAT(AN2," - Electrical power supply and controls to ",AO2," ",VLOOKUP(M2,_VRF!$A$39:$G$48,2,FALSE))</f>
        <v xml:space="preserve">0 - Electrical power supply and controls to 1 (one) </v>
      </c>
      <c r="AQ2" s="114" t="str">
        <f>IF(SUM(AE2:AI2)&gt;0," with: "," ")</f>
        <v xml:space="preserve"> </v>
      </c>
      <c r="AR2" s="114" t="str">
        <f>_xlfn.CONCAT(
IF(M2 = "Yes",_xlfn.CONCAT($M$1, ", "),""),
IF(N2 = "Yes",_xlfn.CONCAT($N$1, ", "),""),
IF(O2 = "Yes",_xlfn.CONCAT($O$1, ", "),""),
IF(P2 = "Yes",_xlfn.CONCAT($P$1, ", "),""),
IF(Q2 = "Yes",_xlfn.CONCAT($Q$1, ", "),""),
IF(R2 = "Yes",_xlfn.CONCAT($R$1, ", "),""))</f>
        <v/>
      </c>
      <c r="AS2" s="114" t="e">
        <f>IF(AD2=0,"",_xlfn.CONCAT("from ",L2, " Power Supply"))</f>
        <v>#N/A</v>
      </c>
      <c r="AT2" s="114" t="e">
        <f>_xlfn.CONCAT(AP2,AQ2,AR2,AS2)</f>
        <v>#N/A</v>
      </c>
      <c r="AU2" s="114" t="str">
        <f>_xlfn.CONCAT(AN2,".1 - This includes supply and install of power and controls.")</f>
        <v>0.1 - This includes supply and install of power and controls.</v>
      </c>
      <c r="AV2" s="114" t="str">
        <f>_xlfn.CONCAT(AN2,".2 - Power for system includes: ",VLOOKUP(L2,_VRF!L:O,4,FALSE))</f>
        <v xml:space="preserve">0.2 - Power for system includes: CB and cabling to unit from MSSB, and local isolator, </v>
      </c>
      <c r="AW2" s="114" t="e">
        <f>IF(OR((AD2="Local"),SUM(AE2:AI2)&gt;0),_xlfn.CONCAT(AN2,".3 - Controls for system includes: ",_xlfn.CONCAT(AX2,IF(AD2="Local","controls enclosure.","")),""),"")</f>
        <v>#N/A</v>
      </c>
      <c r="AX2" s="114" t="str">
        <f>_xlfn.CONCAT(
IF(M2="Yes",VLOOKUP(M$1,_VRF!L:Z,4,FALSE),""),
IF(N2="Yes",VLOOKUP(N$1,_VRF!L:Z,4,FALSE),""),
IF(O2="Yes",VLOOKUP(O$1,_VRF!L:Z,4,FALSE),""),
IF(P2="Yes",VLOOKUP(P$1,_VRF!L:Z,4,FALSE),""),
IF(Q2="Yes",VLOOKUP(Q$1,_VRF!L:Z,4,FALSE),""),
IF(R2="Yes",VLOOKUP(R$1,_VRF!L:Z,4,FALSE),""))</f>
        <v/>
      </c>
    </row>
    <row r="3" spans="1:50" x14ac:dyDescent="0.4">
      <c r="A3" s="431" t="str">
        <f t="shared" si="0"/>
        <v>INVALID</v>
      </c>
      <c r="B3" s="432" t="str">
        <f t="shared" ref="B3:B23" si="5">_xlfn.CONCAT("VRF ",(ROW()-1))</f>
        <v>VRF 2</v>
      </c>
      <c r="C3" s="433" t="e">
        <f t="shared" ref="C3:C23" si="6">E3*I3</f>
        <v>#N/A</v>
      </c>
      <c r="D3" s="432" t="e">
        <f t="shared" ref="D3:D23" si="7">IF(ISBLANK(G3),J3*E3,G3*E3)</f>
        <v>#N/A</v>
      </c>
      <c r="E3" s="432">
        <v>1</v>
      </c>
      <c r="F3" s="432">
        <f t="shared" si="1"/>
        <v>20</v>
      </c>
      <c r="G3" s="442"/>
      <c r="H3" s="443"/>
      <c r="I3" s="442" t="e">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#N/A</v>
      </c>
      <c r="J3" s="443" t="e">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#N/A</v>
      </c>
      <c r="K3" s="432" t="e">
        <f>_xlfn.CONCAT(VLOOKUP(M3,_VRF!$A$39:$C$44,3,FALSE), "-",
IF(N3="Yes", 1, 0)*X3, IF(O3="Yes", 1, 0)*Y3, IF(P3="Yes", 1, 0)*Z3, AA3*IF(Q3="Yes", 1, 0),IF(R3="Yes", 1, 0)*AB3,IF(W3 = 1, IF(L3="Local", "-L", "-M"),""))</f>
        <v>#N/A</v>
      </c>
      <c r="L3" s="434" t="s">
        <v>679</v>
      </c>
      <c r="M3" s="434"/>
      <c r="N3" s="442"/>
      <c r="O3" s="444"/>
      <c r="P3" s="444"/>
      <c r="Q3" s="444"/>
      <c r="R3" s="443"/>
      <c r="W3" s="114" t="e">
        <f>VLOOKUP($M3,_VRF!$A$26:$G$31, 2, FALSE)</f>
        <v>#N/A</v>
      </c>
      <c r="X3" s="114" t="e">
        <f>VLOOKUP($M3,_VRF!$A$26:$G$31, 3, FALSE)</f>
        <v>#N/A</v>
      </c>
      <c r="Y3" s="114" t="e">
        <f>VLOOKUP($M3,_VRF!$A$26:$G$31, 4, FALSE)</f>
        <v>#N/A</v>
      </c>
      <c r="Z3" s="114" t="e">
        <f>VLOOKUP($M3,_VRF!$A$26:$G$31, 5, FALSE)</f>
        <v>#N/A</v>
      </c>
      <c r="AA3" s="114" t="e">
        <f>VLOOKUP($M3,_VRF!$A$26:$G$31, 6, FALSE)</f>
        <v>#N/A</v>
      </c>
      <c r="AB3" s="114" t="e">
        <f>VLOOKUP($M3,_VRF!$A$26:$G$31, 7, FALSE)</f>
        <v>#N/A</v>
      </c>
      <c r="AD3" s="114" t="e">
        <f t="shared" ref="AD3:AD23" si="8">IF(W3=1,L3, 0)</f>
        <v>#N/A</v>
      </c>
      <c r="AE3" s="114">
        <f t="shared" ref="AE3:AI19" si="9">IF(N3="Yes",X3, 0)</f>
        <v>0</v>
      </c>
      <c r="AF3" s="114">
        <f t="shared" si="2"/>
        <v>0</v>
      </c>
      <c r="AG3" s="114">
        <f t="shared" si="2"/>
        <v>0</v>
      </c>
      <c r="AH3" s="114">
        <f t="shared" si="2"/>
        <v>0</v>
      </c>
      <c r="AI3" s="114">
        <f t="shared" si="2"/>
        <v>0</v>
      </c>
      <c r="AM3" s="434" t="str">
        <f t="shared" si="3"/>
        <v/>
      </c>
      <c r="AN3" s="114">
        <f t="shared" si="4"/>
        <v>0</v>
      </c>
      <c r="AO3" s="114" t="str">
        <f>_xlfn.CONCAT(E3," (",VLOOKUP(E3,[2]Backend!C:D,2,FALSE),")")</f>
        <v>1 (one)</v>
      </c>
      <c r="AP3" s="114" t="str">
        <f>_xlfn.CONCAT(AN3," - Electrical power supply and controls to ",AO3," ",VLOOKUP(M3,_VRF!$A$39:$G$48,2,FALSE))</f>
        <v xml:space="preserve">0 - Electrical power supply and controls to 1 (one) </v>
      </c>
      <c r="AQ3" s="114" t="str">
        <f t="shared" ref="AQ3:AQ22" si="10">IF(SUM(AE3:AI3)&gt;0," with: "," ")</f>
        <v xml:space="preserve"> </v>
      </c>
      <c r="AR3" s="114" t="str">
        <f t="shared" ref="AR3:AR22" si="11">_xlfn.CONCAT(IF(M3 = "Yes",_xlfn.CONCAT($M$1, ", "),""),IF(N3 = "Yes",_xlfn.CONCAT($N$1, ", "),""),IF(P3 = "Yes",_xlfn.CONCAT($P$1, ", "),""),IF(Q3 = "Yes",_xlfn.CONCAT($Q$1, ", "),""),IF(R3 = "Yes",_xlfn.CONCAT($R$1, ", "),""),IF(S3 = "Yes",_xlfn.CONCAT($S$1, ", "),""),IF(T3 = "Yes",_xlfn.CONCAT($T$1, ", "),""),IF(U3 = "Yes",_xlfn.CONCAT($U$1, ", "),""))</f>
        <v/>
      </c>
      <c r="AS3" s="114" t="e">
        <f t="shared" ref="AS3:AS22" si="12">IF(AD3=0,"",_xlfn.CONCAT("from ",L3, " Power Supply"))</f>
        <v>#N/A</v>
      </c>
      <c r="AT3" s="114" t="e">
        <f>_xlfn.CONCAT(AP3,AQ3,AR3,AS3)</f>
        <v>#N/A</v>
      </c>
      <c r="AU3" s="114" t="str">
        <f t="shared" ref="AU3:AU22" si="13">_xlfn.CONCAT(AN3,".1 - This includes supply and install of power and controls.")</f>
        <v>0.1 - This includes supply and install of power and controls.</v>
      </c>
      <c r="AV3" s="114" t="str">
        <f>_xlfn.CONCAT(AN3,".2 - Power for system includes: ",VLOOKUP(L3,_VRF!L:O,4,FALSE))</f>
        <v xml:space="preserve">0.2 - Power for system includes: CB and cabling to unit from MSSB, and local isolator, </v>
      </c>
      <c r="AW3" s="114" t="e">
        <f t="shared" ref="AW3:AW23" si="14">IF(OR((AD3="Local"),SUM(AE3:AI3)&gt;0),_xlfn.CONCAT(AN3,".3 - Controls for system includes: ",_xlfn.CONCAT(AX3,IF(AD3="Local","controls enclosure.","")),""),"")</f>
        <v>#N/A</v>
      </c>
      <c r="AX3" s="114" t="str">
        <f>_xlfn.CONCAT(
IF(M3="Yes",VLOOKUP(M$1,_VRF!L:Z,4,FALSE),""),
IF(N3="Yes",VLOOKUP(N$1,_VRF!L:Z,4,FALSE),""),
IF(O3="Yes",VLOOKUP(O$1,_VRF!L:Z,4,FALSE),""),
IF(P3="Yes",VLOOKUP(P$1,_VRF!L:Z,4,FALSE),""),
IF(Q3="Yes",VLOOKUP(Q$1,_VRF!L:Z,4,FALSE),""),
IF(R3="Yes",VLOOKUP(R$1,_VRF!L:Z,4,FALSE),""))</f>
        <v/>
      </c>
    </row>
    <row r="4" spans="1:50" x14ac:dyDescent="0.4">
      <c r="A4" s="431" t="str">
        <f t="shared" si="0"/>
        <v>INVALID</v>
      </c>
      <c r="B4" s="432" t="str">
        <f t="shared" si="5"/>
        <v>VRF 3</v>
      </c>
      <c r="C4" s="433" t="e">
        <f t="shared" si="6"/>
        <v>#N/A</v>
      </c>
      <c r="D4" s="432" t="e">
        <f t="shared" si="7"/>
        <v>#N/A</v>
      </c>
      <c r="E4" s="432">
        <v>1</v>
      </c>
      <c r="F4" s="432">
        <f t="shared" si="1"/>
        <v>20</v>
      </c>
      <c r="G4" s="442"/>
      <c r="H4" s="443"/>
      <c r="I4" s="442" t="e">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#N/A</v>
      </c>
      <c r="J4" s="443" t="e">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#N/A</v>
      </c>
      <c r="K4" s="432" t="e">
        <f>_xlfn.CONCAT(VLOOKUP(M4,_VRF!$A$39:$C$44,3,FALSE), "-",
IF(N4="Yes", 1, 0)*X4, IF(O4="Yes", 1, 0)*Y4, IF(P4="Yes", 1, 0)*Z4, AA4*IF(Q4="Yes", 1, 0),IF(R4="Yes", 1, 0)*AB4,IF(W4 = 1, IF(L4="Local", "-L", "-M"),""))</f>
        <v>#N/A</v>
      </c>
      <c r="L4" s="434" t="s">
        <v>679</v>
      </c>
      <c r="M4" s="434"/>
      <c r="N4" s="442"/>
      <c r="O4" s="444"/>
      <c r="P4" s="444"/>
      <c r="Q4" s="444"/>
      <c r="R4" s="443"/>
      <c r="W4" s="114" t="e">
        <f>VLOOKUP($M4,_VRF!$A$26:$G$31, 2, FALSE)</f>
        <v>#N/A</v>
      </c>
      <c r="X4" s="114" t="e">
        <f>VLOOKUP($M4,_VRF!$A$26:$G$31, 3, FALSE)</f>
        <v>#N/A</v>
      </c>
      <c r="Y4" s="114" t="e">
        <f>VLOOKUP($M4,_VRF!$A$26:$G$31, 4, FALSE)</f>
        <v>#N/A</v>
      </c>
      <c r="Z4" s="114" t="e">
        <f>VLOOKUP($M4,_VRF!$A$26:$G$31, 5, FALSE)</f>
        <v>#N/A</v>
      </c>
      <c r="AA4" s="114" t="e">
        <f>VLOOKUP($M4,_VRF!$A$26:$G$31, 6, FALSE)</f>
        <v>#N/A</v>
      </c>
      <c r="AB4" s="114" t="e">
        <f>VLOOKUP($M4,_VRF!$A$26:$G$31, 7, FALSE)</f>
        <v>#N/A</v>
      </c>
      <c r="AD4" s="114" t="e">
        <f t="shared" si="8"/>
        <v>#N/A</v>
      </c>
      <c r="AE4" s="114">
        <f t="shared" si="9"/>
        <v>0</v>
      </c>
      <c r="AF4" s="114">
        <f t="shared" si="2"/>
        <v>0</v>
      </c>
      <c r="AG4" s="114">
        <f t="shared" si="2"/>
        <v>0</v>
      </c>
      <c r="AH4" s="114">
        <f t="shared" si="2"/>
        <v>0</v>
      </c>
      <c r="AI4" s="114">
        <f t="shared" si="2"/>
        <v>0</v>
      </c>
      <c r="AM4" s="434" t="str">
        <f t="shared" si="3"/>
        <v/>
      </c>
      <c r="AN4" s="114">
        <f t="shared" si="4"/>
        <v>0</v>
      </c>
      <c r="AO4" s="114" t="str">
        <f>_xlfn.CONCAT(E4," (",VLOOKUP(E4,[2]Backend!C:D,2,FALSE),")")</f>
        <v>1 (one)</v>
      </c>
      <c r="AP4" s="114" t="str">
        <f>_xlfn.CONCAT(AN4," - Electrical power supply and controls to ",AO4," ",VLOOKUP(M4,_VRF!$A$39:$G$48,2,FALSE))</f>
        <v xml:space="preserve">0 - Electrical power supply and controls to 1 (one) </v>
      </c>
      <c r="AQ4" s="114" t="str">
        <f t="shared" si="10"/>
        <v xml:space="preserve"> </v>
      </c>
      <c r="AR4" s="114" t="str">
        <f t="shared" si="11"/>
        <v/>
      </c>
      <c r="AS4" s="114" t="e">
        <f t="shared" si="12"/>
        <v>#N/A</v>
      </c>
      <c r="AT4" s="114" t="e">
        <f>_xlfn.CONCAT(AP4,AQ4,AR4,AS4)</f>
        <v>#N/A</v>
      </c>
      <c r="AU4" s="114" t="str">
        <f t="shared" si="13"/>
        <v>0.1 - This includes supply and install of power and controls.</v>
      </c>
      <c r="AV4" s="114" t="str">
        <f>_xlfn.CONCAT(AN4,".2 - Power for system includes: ",VLOOKUP(L4,_VRF!L:O,4,FALSE))</f>
        <v xml:space="preserve">0.2 - Power for system includes: CB and cabling to unit from MSSB, and local isolator, </v>
      </c>
      <c r="AW4" s="114" t="e">
        <f t="shared" si="14"/>
        <v>#N/A</v>
      </c>
      <c r="AX4" s="114" t="str">
        <f>_xlfn.CONCAT(
IF(M4="Yes",VLOOKUP(M$1,_VRF!L:Z,4,FALSE),""),
IF(N4="Yes",VLOOKUP(N$1,_VRF!L:Z,4,FALSE),""),
IF(O4="Yes",VLOOKUP(O$1,_VRF!L:Z,4,FALSE),""),
IF(P4="Yes",VLOOKUP(P$1,_VRF!L:Z,4,FALSE),""),
IF(Q4="Yes",VLOOKUP(Q$1,_VRF!L:Z,4,FALSE),""),
IF(R4="Yes",VLOOKUP(R$1,_VRF!L:Z,4,FALSE),""))</f>
        <v/>
      </c>
    </row>
    <row r="5" spans="1:50" x14ac:dyDescent="0.4">
      <c r="A5" s="431" t="str">
        <f t="shared" si="0"/>
        <v>INVALID</v>
      </c>
      <c r="B5" s="432" t="str">
        <f t="shared" si="5"/>
        <v>VRF 4</v>
      </c>
      <c r="C5" s="433" t="e">
        <f t="shared" si="6"/>
        <v>#N/A</v>
      </c>
      <c r="D5" s="432" t="e">
        <f t="shared" si="7"/>
        <v>#N/A</v>
      </c>
      <c r="E5" s="432">
        <v>1</v>
      </c>
      <c r="F5" s="432">
        <f t="shared" si="1"/>
        <v>20</v>
      </c>
      <c r="G5" s="442"/>
      <c r="H5" s="443"/>
      <c r="I5" s="442" t="e">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#N/A</v>
      </c>
      <c r="J5" s="443" t="e">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#N/A</v>
      </c>
      <c r="K5" s="432" t="e">
        <f>_xlfn.CONCAT(VLOOKUP(M5,_VRF!$A$39:$C$44,3,FALSE), "-",
IF(N5="Yes", 1, 0)*X5, IF(O5="Yes", 1, 0)*Y5, IF(P5="Yes", 1, 0)*Z5, AA5*IF(Q5="Yes", 1, 0),IF(R5="Yes", 1, 0)*AB5,IF(W5 = 1, IF(L5="Local", "-L", "-M"),""))</f>
        <v>#N/A</v>
      </c>
      <c r="L5" s="434" t="s">
        <v>679</v>
      </c>
      <c r="M5" s="434"/>
      <c r="N5" s="442"/>
      <c r="O5" s="444"/>
      <c r="P5" s="444"/>
      <c r="Q5" s="444"/>
      <c r="R5" s="443"/>
      <c r="W5" s="114" t="e">
        <f>VLOOKUP($M5,_VRF!$A$26:$G$31, 2, FALSE)</f>
        <v>#N/A</v>
      </c>
      <c r="X5" s="114" t="e">
        <f>VLOOKUP($M5,_VRF!$A$26:$G$31, 3, FALSE)</f>
        <v>#N/A</v>
      </c>
      <c r="Y5" s="114" t="e">
        <f>VLOOKUP($M5,_VRF!$A$26:$G$31, 4, FALSE)</f>
        <v>#N/A</v>
      </c>
      <c r="Z5" s="114" t="e">
        <f>VLOOKUP($M5,_VRF!$A$26:$G$31, 5, FALSE)</f>
        <v>#N/A</v>
      </c>
      <c r="AA5" s="114" t="e">
        <f>VLOOKUP($M5,_VRF!$A$26:$G$31, 6, FALSE)</f>
        <v>#N/A</v>
      </c>
      <c r="AB5" s="114" t="e">
        <f>VLOOKUP($M5,_VRF!$A$26:$G$31, 7, FALSE)</f>
        <v>#N/A</v>
      </c>
      <c r="AD5" s="114" t="e">
        <f t="shared" si="8"/>
        <v>#N/A</v>
      </c>
      <c r="AE5" s="114">
        <f t="shared" si="9"/>
        <v>0</v>
      </c>
      <c r="AF5" s="114">
        <f t="shared" si="2"/>
        <v>0</v>
      </c>
      <c r="AG5" s="114">
        <f t="shared" si="2"/>
        <v>0</v>
      </c>
      <c r="AH5" s="114">
        <f t="shared" si="2"/>
        <v>0</v>
      </c>
      <c r="AI5" s="114">
        <f t="shared" si="2"/>
        <v>0</v>
      </c>
      <c r="AM5" s="434" t="str">
        <f t="shared" si="3"/>
        <v/>
      </c>
      <c r="AN5" s="114">
        <f t="shared" si="4"/>
        <v>0</v>
      </c>
      <c r="AO5" s="114" t="str">
        <f>_xlfn.CONCAT(E5," (",VLOOKUP(E5,[2]Backend!C:D,2,FALSE),")")</f>
        <v>1 (one)</v>
      </c>
      <c r="AP5" s="114" t="str">
        <f>_xlfn.CONCAT(AN5," - Electrical power supply and controls to ",AO5," ",VLOOKUP(M5,_VRF!$A$39:$G$48,2,FALSE))</f>
        <v xml:space="preserve">0 - Electrical power supply and controls to 1 (one) </v>
      </c>
      <c r="AQ5" s="114" t="str">
        <f t="shared" si="10"/>
        <v xml:space="preserve"> </v>
      </c>
      <c r="AR5" s="114" t="str">
        <f t="shared" si="11"/>
        <v/>
      </c>
      <c r="AS5" s="114" t="e">
        <f t="shared" si="12"/>
        <v>#N/A</v>
      </c>
      <c r="AT5" s="114" t="e">
        <f>_xlfn.CONCAT(AP5,AQ5,AR5,AS5)</f>
        <v>#N/A</v>
      </c>
      <c r="AU5" s="114" t="str">
        <f t="shared" si="13"/>
        <v>0.1 - This includes supply and install of power and controls.</v>
      </c>
      <c r="AV5" s="114" t="str">
        <f>_xlfn.CONCAT(AN5,".2 - Power for system includes: ",VLOOKUP(L5,_VRF!L:O,4,FALSE))</f>
        <v xml:space="preserve">0.2 - Power for system includes: CB and cabling to unit from MSSB, and local isolator, </v>
      </c>
      <c r="AW5" s="114" t="e">
        <f t="shared" si="14"/>
        <v>#N/A</v>
      </c>
      <c r="AX5" s="114" t="str">
        <f>_xlfn.CONCAT(
IF(M5="Yes",VLOOKUP(M$1,_VRF!L:Z,4,FALSE),""),
IF(N5="Yes",VLOOKUP(N$1,_VRF!L:Z,4,FALSE),""),
IF(O5="Yes",VLOOKUP(O$1,_VRF!L:Z,4,FALSE),""),
IF(P5="Yes",VLOOKUP(P$1,_VRF!L:Z,4,FALSE),""),
IF(Q5="Yes",VLOOKUP(Q$1,_VRF!L:Z,4,FALSE),""),
IF(R5="Yes",VLOOKUP(R$1,_VRF!L:Z,4,FALSE),""))</f>
        <v/>
      </c>
    </row>
    <row r="6" spans="1:50" x14ac:dyDescent="0.4">
      <c r="A6" s="431" t="str">
        <f t="shared" si="0"/>
        <v>INVALID</v>
      </c>
      <c r="B6" s="432" t="str">
        <f t="shared" si="5"/>
        <v>VRF 5</v>
      </c>
      <c r="C6" s="433" t="e">
        <f t="shared" si="6"/>
        <v>#N/A</v>
      </c>
      <c r="D6" s="432" t="e">
        <f t="shared" si="7"/>
        <v>#N/A</v>
      </c>
      <c r="E6" s="432">
        <v>1</v>
      </c>
      <c r="F6" s="432">
        <f t="shared" si="1"/>
        <v>20</v>
      </c>
      <c r="G6" s="442"/>
      <c r="H6" s="443"/>
      <c r="I6" s="442" t="e">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#N/A</v>
      </c>
      <c r="J6" s="443" t="e">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#N/A</v>
      </c>
      <c r="K6" s="432" t="e">
        <f>_xlfn.CONCAT(VLOOKUP(M6,_VRF!$A$39:$C$44,3,FALSE), "-",
IF(N6="Yes", 1, 0)*X6, IF(O6="Yes", 1, 0)*Y6, IF(P6="Yes", 1, 0)*Z6, AA6*IF(Q6="Yes", 1, 0),IF(R6="Yes", 1, 0)*AB6,IF(W6 = 1, IF(L6="Local", "-L", "-M"),""))</f>
        <v>#N/A</v>
      </c>
      <c r="L6" s="434" t="s">
        <v>679</v>
      </c>
      <c r="M6" s="434"/>
      <c r="N6" s="442"/>
      <c r="O6" s="444"/>
      <c r="P6" s="444"/>
      <c r="Q6" s="444"/>
      <c r="R6" s="443"/>
      <c r="W6" s="114" t="e">
        <f>VLOOKUP($M6,_VRF!$A$26:$G$31, 2, FALSE)</f>
        <v>#N/A</v>
      </c>
      <c r="X6" s="114" t="e">
        <f>VLOOKUP($M6,_VRF!$A$26:$G$31, 3, FALSE)</f>
        <v>#N/A</v>
      </c>
      <c r="Y6" s="114" t="e">
        <f>VLOOKUP($M6,_VRF!$A$26:$G$31, 4, FALSE)</f>
        <v>#N/A</v>
      </c>
      <c r="Z6" s="114" t="e">
        <f>VLOOKUP($M6,_VRF!$A$26:$G$31, 5, FALSE)</f>
        <v>#N/A</v>
      </c>
      <c r="AA6" s="114" t="e">
        <f>VLOOKUP($M6,_VRF!$A$26:$G$31, 6, FALSE)</f>
        <v>#N/A</v>
      </c>
      <c r="AB6" s="114" t="e">
        <f>VLOOKUP($M6,_VRF!$A$26:$G$31, 7, FALSE)</f>
        <v>#N/A</v>
      </c>
      <c r="AD6" s="114" t="e">
        <f t="shared" si="8"/>
        <v>#N/A</v>
      </c>
      <c r="AE6" s="114">
        <f t="shared" si="9"/>
        <v>0</v>
      </c>
      <c r="AF6" s="114">
        <f t="shared" si="2"/>
        <v>0</v>
      </c>
      <c r="AG6" s="114">
        <f t="shared" si="2"/>
        <v>0</v>
      </c>
      <c r="AH6" s="114">
        <f t="shared" si="2"/>
        <v>0</v>
      </c>
      <c r="AI6" s="114">
        <f t="shared" si="2"/>
        <v>0</v>
      </c>
      <c r="AM6" s="434" t="str">
        <f t="shared" si="3"/>
        <v/>
      </c>
      <c r="AN6" s="114">
        <f t="shared" si="4"/>
        <v>0</v>
      </c>
      <c r="AO6" s="114" t="str">
        <f>_xlfn.CONCAT(E6," (",VLOOKUP(E6,[2]Backend!C:D,2,FALSE),")")</f>
        <v>1 (one)</v>
      </c>
      <c r="AP6" s="114" t="str">
        <f>_xlfn.CONCAT(AN6," - Electrical power supply and controls to ",AO6," ",VLOOKUP(M6,_VRF!$A$39:$G$48,2,FALSE))</f>
        <v xml:space="preserve">0 - Electrical power supply and controls to 1 (one) </v>
      </c>
      <c r="AQ6" s="114" t="str">
        <f t="shared" si="10"/>
        <v xml:space="preserve"> </v>
      </c>
      <c r="AR6" s="114" t="str">
        <f t="shared" si="11"/>
        <v/>
      </c>
      <c r="AS6" s="114" t="e">
        <f t="shared" si="12"/>
        <v>#N/A</v>
      </c>
      <c r="AT6" s="114" t="e">
        <f t="shared" ref="AT6:AT22" si="15">_xlfn.CONCAT(AP6,AQ6,AR6,AS6)</f>
        <v>#N/A</v>
      </c>
      <c r="AU6" s="114" t="str">
        <f t="shared" si="13"/>
        <v>0.1 - This includes supply and install of power and controls.</v>
      </c>
      <c r="AV6" s="114" t="str">
        <f>_xlfn.CONCAT(AN6,".2 - Power for system includes: ",VLOOKUP(L6,_VRF!L:O,4,FALSE))</f>
        <v xml:space="preserve">0.2 - Power for system includes: CB and cabling to unit from MSSB, and local isolator, </v>
      </c>
      <c r="AW6" s="114" t="e">
        <f t="shared" si="14"/>
        <v>#N/A</v>
      </c>
      <c r="AX6" s="114" t="str">
        <f>_xlfn.CONCAT(
IF(M6="Yes",VLOOKUP(M$1,_VRF!L:Z,4,FALSE),""),
IF(N6="Yes",VLOOKUP(N$1,_VRF!L:Z,4,FALSE),""),
IF(O6="Yes",VLOOKUP(O$1,_VRF!L:Z,4,FALSE),""),
IF(P6="Yes",VLOOKUP(P$1,_VRF!L:Z,4,FALSE),""),
IF(Q6="Yes",VLOOKUP(Q$1,_VRF!L:Z,4,FALSE),""),
IF(R6="Yes",VLOOKUP(R$1,_VRF!L:Z,4,FALSE),""))</f>
        <v/>
      </c>
    </row>
    <row r="7" spans="1:50" x14ac:dyDescent="0.4">
      <c r="A7" s="431" t="str">
        <f t="shared" si="0"/>
        <v>INVALID</v>
      </c>
      <c r="B7" s="432" t="str">
        <f t="shared" si="5"/>
        <v>VRF 6</v>
      </c>
      <c r="C7" s="433" t="e">
        <f t="shared" si="6"/>
        <v>#N/A</v>
      </c>
      <c r="D7" s="432" t="e">
        <f t="shared" si="7"/>
        <v>#N/A</v>
      </c>
      <c r="E7" s="432">
        <v>1</v>
      </c>
      <c r="F7" s="432">
        <f t="shared" si="1"/>
        <v>20</v>
      </c>
      <c r="G7" s="442"/>
      <c r="H7" s="443"/>
      <c r="I7" s="442" t="e">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#N/A</v>
      </c>
      <c r="J7" s="443" t="e">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#N/A</v>
      </c>
      <c r="K7" s="432" t="e">
        <f>_xlfn.CONCAT(VLOOKUP(M7,_VRF!$A$39:$C$44,3,FALSE), "-",
IF(N7="Yes", 1, 0)*X7, IF(O7="Yes", 1, 0)*Y7, IF(P7="Yes", 1, 0)*Z7, AA7*IF(Q7="Yes", 1, 0),IF(R7="Yes", 1, 0)*AB7,IF(W7 = 1, IF(L7="Local", "-L", "-M"),""))</f>
        <v>#N/A</v>
      </c>
      <c r="L7" s="434" t="s">
        <v>679</v>
      </c>
      <c r="M7" s="434"/>
      <c r="N7" s="442"/>
      <c r="O7" s="444"/>
      <c r="P7" s="444"/>
      <c r="Q7" s="444"/>
      <c r="R7" s="443"/>
      <c r="W7" s="114" t="e">
        <f>VLOOKUP($M7,_VRF!$A$26:$G$31, 2, FALSE)</f>
        <v>#N/A</v>
      </c>
      <c r="X7" s="114" t="e">
        <f>VLOOKUP($M7,_VRF!$A$26:$G$31, 3, FALSE)</f>
        <v>#N/A</v>
      </c>
      <c r="Y7" s="114" t="e">
        <f>VLOOKUP($M7,_VRF!$A$26:$G$31, 4, FALSE)</f>
        <v>#N/A</v>
      </c>
      <c r="Z7" s="114" t="e">
        <f>VLOOKUP($M7,_VRF!$A$26:$G$31, 5, FALSE)</f>
        <v>#N/A</v>
      </c>
      <c r="AA7" s="114" t="e">
        <f>VLOOKUP($M7,_VRF!$A$26:$G$31, 6, FALSE)</f>
        <v>#N/A</v>
      </c>
      <c r="AB7" s="114" t="e">
        <f>VLOOKUP($M7,_VRF!$A$26:$G$31, 7, FALSE)</f>
        <v>#N/A</v>
      </c>
      <c r="AD7" s="114" t="e">
        <f t="shared" si="8"/>
        <v>#N/A</v>
      </c>
      <c r="AE7" s="114">
        <f t="shared" si="9"/>
        <v>0</v>
      </c>
      <c r="AF7" s="114">
        <f t="shared" si="2"/>
        <v>0</v>
      </c>
      <c r="AG7" s="114">
        <f t="shared" si="2"/>
        <v>0</v>
      </c>
      <c r="AH7" s="114">
        <f t="shared" si="2"/>
        <v>0</v>
      </c>
      <c r="AI7" s="114">
        <f t="shared" si="2"/>
        <v>0</v>
      </c>
      <c r="AM7" s="434" t="str">
        <f t="shared" si="3"/>
        <v/>
      </c>
      <c r="AN7" s="114">
        <f t="shared" si="4"/>
        <v>0</v>
      </c>
      <c r="AO7" s="114" t="str">
        <f>_xlfn.CONCAT(E7," (",VLOOKUP(E7,[2]Backend!C:D,2,FALSE),")")</f>
        <v>1 (one)</v>
      </c>
      <c r="AP7" s="114" t="str">
        <f>_xlfn.CONCAT(AN7," - Electrical power supply and controls to ",AO7," ",VLOOKUP(M7,_VRF!$A$39:$G$48,2,FALSE))</f>
        <v xml:space="preserve">0 - Electrical power supply and controls to 1 (one) </v>
      </c>
      <c r="AQ7" s="114" t="str">
        <f t="shared" si="10"/>
        <v xml:space="preserve"> </v>
      </c>
      <c r="AR7" s="114" t="str">
        <f t="shared" si="11"/>
        <v/>
      </c>
      <c r="AS7" s="114" t="e">
        <f t="shared" si="12"/>
        <v>#N/A</v>
      </c>
      <c r="AT7" s="114" t="e">
        <f t="shared" si="15"/>
        <v>#N/A</v>
      </c>
      <c r="AU7" s="114" t="str">
        <f t="shared" si="13"/>
        <v>0.1 - This includes supply and install of power and controls.</v>
      </c>
      <c r="AV7" s="114" t="str">
        <f>_xlfn.CONCAT(AN7,".2 - Power for system includes: ",VLOOKUP(L7,_VRF!L:O,4,FALSE))</f>
        <v xml:space="preserve">0.2 - Power for system includes: CB and cabling to unit from MSSB, and local isolator, </v>
      </c>
      <c r="AW7" s="114" t="e">
        <f t="shared" si="14"/>
        <v>#N/A</v>
      </c>
      <c r="AX7" s="114" t="str">
        <f>_xlfn.CONCAT(
IF(M7="Yes",VLOOKUP(M$1,_VRF!L:Z,4,FALSE),""),
IF(N7="Yes",VLOOKUP(N$1,_VRF!L:Z,4,FALSE),""),
IF(O7="Yes",VLOOKUP(O$1,_VRF!L:Z,4,FALSE),""),
IF(P7="Yes",VLOOKUP(P$1,_VRF!L:Z,4,FALSE),""),
IF(Q7="Yes",VLOOKUP(Q$1,_VRF!L:Z,4,FALSE),""),
IF(R7="Yes",VLOOKUP(R$1,_VRF!L:Z,4,FALSE),""))</f>
        <v/>
      </c>
    </row>
    <row r="8" spans="1:50" x14ac:dyDescent="0.4">
      <c r="A8" s="431" t="str">
        <f t="shared" si="0"/>
        <v>INVALID</v>
      </c>
      <c r="B8" s="432" t="str">
        <f t="shared" si="5"/>
        <v>VRF 7</v>
      </c>
      <c r="C8" s="433" t="e">
        <f t="shared" si="6"/>
        <v>#N/A</v>
      </c>
      <c r="D8" s="432" t="e">
        <f t="shared" si="7"/>
        <v>#N/A</v>
      </c>
      <c r="E8" s="432">
        <v>1</v>
      </c>
      <c r="F8" s="432">
        <f t="shared" si="1"/>
        <v>20</v>
      </c>
      <c r="G8" s="442"/>
      <c r="H8" s="443"/>
      <c r="I8" s="442" t="e">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#N/A</v>
      </c>
      <c r="J8" s="443" t="e">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#N/A</v>
      </c>
      <c r="K8" s="432" t="e">
        <f>_xlfn.CONCAT(VLOOKUP(M8,_VRF!$A$39:$C$44,3,FALSE), "-",
IF(N8="Yes", 1, 0)*X8, IF(O8="Yes", 1, 0)*Y8, IF(P8="Yes", 1, 0)*Z8, AA8*IF(Q8="Yes", 1, 0),IF(R8="Yes", 1, 0)*AB8,IF(W8 = 1, IF(L8="Local", "-L", "-M"),""))</f>
        <v>#N/A</v>
      </c>
      <c r="L8" s="434" t="s">
        <v>679</v>
      </c>
      <c r="M8" s="434"/>
      <c r="N8" s="442"/>
      <c r="O8" s="444"/>
      <c r="P8" s="444"/>
      <c r="Q8" s="444"/>
      <c r="R8" s="443"/>
      <c r="W8" s="114" t="e">
        <f>VLOOKUP($M8,_VRF!$A$26:$G$31, 2, FALSE)</f>
        <v>#N/A</v>
      </c>
      <c r="X8" s="114" t="e">
        <f>VLOOKUP($M8,_VRF!$A$26:$G$31, 3, FALSE)</f>
        <v>#N/A</v>
      </c>
      <c r="Y8" s="114" t="e">
        <f>VLOOKUP($M8,_VRF!$A$26:$G$31, 4, FALSE)</f>
        <v>#N/A</v>
      </c>
      <c r="Z8" s="114" t="e">
        <f>VLOOKUP($M8,_VRF!$A$26:$G$31, 5, FALSE)</f>
        <v>#N/A</v>
      </c>
      <c r="AA8" s="114" t="e">
        <f>VLOOKUP($M8,_VRF!$A$26:$G$31, 6, FALSE)</f>
        <v>#N/A</v>
      </c>
      <c r="AB8" s="114" t="e">
        <f>VLOOKUP($M8,_VRF!$A$26:$G$31, 7, FALSE)</f>
        <v>#N/A</v>
      </c>
      <c r="AD8" s="114" t="e">
        <f t="shared" si="8"/>
        <v>#N/A</v>
      </c>
      <c r="AE8" s="114">
        <f t="shared" si="9"/>
        <v>0</v>
      </c>
      <c r="AF8" s="114">
        <f t="shared" si="2"/>
        <v>0</v>
      </c>
      <c r="AG8" s="114">
        <f t="shared" si="2"/>
        <v>0</v>
      </c>
      <c r="AH8" s="114">
        <f t="shared" si="2"/>
        <v>0</v>
      </c>
      <c r="AI8" s="114">
        <f t="shared" si="2"/>
        <v>0</v>
      </c>
      <c r="AM8" s="434" t="str">
        <f t="shared" si="3"/>
        <v/>
      </c>
      <c r="AN8" s="114">
        <f t="shared" si="4"/>
        <v>0</v>
      </c>
      <c r="AO8" s="114" t="str">
        <f>_xlfn.CONCAT(E8," (",VLOOKUP(E8,[2]Backend!C:D,2,FALSE),")")</f>
        <v>1 (one)</v>
      </c>
      <c r="AP8" s="114" t="str">
        <f>_xlfn.CONCAT(AN8," - Electrical power supply and controls to ",AO8," ",VLOOKUP(M8,_VRF!$A$39:$G$48,2,FALSE))</f>
        <v xml:space="preserve">0 - Electrical power supply and controls to 1 (one) </v>
      </c>
      <c r="AQ8" s="114" t="str">
        <f t="shared" si="10"/>
        <v xml:space="preserve"> </v>
      </c>
      <c r="AR8" s="114" t="str">
        <f t="shared" si="11"/>
        <v/>
      </c>
      <c r="AS8" s="114" t="e">
        <f t="shared" si="12"/>
        <v>#N/A</v>
      </c>
      <c r="AT8" s="114" t="e">
        <f t="shared" si="15"/>
        <v>#N/A</v>
      </c>
      <c r="AU8" s="114" t="str">
        <f t="shared" si="13"/>
        <v>0.1 - This includes supply and install of power and controls.</v>
      </c>
      <c r="AV8" s="114" t="str">
        <f>_xlfn.CONCAT(AN8,".2 - Power for system includes: ",VLOOKUP(L8,_VRF!L:O,4,FALSE))</f>
        <v xml:space="preserve">0.2 - Power for system includes: CB and cabling to unit from MSSB, and local isolator, </v>
      </c>
      <c r="AW8" s="114" t="e">
        <f t="shared" si="14"/>
        <v>#N/A</v>
      </c>
      <c r="AX8" s="114" t="str">
        <f>_xlfn.CONCAT(
IF(M8="Yes",VLOOKUP(M$1,_VRF!L:Z,4,FALSE),""),
IF(N8="Yes",VLOOKUP(N$1,_VRF!L:Z,4,FALSE),""),
IF(O8="Yes",VLOOKUP(O$1,_VRF!L:Z,4,FALSE),""),
IF(P8="Yes",VLOOKUP(P$1,_VRF!L:Z,4,FALSE),""),
IF(Q8="Yes",VLOOKUP(Q$1,_VRF!L:Z,4,FALSE),""),
IF(R8="Yes",VLOOKUP(R$1,_VRF!L:Z,4,FALSE),""))</f>
        <v/>
      </c>
    </row>
    <row r="9" spans="1:50" x14ac:dyDescent="0.4">
      <c r="A9" s="431" t="str">
        <f t="shared" si="0"/>
        <v>INVALID</v>
      </c>
      <c r="B9" s="432" t="str">
        <f t="shared" si="5"/>
        <v>VRF 8</v>
      </c>
      <c r="C9" s="433" t="e">
        <f t="shared" si="6"/>
        <v>#N/A</v>
      </c>
      <c r="D9" s="432" t="e">
        <f t="shared" si="7"/>
        <v>#N/A</v>
      </c>
      <c r="E9" s="432">
        <v>1</v>
      </c>
      <c r="F9" s="432">
        <f t="shared" si="1"/>
        <v>20</v>
      </c>
      <c r="G9" s="442"/>
      <c r="H9" s="443"/>
      <c r="I9" s="442" t="e">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#N/A</v>
      </c>
      <c r="J9" s="443" t="e">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#N/A</v>
      </c>
      <c r="K9" s="432" t="e">
        <f>_xlfn.CONCAT(VLOOKUP(M9,_VRF!$A$39:$C$44,3,FALSE), "-",
IF(N9="Yes", 1, 0)*X9, IF(O9="Yes", 1, 0)*Y9, IF(P9="Yes", 1, 0)*Z9, AA9*IF(Q9="Yes", 1, 0),IF(R9="Yes", 1, 0)*AB9,IF(W9 = 1, IF(L9="Local", "-L", "-M"),""))</f>
        <v>#N/A</v>
      </c>
      <c r="L9" s="434" t="s">
        <v>679</v>
      </c>
      <c r="M9" s="434"/>
      <c r="N9" s="442"/>
      <c r="O9" s="444"/>
      <c r="P9" s="444"/>
      <c r="Q9" s="444"/>
      <c r="R9" s="443"/>
      <c r="W9" s="114" t="e">
        <f>VLOOKUP($M9,_VRF!$A$26:$G$31, 2, FALSE)</f>
        <v>#N/A</v>
      </c>
      <c r="X9" s="114" t="e">
        <f>VLOOKUP($M9,_VRF!$A$26:$G$31, 3, FALSE)</f>
        <v>#N/A</v>
      </c>
      <c r="Y9" s="114" t="e">
        <f>VLOOKUP($M9,_VRF!$A$26:$G$31, 4, FALSE)</f>
        <v>#N/A</v>
      </c>
      <c r="Z9" s="114" t="e">
        <f>VLOOKUP($M9,_VRF!$A$26:$G$31, 5, FALSE)</f>
        <v>#N/A</v>
      </c>
      <c r="AA9" s="114" t="e">
        <f>VLOOKUP($M9,_VRF!$A$26:$G$31, 6, FALSE)</f>
        <v>#N/A</v>
      </c>
      <c r="AB9" s="114" t="e">
        <f>VLOOKUP($M9,_VRF!$A$26:$G$31, 7, FALSE)</f>
        <v>#N/A</v>
      </c>
      <c r="AD9" s="114" t="e">
        <f t="shared" si="8"/>
        <v>#N/A</v>
      </c>
      <c r="AE9" s="114">
        <f t="shared" si="9"/>
        <v>0</v>
      </c>
      <c r="AF9" s="114">
        <f t="shared" si="2"/>
        <v>0</v>
      </c>
      <c r="AG9" s="114">
        <f t="shared" si="2"/>
        <v>0</v>
      </c>
      <c r="AH9" s="114">
        <f t="shared" si="2"/>
        <v>0</v>
      </c>
      <c r="AI9" s="114">
        <f t="shared" si="2"/>
        <v>0</v>
      </c>
      <c r="AM9" s="434" t="str">
        <f t="shared" si="3"/>
        <v/>
      </c>
      <c r="AN9" s="114">
        <f t="shared" si="4"/>
        <v>0</v>
      </c>
      <c r="AO9" s="114" t="str">
        <f>_xlfn.CONCAT(E9," (",VLOOKUP(E9,[2]Backend!C:D,2,FALSE),")")</f>
        <v>1 (one)</v>
      </c>
      <c r="AP9" s="114" t="str">
        <f>_xlfn.CONCAT(AN9," - Electrical power supply and controls to ",AO9," ",VLOOKUP(M9,_VRF!$A$39:$G$48,2,FALSE))</f>
        <v xml:space="preserve">0 - Electrical power supply and controls to 1 (one) </v>
      </c>
      <c r="AQ9" s="114" t="str">
        <f t="shared" si="10"/>
        <v xml:space="preserve"> </v>
      </c>
      <c r="AR9" s="114" t="str">
        <f t="shared" si="11"/>
        <v/>
      </c>
      <c r="AS9" s="114" t="e">
        <f t="shared" si="12"/>
        <v>#N/A</v>
      </c>
      <c r="AT9" s="114" t="e">
        <f t="shared" si="15"/>
        <v>#N/A</v>
      </c>
      <c r="AU9" s="114" t="str">
        <f t="shared" si="13"/>
        <v>0.1 - This includes supply and install of power and controls.</v>
      </c>
      <c r="AV9" s="114" t="str">
        <f>_xlfn.CONCAT(AN9,".2 - Power for system includes: ",VLOOKUP(L9,_VRF!L:O,4,FALSE))</f>
        <v xml:space="preserve">0.2 - Power for system includes: CB and cabling to unit from MSSB, and local isolator, </v>
      </c>
      <c r="AW9" s="114" t="e">
        <f t="shared" si="14"/>
        <v>#N/A</v>
      </c>
      <c r="AX9" s="114" t="str">
        <f>_xlfn.CONCAT(
IF(M9="Yes",VLOOKUP(M$1,_VRF!L:Z,4,FALSE),""),
IF(N9="Yes",VLOOKUP(N$1,_VRF!L:Z,4,FALSE),""),
IF(O9="Yes",VLOOKUP(O$1,_VRF!L:Z,4,FALSE),""),
IF(P9="Yes",VLOOKUP(P$1,_VRF!L:Z,4,FALSE),""),
IF(Q9="Yes",VLOOKUP(Q$1,_VRF!L:Z,4,FALSE),""),
IF(R9="Yes",VLOOKUP(R$1,_VRF!L:Z,4,FALSE),""))</f>
        <v/>
      </c>
    </row>
    <row r="10" spans="1:50" x14ac:dyDescent="0.4">
      <c r="A10" s="431" t="str">
        <f t="shared" si="0"/>
        <v>INVALID</v>
      </c>
      <c r="B10" s="432" t="str">
        <f t="shared" si="5"/>
        <v>VRF 9</v>
      </c>
      <c r="C10" s="433" t="e">
        <f t="shared" si="6"/>
        <v>#N/A</v>
      </c>
      <c r="D10" s="432" t="e">
        <f t="shared" si="7"/>
        <v>#N/A</v>
      </c>
      <c r="E10" s="432">
        <v>1</v>
      </c>
      <c r="F10" s="432">
        <f t="shared" si="1"/>
        <v>20</v>
      </c>
      <c r="G10" s="442"/>
      <c r="H10" s="443"/>
      <c r="I10" s="442" t="e">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#N/A</v>
      </c>
      <c r="J10" s="443" t="e">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#N/A</v>
      </c>
      <c r="K10" s="432" t="e">
        <f>_xlfn.CONCAT(VLOOKUP(M10,_VRF!$A$39:$C$44,3,FALSE), "-",
IF(N10="Yes", 1, 0)*X10, IF(O10="Yes", 1, 0)*Y10, IF(P10="Yes", 1, 0)*Z10, AA10*IF(Q10="Yes", 1, 0),IF(R10="Yes", 1, 0)*AB10,IF(W10 = 1, IF(L10="Local", "-L", "-M"),""))</f>
        <v>#N/A</v>
      </c>
      <c r="L10" s="434" t="s">
        <v>679</v>
      </c>
      <c r="M10" s="434"/>
      <c r="N10" s="442"/>
      <c r="O10" s="444"/>
      <c r="P10" s="444"/>
      <c r="Q10" s="444"/>
      <c r="R10" s="443"/>
      <c r="W10" s="114" t="e">
        <f>VLOOKUP($M10,_VRF!$A$26:$G$31, 2, FALSE)</f>
        <v>#N/A</v>
      </c>
      <c r="X10" s="114" t="e">
        <f>VLOOKUP($M10,_VRF!$A$26:$G$31, 3, FALSE)</f>
        <v>#N/A</v>
      </c>
      <c r="Y10" s="114" t="e">
        <f>VLOOKUP($M10,_VRF!$A$26:$G$31, 4, FALSE)</f>
        <v>#N/A</v>
      </c>
      <c r="Z10" s="114" t="e">
        <f>VLOOKUP($M10,_VRF!$A$26:$G$31, 5, FALSE)</f>
        <v>#N/A</v>
      </c>
      <c r="AA10" s="114" t="e">
        <f>VLOOKUP($M10,_VRF!$A$26:$G$31, 6, FALSE)</f>
        <v>#N/A</v>
      </c>
      <c r="AB10" s="114" t="e">
        <f>VLOOKUP($M10,_VRF!$A$26:$G$31, 7, FALSE)</f>
        <v>#N/A</v>
      </c>
      <c r="AD10" s="114" t="e">
        <f t="shared" si="8"/>
        <v>#N/A</v>
      </c>
      <c r="AE10" s="114">
        <f t="shared" si="9"/>
        <v>0</v>
      </c>
      <c r="AF10" s="114">
        <f t="shared" si="2"/>
        <v>0</v>
      </c>
      <c r="AG10" s="114">
        <f t="shared" si="2"/>
        <v>0</v>
      </c>
      <c r="AH10" s="114">
        <f t="shared" si="2"/>
        <v>0</v>
      </c>
      <c r="AI10" s="114">
        <f t="shared" si="2"/>
        <v>0</v>
      </c>
      <c r="AM10" s="434" t="str">
        <f t="shared" si="3"/>
        <v/>
      </c>
      <c r="AN10" s="114">
        <f t="shared" si="4"/>
        <v>0</v>
      </c>
      <c r="AO10" s="114" t="str">
        <f>_xlfn.CONCAT(E10," (",VLOOKUP(E10,[2]Backend!C:D,2,FALSE),")")</f>
        <v>1 (one)</v>
      </c>
      <c r="AP10" s="114" t="str">
        <f>_xlfn.CONCAT(AN10," - Electrical power supply and controls to ",AO10," ",VLOOKUP(M10,_VRF!$A$39:$G$48,2,FALSE))</f>
        <v xml:space="preserve">0 - Electrical power supply and controls to 1 (one) </v>
      </c>
      <c r="AQ10" s="114" t="str">
        <f t="shared" si="10"/>
        <v xml:space="preserve"> </v>
      </c>
      <c r="AR10" s="114" t="str">
        <f t="shared" si="11"/>
        <v/>
      </c>
      <c r="AS10" s="114" t="e">
        <f t="shared" si="12"/>
        <v>#N/A</v>
      </c>
      <c r="AT10" s="114" t="e">
        <f t="shared" si="15"/>
        <v>#N/A</v>
      </c>
      <c r="AU10" s="114" t="str">
        <f t="shared" si="13"/>
        <v>0.1 - This includes supply and install of power and controls.</v>
      </c>
      <c r="AV10" s="114" t="str">
        <f>_xlfn.CONCAT(AN10,".2 - Power for system includes: ",VLOOKUP(L10,_VRF!L:O,4,FALSE))</f>
        <v xml:space="preserve">0.2 - Power for system includes: CB and cabling to unit from MSSB, and local isolator, </v>
      </c>
      <c r="AW10" s="114" t="e">
        <f t="shared" si="14"/>
        <v>#N/A</v>
      </c>
      <c r="AX10" s="114" t="str">
        <f>_xlfn.CONCAT(
IF(M10="Yes",VLOOKUP(M$1,_VRF!L:Z,4,FALSE),""),
IF(N10="Yes",VLOOKUP(N$1,_VRF!L:Z,4,FALSE),""),
IF(O10="Yes",VLOOKUP(O$1,_VRF!L:Z,4,FALSE),""),
IF(P10="Yes",VLOOKUP(P$1,_VRF!L:Z,4,FALSE),""),
IF(Q10="Yes",VLOOKUP(Q$1,_VRF!L:Z,4,FALSE),""),
IF(R10="Yes",VLOOKUP(R$1,_VRF!L:Z,4,FALSE),""))</f>
        <v/>
      </c>
    </row>
    <row r="11" spans="1:50" x14ac:dyDescent="0.4">
      <c r="A11" s="431" t="str">
        <f t="shared" si="0"/>
        <v>INVALID</v>
      </c>
      <c r="B11" s="432" t="str">
        <f t="shared" si="5"/>
        <v>VRF 10</v>
      </c>
      <c r="C11" s="433" t="e">
        <f t="shared" si="6"/>
        <v>#N/A</v>
      </c>
      <c r="D11" s="432" t="e">
        <f t="shared" si="7"/>
        <v>#N/A</v>
      </c>
      <c r="E11" s="432">
        <v>1</v>
      </c>
      <c r="F11" s="432">
        <f t="shared" si="1"/>
        <v>20</v>
      </c>
      <c r="G11" s="442"/>
      <c r="H11" s="443"/>
      <c r="I11" s="442" t="e">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#N/A</v>
      </c>
      <c r="J11" s="443" t="e">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#N/A</v>
      </c>
      <c r="K11" s="432" t="e">
        <f>_xlfn.CONCAT(VLOOKUP(M11,_VRF!$A$39:$C$44,3,FALSE), "-",
IF(N11="Yes", 1, 0)*X11, IF(O11="Yes", 1, 0)*Y11, IF(P11="Yes", 1, 0)*Z11, AA11*IF(Q11="Yes", 1, 0),IF(R11="Yes", 1, 0)*AB11,IF(W11 = 1, IF(L11="Local", "-L", "-M"),""))</f>
        <v>#N/A</v>
      </c>
      <c r="L11" s="434" t="s">
        <v>679</v>
      </c>
      <c r="M11" s="434"/>
      <c r="N11" s="442"/>
      <c r="O11" s="444"/>
      <c r="P11" s="444"/>
      <c r="Q11" s="444"/>
      <c r="R11" s="443"/>
      <c r="W11" s="114" t="e">
        <f>VLOOKUP($M11,_VRF!$A$26:$G$31, 2, FALSE)</f>
        <v>#N/A</v>
      </c>
      <c r="X11" s="114" t="e">
        <f>VLOOKUP($M11,_VRF!$A$26:$G$31, 3, FALSE)</f>
        <v>#N/A</v>
      </c>
      <c r="Y11" s="114" t="e">
        <f>VLOOKUP($M11,_VRF!$A$26:$G$31, 4, FALSE)</f>
        <v>#N/A</v>
      </c>
      <c r="Z11" s="114" t="e">
        <f>VLOOKUP($M11,_VRF!$A$26:$G$31, 5, FALSE)</f>
        <v>#N/A</v>
      </c>
      <c r="AA11" s="114" t="e">
        <f>VLOOKUP($M11,_VRF!$A$26:$G$31, 6, FALSE)</f>
        <v>#N/A</v>
      </c>
      <c r="AB11" s="114" t="e">
        <f>VLOOKUP($M11,_VRF!$A$26:$G$31, 7, FALSE)</f>
        <v>#N/A</v>
      </c>
      <c r="AD11" s="114" t="e">
        <f t="shared" si="8"/>
        <v>#N/A</v>
      </c>
      <c r="AE11" s="114">
        <f t="shared" si="9"/>
        <v>0</v>
      </c>
      <c r="AF11" s="114">
        <f t="shared" si="2"/>
        <v>0</v>
      </c>
      <c r="AG11" s="114">
        <f t="shared" si="2"/>
        <v>0</v>
      </c>
      <c r="AH11" s="114">
        <f t="shared" si="2"/>
        <v>0</v>
      </c>
      <c r="AI11" s="114">
        <f t="shared" si="2"/>
        <v>0</v>
      </c>
      <c r="AM11" s="434" t="str">
        <f t="shared" si="3"/>
        <v/>
      </c>
      <c r="AN11" s="114">
        <f t="shared" si="4"/>
        <v>0</v>
      </c>
      <c r="AO11" s="114" t="str">
        <f>_xlfn.CONCAT(E11," (",VLOOKUP(E11,[2]Backend!C:D,2,FALSE),")")</f>
        <v>1 (one)</v>
      </c>
      <c r="AP11" s="114" t="str">
        <f>_xlfn.CONCAT(AN11," - Electrical power supply and controls to ",AO11," ",VLOOKUP(M11,_VRF!$A$39:$G$48,2,FALSE))</f>
        <v xml:space="preserve">0 - Electrical power supply and controls to 1 (one) </v>
      </c>
      <c r="AQ11" s="114" t="str">
        <f t="shared" si="10"/>
        <v xml:space="preserve"> </v>
      </c>
      <c r="AR11" s="114" t="str">
        <f t="shared" si="11"/>
        <v/>
      </c>
      <c r="AS11" s="114" t="e">
        <f t="shared" si="12"/>
        <v>#N/A</v>
      </c>
      <c r="AT11" s="114" t="e">
        <f t="shared" si="15"/>
        <v>#N/A</v>
      </c>
      <c r="AU11" s="114" t="str">
        <f t="shared" si="13"/>
        <v>0.1 - This includes supply and install of power and controls.</v>
      </c>
      <c r="AV11" s="114" t="str">
        <f>_xlfn.CONCAT(AN11,".2 - Power for system includes: ",VLOOKUP(L11,_VRF!L:O,4,FALSE))</f>
        <v xml:space="preserve">0.2 - Power for system includes: CB and cabling to unit from MSSB, and local isolator, </v>
      </c>
      <c r="AW11" s="114" t="e">
        <f t="shared" si="14"/>
        <v>#N/A</v>
      </c>
      <c r="AX11" s="114" t="str">
        <f>_xlfn.CONCAT(
IF(M11="Yes",VLOOKUP(M$1,_VRF!L:Z,4,FALSE),""),
IF(N11="Yes",VLOOKUP(N$1,_VRF!L:Z,4,FALSE),""),
IF(O11="Yes",VLOOKUP(O$1,_VRF!L:Z,4,FALSE),""),
IF(P11="Yes",VLOOKUP(P$1,_VRF!L:Z,4,FALSE),""),
IF(Q11="Yes",VLOOKUP(Q$1,_VRF!L:Z,4,FALSE),""),
IF(R11="Yes",VLOOKUP(R$1,_VRF!L:Z,4,FALSE),""))</f>
        <v/>
      </c>
    </row>
    <row r="12" spans="1:50" x14ac:dyDescent="0.4">
      <c r="A12" s="431" t="str">
        <f t="shared" si="0"/>
        <v>INVALID</v>
      </c>
      <c r="B12" s="432" t="str">
        <f t="shared" si="5"/>
        <v>VRF 11</v>
      </c>
      <c r="C12" s="433" t="e">
        <f t="shared" si="6"/>
        <v>#N/A</v>
      </c>
      <c r="D12" s="432" t="e">
        <f t="shared" si="7"/>
        <v>#N/A</v>
      </c>
      <c r="E12" s="432">
        <v>1</v>
      </c>
      <c r="F12" s="432">
        <f t="shared" si="1"/>
        <v>20</v>
      </c>
      <c r="G12" s="442"/>
      <c r="H12" s="443"/>
      <c r="I12" s="442" t="e">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#N/A</v>
      </c>
      <c r="J12" s="443" t="e">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#N/A</v>
      </c>
      <c r="K12" s="432" t="e">
        <f>_xlfn.CONCAT(VLOOKUP(M12,_VRF!$A$39:$C$44,3,FALSE), "-",
IF(N12="Yes", 1, 0)*X12, IF(O12="Yes", 1, 0)*Y12, IF(P12="Yes", 1, 0)*Z12, AA12*IF(Q12="Yes", 1, 0),IF(R12="Yes", 1, 0)*AB12,IF(W12 = 1, IF(L12="Local", "-L", "-M"),""))</f>
        <v>#N/A</v>
      </c>
      <c r="L12" s="434" t="s">
        <v>679</v>
      </c>
      <c r="M12" s="434"/>
      <c r="N12" s="442"/>
      <c r="O12" s="444"/>
      <c r="P12" s="444"/>
      <c r="Q12" s="444"/>
      <c r="R12" s="443"/>
      <c r="W12" s="114" t="e">
        <f>VLOOKUP($M12,_VRF!$A$26:$G$31, 2, FALSE)</f>
        <v>#N/A</v>
      </c>
      <c r="X12" s="114" t="e">
        <f>VLOOKUP($M12,_VRF!$A$26:$G$31, 3, FALSE)</f>
        <v>#N/A</v>
      </c>
      <c r="Y12" s="114" t="e">
        <f>VLOOKUP($M12,_VRF!$A$26:$G$31, 4, FALSE)</f>
        <v>#N/A</v>
      </c>
      <c r="Z12" s="114" t="e">
        <f>VLOOKUP($M12,_VRF!$A$26:$G$31, 5, FALSE)</f>
        <v>#N/A</v>
      </c>
      <c r="AA12" s="114" t="e">
        <f>VLOOKUP($M12,_VRF!$A$26:$G$31, 6, FALSE)</f>
        <v>#N/A</v>
      </c>
      <c r="AB12" s="114" t="e">
        <f>VLOOKUP($M12,_VRF!$A$26:$G$31, 7, FALSE)</f>
        <v>#N/A</v>
      </c>
      <c r="AD12" s="114" t="e">
        <f t="shared" si="8"/>
        <v>#N/A</v>
      </c>
      <c r="AE12" s="114">
        <f t="shared" si="9"/>
        <v>0</v>
      </c>
      <c r="AF12" s="114">
        <f t="shared" si="2"/>
        <v>0</v>
      </c>
      <c r="AG12" s="114">
        <f t="shared" si="2"/>
        <v>0</v>
      </c>
      <c r="AH12" s="114">
        <f t="shared" si="2"/>
        <v>0</v>
      </c>
      <c r="AI12" s="114">
        <f t="shared" si="2"/>
        <v>0</v>
      </c>
      <c r="AM12" s="434" t="str">
        <f t="shared" si="3"/>
        <v/>
      </c>
      <c r="AN12" s="114">
        <f t="shared" si="4"/>
        <v>0</v>
      </c>
      <c r="AO12" s="114" t="str">
        <f>_xlfn.CONCAT(E12," (",VLOOKUP(E12,[2]Backend!C:D,2,FALSE),")")</f>
        <v>1 (one)</v>
      </c>
      <c r="AP12" s="114" t="str">
        <f>_xlfn.CONCAT(AN12," - Electrical power supply and controls to ",AO12," ",VLOOKUP(M12,_VRF!$A$39:$G$48,2,FALSE))</f>
        <v xml:space="preserve">0 - Electrical power supply and controls to 1 (one) </v>
      </c>
      <c r="AQ12" s="114" t="str">
        <f t="shared" si="10"/>
        <v xml:space="preserve"> </v>
      </c>
      <c r="AR12" s="114" t="str">
        <f t="shared" si="11"/>
        <v/>
      </c>
      <c r="AS12" s="114" t="e">
        <f t="shared" si="12"/>
        <v>#N/A</v>
      </c>
      <c r="AT12" s="114" t="e">
        <f t="shared" si="15"/>
        <v>#N/A</v>
      </c>
      <c r="AU12" s="114" t="str">
        <f t="shared" si="13"/>
        <v>0.1 - This includes supply and install of power and controls.</v>
      </c>
      <c r="AV12" s="114" t="str">
        <f>_xlfn.CONCAT(AN12,".2 - Power for system includes: ",VLOOKUP(L12,_VRF!L:O,4,FALSE))</f>
        <v xml:space="preserve">0.2 - Power for system includes: CB and cabling to unit from MSSB, and local isolator, </v>
      </c>
      <c r="AW12" s="114" t="e">
        <f t="shared" si="14"/>
        <v>#N/A</v>
      </c>
      <c r="AX12" s="114" t="str">
        <f>_xlfn.CONCAT(
IF(M12="Yes",VLOOKUP(M$1,_VRF!L:Z,4,FALSE),""),
IF(N12="Yes",VLOOKUP(N$1,_VRF!L:Z,4,FALSE),""),
IF(O12="Yes",VLOOKUP(O$1,_VRF!L:Z,4,FALSE),""),
IF(P12="Yes",VLOOKUP(P$1,_VRF!L:Z,4,FALSE),""),
IF(Q12="Yes",VLOOKUP(Q$1,_VRF!L:Z,4,FALSE),""),
IF(R12="Yes",VLOOKUP(R$1,_VRF!L:Z,4,FALSE),""))</f>
        <v/>
      </c>
    </row>
    <row r="13" spans="1:50" x14ac:dyDescent="0.4">
      <c r="A13" s="431" t="str">
        <f t="shared" si="0"/>
        <v>INVALID</v>
      </c>
      <c r="B13" s="432" t="str">
        <f t="shared" si="5"/>
        <v>VRF 12</v>
      </c>
      <c r="C13" s="433" t="e">
        <f t="shared" si="6"/>
        <v>#N/A</v>
      </c>
      <c r="D13" s="432" t="e">
        <f t="shared" si="7"/>
        <v>#N/A</v>
      </c>
      <c r="E13" s="432">
        <v>1</v>
      </c>
      <c r="F13" s="432">
        <f t="shared" si="1"/>
        <v>20</v>
      </c>
      <c r="G13" s="442"/>
      <c r="H13" s="443"/>
      <c r="I13" s="442" t="e">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#N/A</v>
      </c>
      <c r="J13" s="443" t="e">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#N/A</v>
      </c>
      <c r="K13" s="432" t="e">
        <f>_xlfn.CONCAT(VLOOKUP(M13,_VRF!$A$39:$C$44,3,FALSE), "-",
IF(N13="Yes", 1, 0)*X13, IF(O13="Yes", 1, 0)*Y13, IF(P13="Yes", 1, 0)*Z13, AA13*IF(Q13="Yes", 1, 0),IF(R13="Yes", 1, 0)*AB13,IF(W13 = 1, IF(L13="Local", "-L", "-M"),""))</f>
        <v>#N/A</v>
      </c>
      <c r="L13" s="434" t="s">
        <v>679</v>
      </c>
      <c r="M13" s="434"/>
      <c r="N13" s="442"/>
      <c r="O13" s="444"/>
      <c r="P13" s="444"/>
      <c r="Q13" s="444"/>
      <c r="R13" s="443"/>
      <c r="W13" s="114" t="e">
        <f>VLOOKUP($M13,_VRF!$A$26:$G$31, 2, FALSE)</f>
        <v>#N/A</v>
      </c>
      <c r="X13" s="114" t="e">
        <f>VLOOKUP($M13,_VRF!$A$26:$G$31, 3, FALSE)</f>
        <v>#N/A</v>
      </c>
      <c r="Y13" s="114" t="e">
        <f>VLOOKUP($M13,_VRF!$A$26:$G$31, 4, FALSE)</f>
        <v>#N/A</v>
      </c>
      <c r="Z13" s="114" t="e">
        <f>VLOOKUP($M13,_VRF!$A$26:$G$31, 5, FALSE)</f>
        <v>#N/A</v>
      </c>
      <c r="AA13" s="114" t="e">
        <f>VLOOKUP($M13,_VRF!$A$26:$G$31, 6, FALSE)</f>
        <v>#N/A</v>
      </c>
      <c r="AB13" s="114" t="e">
        <f>VLOOKUP($M13,_VRF!$A$26:$G$31, 7, FALSE)</f>
        <v>#N/A</v>
      </c>
      <c r="AD13" s="114" t="e">
        <f t="shared" si="8"/>
        <v>#N/A</v>
      </c>
      <c r="AE13" s="114">
        <f t="shared" si="9"/>
        <v>0</v>
      </c>
      <c r="AF13" s="114">
        <f t="shared" si="2"/>
        <v>0</v>
      </c>
      <c r="AG13" s="114">
        <f t="shared" si="2"/>
        <v>0</v>
      </c>
      <c r="AH13" s="114">
        <f t="shared" si="2"/>
        <v>0</v>
      </c>
      <c r="AI13" s="114">
        <f t="shared" si="2"/>
        <v>0</v>
      </c>
      <c r="AM13" s="434" t="str">
        <f t="shared" si="3"/>
        <v/>
      </c>
      <c r="AN13" s="114">
        <f t="shared" si="4"/>
        <v>0</v>
      </c>
      <c r="AO13" s="114" t="str">
        <f>_xlfn.CONCAT(E13," (",VLOOKUP(E13,[2]Backend!C:D,2,FALSE),")")</f>
        <v>1 (one)</v>
      </c>
      <c r="AP13" s="114" t="str">
        <f>_xlfn.CONCAT(AN13," - Electrical power supply and controls to ",AO13," ",VLOOKUP(M13,_VRF!$A$39:$G$48,2,FALSE))</f>
        <v xml:space="preserve">0 - Electrical power supply and controls to 1 (one) </v>
      </c>
      <c r="AQ13" s="114" t="str">
        <f t="shared" si="10"/>
        <v xml:space="preserve"> </v>
      </c>
      <c r="AR13" s="114" t="str">
        <f t="shared" si="11"/>
        <v/>
      </c>
      <c r="AS13" s="114" t="e">
        <f t="shared" si="12"/>
        <v>#N/A</v>
      </c>
      <c r="AT13" s="114" t="e">
        <f t="shared" si="15"/>
        <v>#N/A</v>
      </c>
      <c r="AU13" s="114" t="str">
        <f t="shared" si="13"/>
        <v>0.1 - This includes supply and install of power and controls.</v>
      </c>
      <c r="AV13" s="114" t="str">
        <f>_xlfn.CONCAT(AN13,".2 - Power for system includes: ",VLOOKUP(L13,_VRF!L:O,4,FALSE))</f>
        <v xml:space="preserve">0.2 - Power for system includes: CB and cabling to unit from MSSB, and local isolator, </v>
      </c>
      <c r="AW13" s="114" t="e">
        <f t="shared" si="14"/>
        <v>#N/A</v>
      </c>
      <c r="AX13" s="114" t="str">
        <f>_xlfn.CONCAT(
IF(M13="Yes",VLOOKUP(M$1,_VRF!L:Z,4,FALSE),""),
IF(N13="Yes",VLOOKUP(N$1,_VRF!L:Z,4,FALSE),""),
IF(O13="Yes",VLOOKUP(O$1,_VRF!L:Z,4,FALSE),""),
IF(P13="Yes",VLOOKUP(P$1,_VRF!L:Z,4,FALSE),""),
IF(Q13="Yes",VLOOKUP(Q$1,_VRF!L:Z,4,FALSE),""),
IF(R13="Yes",VLOOKUP(R$1,_VRF!L:Z,4,FALSE),""))</f>
        <v/>
      </c>
    </row>
    <row r="14" spans="1:50" x14ac:dyDescent="0.4">
      <c r="A14" s="431" t="str">
        <f t="shared" si="0"/>
        <v>INVALID</v>
      </c>
      <c r="B14" s="432" t="str">
        <f t="shared" si="5"/>
        <v>VRF 13</v>
      </c>
      <c r="C14" s="433" t="e">
        <f t="shared" si="6"/>
        <v>#N/A</v>
      </c>
      <c r="D14" s="432" t="e">
        <f t="shared" si="7"/>
        <v>#N/A</v>
      </c>
      <c r="E14" s="432">
        <v>1</v>
      </c>
      <c r="F14" s="432">
        <f t="shared" si="1"/>
        <v>20</v>
      </c>
      <c r="G14" s="442"/>
      <c r="H14" s="443"/>
      <c r="I14" s="442" t="e">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#N/A</v>
      </c>
      <c r="J14" s="443" t="e">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#N/A</v>
      </c>
      <c r="K14" s="432" t="e">
        <f>_xlfn.CONCAT(VLOOKUP(M14,_VRF!$A$39:$C$44,3,FALSE), "-",
IF(N14="Yes", 1, 0)*X14, IF(O14="Yes", 1, 0)*Y14, IF(P14="Yes", 1, 0)*Z14, AA14*IF(Q14="Yes", 1, 0),IF(R14="Yes", 1, 0)*AB14,IF(W14 = 1, IF(L14="Local", "-L", "-M"),""))</f>
        <v>#N/A</v>
      </c>
      <c r="L14" s="434" t="s">
        <v>679</v>
      </c>
      <c r="M14" s="434"/>
      <c r="N14" s="442"/>
      <c r="O14" s="444"/>
      <c r="P14" s="444"/>
      <c r="Q14" s="444"/>
      <c r="R14" s="443"/>
      <c r="W14" s="114" t="e">
        <f>VLOOKUP($M14,_VRF!$A$26:$G$31, 2, FALSE)</f>
        <v>#N/A</v>
      </c>
      <c r="X14" s="114" t="e">
        <f>VLOOKUP($M14,_VRF!$A$26:$G$31, 3, FALSE)</f>
        <v>#N/A</v>
      </c>
      <c r="Y14" s="114" t="e">
        <f>VLOOKUP($M14,_VRF!$A$26:$G$31, 4, FALSE)</f>
        <v>#N/A</v>
      </c>
      <c r="Z14" s="114" t="e">
        <f>VLOOKUP($M14,_VRF!$A$26:$G$31, 5, FALSE)</f>
        <v>#N/A</v>
      </c>
      <c r="AA14" s="114" t="e">
        <f>VLOOKUP($M14,_VRF!$A$26:$G$31, 6, FALSE)</f>
        <v>#N/A</v>
      </c>
      <c r="AB14" s="114" t="e">
        <f>VLOOKUP($M14,_VRF!$A$26:$G$31, 7, FALSE)</f>
        <v>#N/A</v>
      </c>
      <c r="AD14" s="114" t="e">
        <f t="shared" si="8"/>
        <v>#N/A</v>
      </c>
      <c r="AE14" s="114">
        <f t="shared" si="9"/>
        <v>0</v>
      </c>
      <c r="AF14" s="114">
        <f t="shared" si="2"/>
        <v>0</v>
      </c>
      <c r="AG14" s="114">
        <f t="shared" si="2"/>
        <v>0</v>
      </c>
      <c r="AH14" s="114">
        <f t="shared" si="2"/>
        <v>0</v>
      </c>
      <c r="AI14" s="114">
        <f t="shared" si="2"/>
        <v>0</v>
      </c>
      <c r="AM14" s="434" t="str">
        <f t="shared" si="3"/>
        <v/>
      </c>
      <c r="AN14" s="114">
        <f t="shared" si="4"/>
        <v>0</v>
      </c>
      <c r="AO14" s="114" t="str">
        <f>_xlfn.CONCAT(E14," (",VLOOKUP(E14,[2]Backend!C:D,2,FALSE),")")</f>
        <v>1 (one)</v>
      </c>
      <c r="AP14" s="114" t="str">
        <f>_xlfn.CONCAT(AN14," - Electrical power supply and controls to ",AO14," ",VLOOKUP(M14,_VRF!$A$39:$G$48,2,FALSE))</f>
        <v xml:space="preserve">0 - Electrical power supply and controls to 1 (one) </v>
      </c>
      <c r="AQ14" s="114" t="str">
        <f t="shared" si="10"/>
        <v xml:space="preserve"> </v>
      </c>
      <c r="AR14" s="114" t="str">
        <f t="shared" si="11"/>
        <v/>
      </c>
      <c r="AS14" s="114" t="e">
        <f t="shared" si="12"/>
        <v>#N/A</v>
      </c>
      <c r="AT14" s="114" t="e">
        <f t="shared" si="15"/>
        <v>#N/A</v>
      </c>
      <c r="AU14" s="114" t="str">
        <f t="shared" si="13"/>
        <v>0.1 - This includes supply and install of power and controls.</v>
      </c>
      <c r="AV14" s="114" t="str">
        <f>_xlfn.CONCAT(AN14,".2 - Power for system includes: ",VLOOKUP(L14,_VRF!L:O,4,FALSE))</f>
        <v xml:space="preserve">0.2 - Power for system includes: CB and cabling to unit from MSSB, and local isolator, </v>
      </c>
      <c r="AW14" s="114" t="e">
        <f t="shared" si="14"/>
        <v>#N/A</v>
      </c>
      <c r="AX14" s="114" t="str">
        <f>_xlfn.CONCAT(
IF(M14="Yes",VLOOKUP(M$1,_VRF!L:Z,4,FALSE),""),
IF(N14="Yes",VLOOKUP(N$1,_VRF!L:Z,4,FALSE),""),
IF(O14="Yes",VLOOKUP(O$1,_VRF!L:Z,4,FALSE),""),
IF(P14="Yes",VLOOKUP(P$1,_VRF!L:Z,4,FALSE),""),
IF(Q14="Yes",VLOOKUP(Q$1,_VRF!L:Z,4,FALSE),""),
IF(R14="Yes",VLOOKUP(R$1,_VRF!L:Z,4,FALSE),""))</f>
        <v/>
      </c>
    </row>
    <row r="15" spans="1:50" x14ac:dyDescent="0.4">
      <c r="A15" s="431" t="str">
        <f t="shared" si="0"/>
        <v>INVALID</v>
      </c>
      <c r="B15" s="432" t="str">
        <f t="shared" si="5"/>
        <v>VRF 14</v>
      </c>
      <c r="C15" s="433" t="e">
        <f t="shared" si="6"/>
        <v>#N/A</v>
      </c>
      <c r="D15" s="432" t="e">
        <f t="shared" si="7"/>
        <v>#N/A</v>
      </c>
      <c r="E15" s="432">
        <v>1</v>
      </c>
      <c r="F15" s="432">
        <f t="shared" si="1"/>
        <v>20</v>
      </c>
      <c r="G15" s="442"/>
      <c r="H15" s="443"/>
      <c r="I15" s="442" t="e">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#N/A</v>
      </c>
      <c r="J15" s="443" t="e">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#N/A</v>
      </c>
      <c r="K15" s="432" t="e">
        <f>_xlfn.CONCAT(VLOOKUP(M15,_VRF!$A$39:$C$44,3,FALSE), "-",
IF(N15="Yes", 1, 0)*X15, IF(O15="Yes", 1, 0)*Y15, IF(P15="Yes", 1, 0)*Z15, AA15*IF(Q15="Yes", 1, 0),IF(R15="Yes", 1, 0)*AB15,IF(W15 = 1, IF(L15="Local", "-L", "-M"),""))</f>
        <v>#N/A</v>
      </c>
      <c r="L15" s="434" t="s">
        <v>679</v>
      </c>
      <c r="M15" s="434"/>
      <c r="N15" s="442"/>
      <c r="O15" s="444"/>
      <c r="P15" s="444"/>
      <c r="Q15" s="444"/>
      <c r="R15" s="443"/>
      <c r="W15" s="114" t="e">
        <f>VLOOKUP($M15,_VRF!$A$26:$G$31, 2, FALSE)</f>
        <v>#N/A</v>
      </c>
      <c r="X15" s="114" t="e">
        <f>VLOOKUP($M15,_VRF!$A$26:$G$31, 3, FALSE)</f>
        <v>#N/A</v>
      </c>
      <c r="Y15" s="114" t="e">
        <f>VLOOKUP($M15,_VRF!$A$26:$G$31, 4, FALSE)</f>
        <v>#N/A</v>
      </c>
      <c r="Z15" s="114" t="e">
        <f>VLOOKUP($M15,_VRF!$A$26:$G$31, 5, FALSE)</f>
        <v>#N/A</v>
      </c>
      <c r="AA15" s="114" t="e">
        <f>VLOOKUP($M15,_VRF!$A$26:$G$31, 6, FALSE)</f>
        <v>#N/A</v>
      </c>
      <c r="AB15" s="114" t="e">
        <f>VLOOKUP($M15,_VRF!$A$26:$G$31, 7, FALSE)</f>
        <v>#N/A</v>
      </c>
      <c r="AD15" s="114" t="e">
        <f t="shared" si="8"/>
        <v>#N/A</v>
      </c>
      <c r="AE15" s="114">
        <f t="shared" si="9"/>
        <v>0</v>
      </c>
      <c r="AF15" s="114">
        <f t="shared" si="2"/>
        <v>0</v>
      </c>
      <c r="AG15" s="114">
        <f t="shared" si="2"/>
        <v>0</v>
      </c>
      <c r="AH15" s="114">
        <f t="shared" si="2"/>
        <v>0</v>
      </c>
      <c r="AI15" s="114">
        <f t="shared" si="2"/>
        <v>0</v>
      </c>
      <c r="AM15" s="434" t="str">
        <f t="shared" si="3"/>
        <v/>
      </c>
      <c r="AN15" s="114">
        <f t="shared" si="4"/>
        <v>0</v>
      </c>
      <c r="AO15" s="114" t="str">
        <f>_xlfn.CONCAT(E15," (",VLOOKUP(E15,[2]Backend!C:D,2,FALSE),")")</f>
        <v>1 (one)</v>
      </c>
      <c r="AP15" s="114" t="str">
        <f>_xlfn.CONCAT(AN15," - Electrical power supply and controls to ",AO15," ",VLOOKUP(M15,_VRF!$A$39:$G$48,2,FALSE))</f>
        <v xml:space="preserve">0 - Electrical power supply and controls to 1 (one) </v>
      </c>
      <c r="AQ15" s="114" t="str">
        <f t="shared" si="10"/>
        <v xml:space="preserve"> </v>
      </c>
      <c r="AR15" s="114" t="str">
        <f t="shared" si="11"/>
        <v/>
      </c>
      <c r="AS15" s="114" t="e">
        <f t="shared" si="12"/>
        <v>#N/A</v>
      </c>
      <c r="AT15" s="114" t="e">
        <f t="shared" si="15"/>
        <v>#N/A</v>
      </c>
      <c r="AU15" s="114" t="str">
        <f t="shared" si="13"/>
        <v>0.1 - This includes supply and install of power and controls.</v>
      </c>
      <c r="AV15" s="114" t="str">
        <f>_xlfn.CONCAT(AN15,".2 - Power for system includes: ",VLOOKUP(L15,_VRF!L:O,4,FALSE))</f>
        <v xml:space="preserve">0.2 - Power for system includes: CB and cabling to unit from MSSB, and local isolator, </v>
      </c>
      <c r="AW15" s="114" t="e">
        <f t="shared" si="14"/>
        <v>#N/A</v>
      </c>
      <c r="AX15" s="114" t="str">
        <f>_xlfn.CONCAT(
IF(M15="Yes",VLOOKUP(M$1,_VRF!L:Z,4,FALSE),""),
IF(N15="Yes",VLOOKUP(N$1,_VRF!L:Z,4,FALSE),""),
IF(O15="Yes",VLOOKUP(O$1,_VRF!L:Z,4,FALSE),""),
IF(P15="Yes",VLOOKUP(P$1,_VRF!L:Z,4,FALSE),""),
IF(Q15="Yes",VLOOKUP(Q$1,_VRF!L:Z,4,FALSE),""),
IF(R15="Yes",VLOOKUP(R$1,_VRF!L:Z,4,FALSE),""))</f>
        <v/>
      </c>
    </row>
    <row r="16" spans="1:50" x14ac:dyDescent="0.4">
      <c r="A16" s="431" t="str">
        <f t="shared" si="0"/>
        <v>INVALID</v>
      </c>
      <c r="B16" s="432" t="str">
        <f t="shared" si="5"/>
        <v>VRF 15</v>
      </c>
      <c r="C16" s="433" t="e">
        <f t="shared" si="6"/>
        <v>#N/A</v>
      </c>
      <c r="D16" s="432" t="e">
        <f t="shared" si="7"/>
        <v>#N/A</v>
      </c>
      <c r="E16" s="432">
        <v>1</v>
      </c>
      <c r="F16" s="432">
        <f t="shared" si="1"/>
        <v>20</v>
      </c>
      <c r="G16" s="442"/>
      <c r="H16" s="443"/>
      <c r="I16" s="442"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3"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2" t="e">
        <f>_xlfn.CONCAT(VLOOKUP(M16,_VRF!$A$39:$C$44,3,FALSE), "-",
IF(N16="Yes", 1, 0)*X16, IF(O16="Yes", 1, 0)*Y16, IF(P16="Yes", 1, 0)*Z16, AA16*IF(Q16="Yes", 1, 0),IF(R16="Yes", 1, 0)*AB16,IF(W16 = 1, IF(L16="Local", "-L", "-M"),""))</f>
        <v>#N/A</v>
      </c>
      <c r="L16" s="434" t="s">
        <v>679</v>
      </c>
      <c r="M16" s="434"/>
      <c r="N16" s="442"/>
      <c r="O16" s="444"/>
      <c r="P16" s="444"/>
      <c r="Q16" s="444"/>
      <c r="R16" s="443"/>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si="8"/>
        <v>#N/A</v>
      </c>
      <c r="AE16" s="114">
        <f t="shared" si="9"/>
        <v>0</v>
      </c>
      <c r="AF16" s="114">
        <f t="shared" si="2"/>
        <v>0</v>
      </c>
      <c r="AG16" s="114">
        <f t="shared" si="2"/>
        <v>0</v>
      </c>
      <c r="AH16" s="114">
        <f t="shared" si="2"/>
        <v>0</v>
      </c>
      <c r="AI16" s="114">
        <f t="shared" si="2"/>
        <v>0</v>
      </c>
      <c r="AM16" s="434" t="str">
        <f t="shared" si="3"/>
        <v/>
      </c>
      <c r="AN16" s="114">
        <f t="shared" si="4"/>
        <v>0</v>
      </c>
      <c r="AO16" s="114" t="str">
        <f>_xlfn.CONCAT(E16," (",VLOOKUP(E16,[2]Backend!C:D,2,FALSE),")")</f>
        <v>1 (one)</v>
      </c>
      <c r="AP16" s="114" t="str">
        <f>_xlfn.CONCAT(AN16," - Electrical power supply and controls to ",AO16," ",VLOOKUP(M16,_VRF!$A$39:$G$48,2,FALSE))</f>
        <v xml:space="preserve">0 - Electrical power supply and controls to 1 (one) </v>
      </c>
      <c r="AQ16" s="114" t="str">
        <f t="shared" si="10"/>
        <v xml:space="preserve"> </v>
      </c>
      <c r="AR16" s="114" t="str">
        <f t="shared" si="11"/>
        <v/>
      </c>
      <c r="AS16" s="114" t="e">
        <f t="shared" si="12"/>
        <v>#N/A</v>
      </c>
      <c r="AT16" s="114" t="e">
        <f t="shared" si="15"/>
        <v>#N/A</v>
      </c>
      <c r="AU16" s="114" t="str">
        <f t="shared" si="13"/>
        <v>0.1 - This includes supply and install of power and controls.</v>
      </c>
      <c r="AV16" s="114" t="str">
        <f>_xlfn.CONCAT(AN16,".2 - Power for system includes: ",VLOOKUP(L16,_VRF!L:O,4,FALSE))</f>
        <v xml:space="preserve">0.2 - Power for system includes: CB and cabling to unit from MSSB, and local isolator, </v>
      </c>
      <c r="AW16" s="114" t="e">
        <f t="shared" si="14"/>
        <v>#N/A</v>
      </c>
      <c r="AX16" s="114" t="str">
        <f>_xlfn.CONCAT(
IF(M16="Yes",VLOOKUP(M$1,_VRF!L:Z,4,FALSE),""),
IF(N16="Yes",VLOOKUP(N$1,_VRF!L:Z,4,FALSE),""),
IF(O16="Yes",VLOOKUP(O$1,_VRF!L:Z,4,FALSE),""),
IF(P16="Yes",VLOOKUP(P$1,_VRF!L:Z,4,FALSE),""),
IF(Q16="Yes",VLOOKUP(Q$1,_VRF!L:Z,4,FALSE),""),
IF(R16="Yes",VLOOKUP(R$1,_VRF!L:Z,4,FALSE),""))</f>
        <v/>
      </c>
    </row>
    <row r="17" spans="1:50" x14ac:dyDescent="0.4">
      <c r="A17" s="431" t="str">
        <f t="shared" si="0"/>
        <v>INVALID</v>
      </c>
      <c r="B17" s="432" t="str">
        <f t="shared" si="5"/>
        <v>VRF 16</v>
      </c>
      <c r="C17" s="433" t="e">
        <f t="shared" si="6"/>
        <v>#N/A</v>
      </c>
      <c r="D17" s="432" t="e">
        <f t="shared" si="7"/>
        <v>#N/A</v>
      </c>
      <c r="E17" s="432">
        <v>1</v>
      </c>
      <c r="F17" s="432">
        <f t="shared" si="1"/>
        <v>20</v>
      </c>
      <c r="G17" s="442"/>
      <c r="H17" s="443"/>
      <c r="I17" s="442"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3"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2" t="e">
        <f>_xlfn.CONCAT(VLOOKUP(M17,_VRF!$A$39:$C$44,3,FALSE), "-",
IF(N17="Yes", 1, 0)*X17, IF(O17="Yes", 1, 0)*Y17, IF(P17="Yes", 1, 0)*Z17, AA17*IF(Q17="Yes", 1, 0),IF(R17="Yes", 1, 0)*AB17,IF(W17 = 1, IF(L17="Local", "-L", "-M"),""))</f>
        <v>#N/A</v>
      </c>
      <c r="L17" s="434" t="s">
        <v>679</v>
      </c>
      <c r="M17" s="434"/>
      <c r="N17" s="442"/>
      <c r="O17" s="444"/>
      <c r="P17" s="444"/>
      <c r="Q17" s="444"/>
      <c r="R17" s="443"/>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8"/>
        <v>#N/A</v>
      </c>
      <c r="AE17" s="114">
        <f t="shared" si="9"/>
        <v>0</v>
      </c>
      <c r="AF17" s="114">
        <f t="shared" si="2"/>
        <v>0</v>
      </c>
      <c r="AG17" s="114">
        <f t="shared" si="2"/>
        <v>0</v>
      </c>
      <c r="AH17" s="114">
        <f t="shared" si="2"/>
        <v>0</v>
      </c>
      <c r="AI17" s="114">
        <f t="shared" si="2"/>
        <v>0</v>
      </c>
      <c r="AM17" s="434" t="str">
        <f t="shared" si="3"/>
        <v/>
      </c>
      <c r="AN17" s="114">
        <f t="shared" si="4"/>
        <v>0</v>
      </c>
      <c r="AO17" s="114" t="str">
        <f>_xlfn.CONCAT(E17," (",VLOOKUP(E17,[2]Backend!C:D,2,FALSE),")")</f>
        <v>1 (one)</v>
      </c>
      <c r="AP17" s="114" t="str">
        <f>_xlfn.CONCAT(AN17," - Electrical power supply and controls to ",AO17," ",VLOOKUP(M17,_VRF!$A$39:$G$48,2,FALSE))</f>
        <v xml:space="preserve">0 - Electrical power supply and controls to 1 (one) </v>
      </c>
      <c r="AQ17" s="114" t="str">
        <f t="shared" si="10"/>
        <v xml:space="preserve"> </v>
      </c>
      <c r="AR17" s="114" t="str">
        <f t="shared" si="11"/>
        <v/>
      </c>
      <c r="AS17" s="114" t="e">
        <f t="shared" si="12"/>
        <v>#N/A</v>
      </c>
      <c r="AT17" s="114" t="e">
        <f t="shared" si="15"/>
        <v>#N/A</v>
      </c>
      <c r="AU17" s="114" t="str">
        <f t="shared" si="13"/>
        <v>0.1 - This includes supply and install of power and controls.</v>
      </c>
      <c r="AV17" s="114" t="str">
        <f>_xlfn.CONCAT(AN17,".2 - Power for system includes: ",VLOOKUP(L17,_VRF!L:O,4,FALSE))</f>
        <v xml:space="preserve">0.2 - Power for system includes: CB and cabling to unit from MSSB, and local isolator, </v>
      </c>
      <c r="AW17" s="114" t="e">
        <f t="shared" si="14"/>
        <v>#N/A</v>
      </c>
      <c r="AX17" s="114" t="str">
        <f>_xlfn.CONCAT(
IF(M17="Yes",VLOOKUP(M$1,_VRF!L:Z,4,FALSE),""),
IF(N17="Yes",VLOOKUP(N$1,_VRF!L:Z,4,FALSE),""),
IF(O17="Yes",VLOOKUP(O$1,_VRF!L:Z,4,FALSE),""),
IF(P17="Yes",VLOOKUP(P$1,_VRF!L:Z,4,FALSE),""),
IF(Q17="Yes",VLOOKUP(Q$1,_VRF!L:Z,4,FALSE),""),
IF(R17="Yes",VLOOKUP(R$1,_VRF!L:Z,4,FALSE),""))</f>
        <v/>
      </c>
    </row>
    <row r="18" spans="1:50" x14ac:dyDescent="0.4">
      <c r="A18" s="431" t="str">
        <f t="shared" si="0"/>
        <v>INVALID</v>
      </c>
      <c r="B18" s="432" t="str">
        <f t="shared" si="5"/>
        <v>VRF 17</v>
      </c>
      <c r="C18" s="433" t="e">
        <f t="shared" si="6"/>
        <v>#N/A</v>
      </c>
      <c r="D18" s="432" t="e">
        <f t="shared" si="7"/>
        <v>#N/A</v>
      </c>
      <c r="E18" s="432">
        <v>1</v>
      </c>
      <c r="F18" s="432">
        <f t="shared" si="1"/>
        <v>20</v>
      </c>
      <c r="G18" s="442"/>
      <c r="H18" s="443"/>
      <c r="I18" s="442"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3"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2" t="e">
        <f>_xlfn.CONCAT(VLOOKUP(M18,_VRF!$A$39:$C$44,3,FALSE), "-",
IF(N18="Yes", 1, 0)*X18, IF(O18="Yes", 1, 0)*Y18, IF(P18="Yes", 1, 0)*Z18, AA18*IF(Q18="Yes", 1, 0),IF(R18="Yes", 1, 0)*AB18,IF(W18 = 1, IF(L18="Local", "-L", "-M"),""))</f>
        <v>#N/A</v>
      </c>
      <c r="L18" s="434" t="s">
        <v>679</v>
      </c>
      <c r="M18" s="434"/>
      <c r="N18" s="442"/>
      <c r="O18" s="444"/>
      <c r="P18" s="444"/>
      <c r="Q18" s="444"/>
      <c r="R18" s="443"/>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8"/>
        <v>#N/A</v>
      </c>
      <c r="AE18" s="114">
        <f t="shared" si="9"/>
        <v>0</v>
      </c>
      <c r="AF18" s="114">
        <f t="shared" si="9"/>
        <v>0</v>
      </c>
      <c r="AG18" s="114">
        <f t="shared" si="9"/>
        <v>0</v>
      </c>
      <c r="AH18" s="114">
        <f t="shared" si="9"/>
        <v>0</v>
      </c>
      <c r="AI18" s="114">
        <f t="shared" si="9"/>
        <v>0</v>
      </c>
      <c r="AM18" s="434" t="str">
        <f t="shared" si="3"/>
        <v/>
      </c>
      <c r="AN18" s="114">
        <f t="shared" si="4"/>
        <v>0</v>
      </c>
      <c r="AO18" s="114" t="str">
        <f>_xlfn.CONCAT(E18," (",VLOOKUP(E18,[2]Backend!C:D,2,FALSE),")")</f>
        <v>1 (one)</v>
      </c>
      <c r="AP18" s="114" t="str">
        <f>_xlfn.CONCAT(AN18," - Electrical power supply and controls to ",AO18," ",VLOOKUP(M18,_VRF!$A$39:$G$48,2,FALSE))</f>
        <v xml:space="preserve">0 - Electrical power supply and controls to 1 (one) </v>
      </c>
      <c r="AQ18" s="114" t="str">
        <f t="shared" si="10"/>
        <v xml:space="preserve"> </v>
      </c>
      <c r="AR18" s="114" t="str">
        <f t="shared" si="11"/>
        <v/>
      </c>
      <c r="AS18" s="114" t="e">
        <f t="shared" si="12"/>
        <v>#N/A</v>
      </c>
      <c r="AT18" s="114" t="e">
        <f t="shared" si="15"/>
        <v>#N/A</v>
      </c>
      <c r="AU18" s="114" t="str">
        <f t="shared" si="13"/>
        <v>0.1 - This includes supply and install of power and controls.</v>
      </c>
      <c r="AV18" s="114" t="str">
        <f>_xlfn.CONCAT(AN18,".2 - Power for system includes: ",VLOOKUP(L18,_VRF!L:O,4,FALSE))</f>
        <v xml:space="preserve">0.2 - Power for system includes: CB and cabling to unit from MSSB, and local isolator, </v>
      </c>
      <c r="AW18" s="114" t="e">
        <f t="shared" si="14"/>
        <v>#N/A</v>
      </c>
      <c r="AX18" s="114" t="str">
        <f>_xlfn.CONCAT(
IF(M18="Yes",VLOOKUP(M$1,_VRF!L:Z,4,FALSE),""),
IF(N18="Yes",VLOOKUP(N$1,_VRF!L:Z,4,FALSE),""),
IF(O18="Yes",VLOOKUP(O$1,_VRF!L:Z,4,FALSE),""),
IF(P18="Yes",VLOOKUP(P$1,_VRF!L:Z,4,FALSE),""),
IF(Q18="Yes",VLOOKUP(Q$1,_VRF!L:Z,4,FALSE),""),
IF(R18="Yes",VLOOKUP(R$1,_VRF!L:Z,4,FALSE),""))</f>
        <v/>
      </c>
    </row>
    <row r="19" spans="1:50" x14ac:dyDescent="0.4">
      <c r="A19" s="431" t="str">
        <f t="shared" si="0"/>
        <v>INVALID</v>
      </c>
      <c r="B19" s="432" t="str">
        <f t="shared" si="5"/>
        <v>VRF 18</v>
      </c>
      <c r="C19" s="433" t="e">
        <f t="shared" si="6"/>
        <v>#N/A</v>
      </c>
      <c r="D19" s="432" t="e">
        <f t="shared" si="7"/>
        <v>#N/A</v>
      </c>
      <c r="E19" s="432">
        <v>1</v>
      </c>
      <c r="F19" s="432">
        <f t="shared" si="1"/>
        <v>20</v>
      </c>
      <c r="G19" s="442"/>
      <c r="H19" s="443"/>
      <c r="I19" s="442"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3"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2" t="e">
        <f>_xlfn.CONCAT(VLOOKUP(M19,_VRF!$A$39:$C$44,3,FALSE), "-",
IF(N19="Yes", 1, 0)*X19, IF(O19="Yes", 1, 0)*Y19, IF(P19="Yes", 1, 0)*Z19, AA19*IF(Q19="Yes", 1, 0),IF(R19="Yes", 1, 0)*AB19,IF(W19 = 1, IF(L19="Local", "-L", "-M"),""))</f>
        <v>#N/A</v>
      </c>
      <c r="L19" s="434" t="s">
        <v>679</v>
      </c>
      <c r="M19" s="434"/>
      <c r="N19" s="442"/>
      <c r="O19" s="444"/>
      <c r="P19" s="444"/>
      <c r="Q19" s="444"/>
      <c r="R19" s="443"/>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8"/>
        <v>#N/A</v>
      </c>
      <c r="AE19" s="114">
        <f t="shared" si="9"/>
        <v>0</v>
      </c>
      <c r="AF19" s="114">
        <f t="shared" si="9"/>
        <v>0</v>
      </c>
      <c r="AG19" s="114">
        <f t="shared" si="9"/>
        <v>0</v>
      </c>
      <c r="AH19" s="114">
        <f t="shared" si="9"/>
        <v>0</v>
      </c>
      <c r="AI19" s="114">
        <f t="shared" si="9"/>
        <v>0</v>
      </c>
      <c r="AM19" s="434" t="str">
        <f t="shared" si="3"/>
        <v/>
      </c>
      <c r="AN19" s="114">
        <f t="shared" si="4"/>
        <v>0</v>
      </c>
      <c r="AO19" s="114" t="str">
        <f>_xlfn.CONCAT(E19," (",VLOOKUP(E19,[2]Backend!C:D,2,FALSE),")")</f>
        <v>1 (one)</v>
      </c>
      <c r="AP19" s="114" t="str">
        <f>_xlfn.CONCAT(AN19," - Electrical power supply and controls to ",AO19," ",VLOOKUP(M19,_VRF!$A$39:$G$48,2,FALSE))</f>
        <v xml:space="preserve">0 - Electrical power supply and controls to 1 (one) </v>
      </c>
      <c r="AQ19" s="114" t="str">
        <f t="shared" si="10"/>
        <v xml:space="preserve"> </v>
      </c>
      <c r="AR19" s="114" t="str">
        <f t="shared" si="11"/>
        <v/>
      </c>
      <c r="AS19" s="114" t="e">
        <f t="shared" si="12"/>
        <v>#N/A</v>
      </c>
      <c r="AT19" s="114" t="e">
        <f t="shared" si="15"/>
        <v>#N/A</v>
      </c>
      <c r="AU19" s="114" t="str">
        <f t="shared" si="13"/>
        <v>0.1 - This includes supply and install of power and controls.</v>
      </c>
      <c r="AV19" s="114" t="str">
        <f>_xlfn.CONCAT(AN19,".2 - Power for system includes: ",VLOOKUP(L19,_VRF!L:O,4,FALSE))</f>
        <v xml:space="preserve">0.2 - Power for system includes: CB and cabling to unit from MSSB, and local isolator, </v>
      </c>
      <c r="AW19" s="114" t="e">
        <f t="shared" si="14"/>
        <v>#N/A</v>
      </c>
      <c r="AX19" s="114" t="str">
        <f>_xlfn.CONCAT(
IF(M19="Yes",VLOOKUP(M$1,_VRF!L:Z,4,FALSE),""),
IF(N19="Yes",VLOOKUP(N$1,_VRF!L:Z,4,FALSE),""),
IF(O19="Yes",VLOOKUP(O$1,_VRF!L:Z,4,FALSE),""),
IF(P19="Yes",VLOOKUP(P$1,_VRF!L:Z,4,FALSE),""),
IF(Q19="Yes",VLOOKUP(Q$1,_VRF!L:Z,4,FALSE),""),
IF(R19="Yes",VLOOKUP(R$1,_VRF!L:Z,4,FALSE),""))</f>
        <v/>
      </c>
    </row>
    <row r="20" spans="1:50" x14ac:dyDescent="0.4">
      <c r="A20" s="431" t="str">
        <f t="shared" si="0"/>
        <v>INVALID</v>
      </c>
      <c r="B20" s="432" t="str">
        <f t="shared" si="5"/>
        <v>VRF 19</v>
      </c>
      <c r="C20" s="433" t="e">
        <f t="shared" si="6"/>
        <v>#N/A</v>
      </c>
      <c r="D20" s="432" t="e">
        <f t="shared" si="7"/>
        <v>#N/A</v>
      </c>
      <c r="E20" s="432">
        <v>1</v>
      </c>
      <c r="F20" s="432">
        <f t="shared" si="1"/>
        <v>20</v>
      </c>
      <c r="G20" s="442"/>
      <c r="H20" s="443"/>
      <c r="I20" s="442"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3"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2" t="e">
        <f>_xlfn.CONCAT(VLOOKUP(M20,_VRF!$A$39:$C$44,3,FALSE), "-",
IF(N20="Yes", 1, 0)*X20, IF(O20="Yes", 1, 0)*Y20, IF(P20="Yes", 1, 0)*Z20, AA20*IF(Q20="Yes", 1, 0),IF(R20="Yes", 1, 0)*AB20,IF(W20 = 1, IF(L20="Local", "-L", "-M"),""))</f>
        <v>#N/A</v>
      </c>
      <c r="L20" s="434" t="s">
        <v>679</v>
      </c>
      <c r="M20" s="434"/>
      <c r="N20" s="442"/>
      <c r="O20" s="444"/>
      <c r="P20" s="444"/>
      <c r="Q20" s="444"/>
      <c r="R20" s="443"/>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8"/>
        <v>#N/A</v>
      </c>
      <c r="AE20" s="114">
        <f t="shared" ref="AE20:AI23" si="16">IF(N20="Yes",X20, 0)</f>
        <v>0</v>
      </c>
      <c r="AF20" s="114">
        <f t="shared" si="16"/>
        <v>0</v>
      </c>
      <c r="AG20" s="114">
        <f t="shared" si="16"/>
        <v>0</v>
      </c>
      <c r="AH20" s="114">
        <f t="shared" si="16"/>
        <v>0</v>
      </c>
      <c r="AI20" s="114">
        <f t="shared" si="16"/>
        <v>0</v>
      </c>
      <c r="AM20" s="434" t="str">
        <f t="shared" si="3"/>
        <v/>
      </c>
      <c r="AN20" s="114">
        <f t="shared" si="4"/>
        <v>0</v>
      </c>
      <c r="AO20" s="114" t="str">
        <f>_xlfn.CONCAT(E20," (",VLOOKUP(E20,[2]Backend!C:D,2,FALSE),")")</f>
        <v>1 (one)</v>
      </c>
      <c r="AP20" s="114" t="str">
        <f>_xlfn.CONCAT(AN20," - Electrical power supply and controls to ",AO20," ",VLOOKUP(M20,_VRF!$A$39:$G$48,2,FALSE))</f>
        <v xml:space="preserve">0 - Electrical power supply and controls to 1 (one) </v>
      </c>
      <c r="AQ20" s="114" t="str">
        <f t="shared" si="10"/>
        <v xml:space="preserve"> </v>
      </c>
      <c r="AR20" s="114" t="str">
        <f t="shared" si="11"/>
        <v/>
      </c>
      <c r="AS20" s="114" t="e">
        <f t="shared" si="12"/>
        <v>#N/A</v>
      </c>
      <c r="AT20" s="114" t="e">
        <f t="shared" si="15"/>
        <v>#N/A</v>
      </c>
      <c r="AU20" s="114" t="str">
        <f t="shared" si="13"/>
        <v>0.1 - This includes supply and install of power and controls.</v>
      </c>
      <c r="AV20" s="114" t="str">
        <f>_xlfn.CONCAT(AN20,".2 - Power for system includes: ",VLOOKUP(L20,_VRF!L:O,4,FALSE))</f>
        <v xml:space="preserve">0.2 - Power for system includes: CB and cabling to unit from MSSB, and local isolator, </v>
      </c>
      <c r="AW20" s="114" t="e">
        <f t="shared" si="14"/>
        <v>#N/A</v>
      </c>
      <c r="AX20" s="114" t="str">
        <f>_xlfn.CONCAT(
IF(M20="Yes",VLOOKUP(M$1,_VRF!L:Z,4,FALSE),""),
IF(N20="Yes",VLOOKUP(N$1,_VRF!L:Z,4,FALSE),""),
IF(O20="Yes",VLOOKUP(O$1,_VRF!L:Z,4,FALSE),""),
IF(P20="Yes",VLOOKUP(P$1,_VRF!L:Z,4,FALSE),""),
IF(Q20="Yes",VLOOKUP(Q$1,_VRF!L:Z,4,FALSE),""),
IF(R20="Yes",VLOOKUP(R$1,_VRF!L:Z,4,FALSE),""))</f>
        <v/>
      </c>
    </row>
    <row r="21" spans="1:50" x14ac:dyDescent="0.4">
      <c r="A21" s="431" t="str">
        <f t="shared" si="0"/>
        <v>INVALID</v>
      </c>
      <c r="B21" s="432" t="str">
        <f t="shared" si="5"/>
        <v>VRF 20</v>
      </c>
      <c r="C21" s="433" t="e">
        <f t="shared" si="6"/>
        <v>#N/A</v>
      </c>
      <c r="D21" s="432" t="e">
        <f t="shared" si="7"/>
        <v>#N/A</v>
      </c>
      <c r="E21" s="432">
        <v>1</v>
      </c>
      <c r="F21" s="432">
        <f t="shared" si="1"/>
        <v>20</v>
      </c>
      <c r="G21" s="442"/>
      <c r="H21" s="443"/>
      <c r="I21" s="442"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3"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2" t="e">
        <f>_xlfn.CONCAT(VLOOKUP(M21,_VRF!$A$39:$C$44,3,FALSE), "-",
IF(N21="Yes", 1, 0)*X21, IF(O21="Yes", 1, 0)*Y21, IF(P21="Yes", 1, 0)*Z21, AA21*IF(Q21="Yes", 1, 0),IF(R21="Yes", 1, 0)*AB21,IF(W21 = 1, IF(L21="Local", "-L", "-M"),""))</f>
        <v>#N/A</v>
      </c>
      <c r="L21" s="434" t="s">
        <v>679</v>
      </c>
      <c r="M21" s="434"/>
      <c r="N21" s="442"/>
      <c r="O21" s="444"/>
      <c r="P21" s="444"/>
      <c r="Q21" s="444"/>
      <c r="R21" s="443"/>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8"/>
        <v>#N/A</v>
      </c>
      <c r="AE21" s="114">
        <f t="shared" si="16"/>
        <v>0</v>
      </c>
      <c r="AF21" s="114">
        <f t="shared" si="16"/>
        <v>0</v>
      </c>
      <c r="AG21" s="114">
        <f t="shared" si="16"/>
        <v>0</v>
      </c>
      <c r="AH21" s="114">
        <f t="shared" si="16"/>
        <v>0</v>
      </c>
      <c r="AI21" s="114">
        <f t="shared" si="16"/>
        <v>0</v>
      </c>
      <c r="AM21" s="434" t="str">
        <f t="shared" si="3"/>
        <v/>
      </c>
      <c r="AN21" s="114">
        <f t="shared" si="4"/>
        <v>0</v>
      </c>
      <c r="AO21" s="114" t="str">
        <f>_xlfn.CONCAT(E21," (",VLOOKUP(E21,[2]Backend!C:D,2,FALSE),")")</f>
        <v>1 (one)</v>
      </c>
      <c r="AP21" s="114" t="str">
        <f>_xlfn.CONCAT(AN21," - Electrical power supply and controls to ",AO21," ",VLOOKUP(M21,_VRF!$A$39:$G$48,2,FALSE))</f>
        <v xml:space="preserve">0 - Electrical power supply and controls to 1 (one) </v>
      </c>
      <c r="AQ21" s="114" t="str">
        <f t="shared" si="10"/>
        <v xml:space="preserve"> </v>
      </c>
      <c r="AR21" s="114" t="str">
        <f t="shared" si="11"/>
        <v/>
      </c>
      <c r="AS21" s="114" t="e">
        <f t="shared" si="12"/>
        <v>#N/A</v>
      </c>
      <c r="AT21" s="114" t="e">
        <f t="shared" si="15"/>
        <v>#N/A</v>
      </c>
      <c r="AU21" s="114" t="str">
        <f t="shared" si="13"/>
        <v>0.1 - This includes supply and install of power and controls.</v>
      </c>
      <c r="AV21" s="114" t="str">
        <f>_xlfn.CONCAT(AN21,".2 - Power for system includes: ",VLOOKUP(L21,_VRF!L:O,4,FALSE))</f>
        <v xml:space="preserve">0.2 - Power for system includes: CB and cabling to unit from MSSB, and local isolator, </v>
      </c>
      <c r="AW21" s="114" t="e">
        <f t="shared" si="14"/>
        <v>#N/A</v>
      </c>
      <c r="AX21" s="114" t="str">
        <f>_xlfn.CONCAT(
IF(M21="Yes",VLOOKUP(M$1,_VRF!L:Z,4,FALSE),""),
IF(N21="Yes",VLOOKUP(N$1,_VRF!L:Z,4,FALSE),""),
IF(O21="Yes",VLOOKUP(O$1,_VRF!L:Z,4,FALSE),""),
IF(P21="Yes",VLOOKUP(P$1,_VRF!L:Z,4,FALSE),""),
IF(Q21="Yes",VLOOKUP(Q$1,_VRF!L:Z,4,FALSE),""),
IF(R21="Yes",VLOOKUP(R$1,_VRF!L:Z,4,FALSE),""))</f>
        <v/>
      </c>
    </row>
    <row r="22" spans="1:50" x14ac:dyDescent="0.4">
      <c r="A22" s="431" t="str">
        <f t="shared" si="0"/>
        <v>INVALID</v>
      </c>
      <c r="B22" s="432" t="str">
        <f t="shared" si="5"/>
        <v>VRF 21</v>
      </c>
      <c r="C22" s="433" t="e">
        <f t="shared" si="6"/>
        <v>#N/A</v>
      </c>
      <c r="D22" s="432" t="e">
        <f t="shared" si="7"/>
        <v>#N/A</v>
      </c>
      <c r="E22" s="432">
        <v>1</v>
      </c>
      <c r="F22" s="432">
        <f t="shared" si="1"/>
        <v>20</v>
      </c>
      <c r="G22" s="442"/>
      <c r="H22" s="443"/>
      <c r="I22" s="442"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3"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2" t="e">
        <f>_xlfn.CONCAT(VLOOKUP(M22,_VRF!$A$39:$C$44,3,FALSE), "-",
IF(N22="Yes", 1, 0)*X22, IF(O22="Yes", 1, 0)*Y22, IF(P22="Yes", 1, 0)*Z22, AA22*IF(Q22="Yes", 1, 0),IF(R22="Yes", 1, 0)*AB22,IF(W22 = 1, IF(L22="Local", "-L", "-M"),""))</f>
        <v>#N/A</v>
      </c>
      <c r="L22" s="434" t="s">
        <v>679</v>
      </c>
      <c r="M22" s="434"/>
      <c r="N22" s="442"/>
      <c r="O22" s="444"/>
      <c r="P22" s="444"/>
      <c r="Q22" s="444"/>
      <c r="R22" s="443"/>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8"/>
        <v>#N/A</v>
      </c>
      <c r="AE22" s="114">
        <f t="shared" si="16"/>
        <v>0</v>
      </c>
      <c r="AF22" s="114">
        <f t="shared" si="16"/>
        <v>0</v>
      </c>
      <c r="AG22" s="114">
        <f t="shared" si="16"/>
        <v>0</v>
      </c>
      <c r="AH22" s="114">
        <f t="shared" si="16"/>
        <v>0</v>
      </c>
      <c r="AI22" s="114">
        <f t="shared" si="16"/>
        <v>0</v>
      </c>
      <c r="AM22" s="434" t="str">
        <f t="shared" si="3"/>
        <v/>
      </c>
      <c r="AN22" s="114">
        <f t="shared" si="4"/>
        <v>0</v>
      </c>
      <c r="AO22" s="114" t="str">
        <f>_xlfn.CONCAT(E22," (",VLOOKUP(E22,[2]Backend!C:D,2,FALSE),")")</f>
        <v>1 (one)</v>
      </c>
      <c r="AP22" s="114" t="str">
        <f>_xlfn.CONCAT(AN22," - Electrical power supply and controls to ",AO22," ",VLOOKUP(M22,_VRF!$A$39:$G$48,2,FALSE))</f>
        <v xml:space="preserve">0 - Electrical power supply and controls to 1 (one) </v>
      </c>
      <c r="AQ22" s="114" t="str">
        <f t="shared" si="10"/>
        <v xml:space="preserve"> </v>
      </c>
      <c r="AR22" s="114" t="str">
        <f t="shared" si="11"/>
        <v/>
      </c>
      <c r="AS22" s="114" t="e">
        <f t="shared" si="12"/>
        <v>#N/A</v>
      </c>
      <c r="AT22" s="114" t="e">
        <f t="shared" si="15"/>
        <v>#N/A</v>
      </c>
      <c r="AU22" s="114" t="str">
        <f t="shared" si="13"/>
        <v>0.1 - This includes supply and install of power and controls.</v>
      </c>
      <c r="AV22" s="114" t="str">
        <f>_xlfn.CONCAT(AN22,".2 - Power for system includes: ",VLOOKUP(L22,_VRF!L:O,4,FALSE))</f>
        <v xml:space="preserve">0.2 - Power for system includes: CB and cabling to unit from MSSB, and local isolator, </v>
      </c>
      <c r="AW22" s="114" t="e">
        <f t="shared" si="14"/>
        <v>#N/A</v>
      </c>
      <c r="AX22" s="114" t="str">
        <f>_xlfn.CONCAT(
IF(M22="Yes",VLOOKUP(M$1,_VRF!L:Z,4,FALSE),""),
IF(N22="Yes",VLOOKUP(N$1,_VRF!L:Z,4,FALSE),""),
IF(O22="Yes",VLOOKUP(O$1,_VRF!L:Z,4,FALSE),""),
IF(P22="Yes",VLOOKUP(P$1,_VRF!L:Z,4,FALSE),""),
IF(Q22="Yes",VLOOKUP(Q$1,_VRF!L:Z,4,FALSE),""),
IF(R22="Yes",VLOOKUP(R$1,_VRF!L:Z,4,FALSE),""))</f>
        <v/>
      </c>
    </row>
    <row r="23" spans="1:50" x14ac:dyDescent="0.4">
      <c r="A23" s="431" t="str">
        <f t="shared" si="0"/>
        <v>INVALID</v>
      </c>
      <c r="B23" s="432" t="str">
        <f t="shared" si="5"/>
        <v>VRF 22</v>
      </c>
      <c r="C23" s="433" t="e">
        <f t="shared" si="6"/>
        <v>#N/A</v>
      </c>
      <c r="D23" s="432" t="e">
        <f t="shared" si="7"/>
        <v>#N/A</v>
      </c>
      <c r="E23" s="432">
        <v>1</v>
      </c>
      <c r="F23" s="432">
        <f t="shared" si="1"/>
        <v>20</v>
      </c>
      <c r="G23" s="442"/>
      <c r="H23" s="443"/>
      <c r="I23" s="442"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3"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2" t="e">
        <f>_xlfn.CONCAT(VLOOKUP(M23,_VRF!$A$39:$C$44,3,FALSE), "-",
IF(N23="Yes", 1, 0)*X23, IF(O23="Yes", 1, 0)*Y23, IF(P23="Yes", 1, 0)*Z23, AA23*IF(Q23="Yes", 1, 0),IF(R23="Yes", 1, 0)*AB23,IF(W23 = 1, IF(L23="Local", "-L", "-M"),""))</f>
        <v>#N/A</v>
      </c>
      <c r="L23" s="434" t="s">
        <v>679</v>
      </c>
      <c r="M23" s="434"/>
      <c r="N23" s="442"/>
      <c r="O23" s="444"/>
      <c r="P23" s="444"/>
      <c r="Q23" s="444"/>
      <c r="R23" s="443"/>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8"/>
        <v>#N/A</v>
      </c>
      <c r="AE23" s="114">
        <f t="shared" si="16"/>
        <v>0</v>
      </c>
      <c r="AF23" s="114">
        <f t="shared" si="16"/>
        <v>0</v>
      </c>
      <c r="AG23" s="114">
        <f t="shared" si="16"/>
        <v>0</v>
      </c>
      <c r="AH23" s="114">
        <f t="shared" si="16"/>
        <v>0</v>
      </c>
      <c r="AI23" s="114">
        <f t="shared" si="16"/>
        <v>0</v>
      </c>
      <c r="AM23" s="434" t="str">
        <f t="shared" si="3"/>
        <v/>
      </c>
      <c r="AW23" s="114" t="e">
        <f t="shared" si="14"/>
        <v>#N/A</v>
      </c>
      <c r="AX23" s="114" t="str">
        <f>_xlfn.CONCAT(
IF(M23="Yes",VLOOKUP(M$1,_VRF!L:Z,4,FALSE),""),
IF(N23="Yes",VLOOKUP(N$1,_VRF!L:Z,4,FALSE),""),
IF(O23="Yes",VLOOKUP(O$1,_VRF!L:Z,4,FALSE),""),
IF(P23="Yes",VLOOKUP(P$1,_VRF!L:Z,4,FALSE),""),
IF(Q23="Yes",VLOOKUP(Q$1,_VRF!L:Z,4,FALSE),""),
IF(R23="Yes",VLOOKUP(R$1,_VRF!L:Z,4,FALSE),""))</f>
        <v/>
      </c>
    </row>
    <row r="24" spans="1:50" x14ac:dyDescent="0.4">
      <c r="J24" s="443"/>
    </row>
    <row r="25" spans="1:50" x14ac:dyDescent="0.4">
      <c r="J25" s="443"/>
    </row>
  </sheetData>
  <conditionalFormatting sqref="A2:A23">
    <cfRule type="cellIs" dxfId="108" priority="4" operator="equal">
      <formula>"INVALID"</formula>
    </cfRule>
    <cfRule type="cellIs" dxfId="107" priority="5" operator="equal">
      <formula>"VALID"</formula>
    </cfRule>
  </conditionalFormatting>
  <conditionalFormatting sqref="L2:R23">
    <cfRule type="cellIs" dxfId="106" priority="3" operator="equal">
      <formula>$AAF$2</formula>
    </cfRule>
  </conditionalFormatting>
  <conditionalFormatting sqref="AW2:AW1048576">
    <cfRule type="colorScale" priority="2">
      <colorScale>
        <cfvo type="min"/>
        <cfvo type="max"/>
        <color rgb="FF63BE7B"/>
        <color rgb="FFFCFCFF"/>
      </colorScale>
    </cfRule>
  </conditionalFormatting>
  <conditionalFormatting sqref="AF1">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65EBC32-E4D5-4C57-AC92-E4D3A761ECD2}">
          <x14:formula1>
            <xm:f>_VRF!B$2:B$7</xm:f>
          </x14:formula1>
          <xm:sqref>M2:M23</xm:sqref>
        </x14:dataValidation>
        <x14:dataValidation type="list" allowBlank="1" showInputMessage="1" showErrorMessage="1" xr:uid="{A7D73423-B433-4D88-A269-42FE4EB855CB}">
          <x14:formula1>
            <xm:f>_VRF!F$2:F$3</xm:f>
          </x14:formula1>
          <xm:sqref>Q2:R23</xm:sqref>
        </x14:dataValidation>
        <x14:dataValidation type="list" allowBlank="1" showInputMessage="1" showErrorMessage="1" xr:uid="{F4284552-17DE-4DA8-B5DE-45C23BF80161}">
          <x14:formula1>
            <xm:f>_Fan!A$2:A$3</xm:f>
          </x14:formula1>
          <xm:sqref>N2:N23 P2:P23 S2:U23 L2:L23</xm:sqref>
        </x14:dataValidation>
        <x14:dataValidation type="list" allowBlank="1" showInputMessage="1" showErrorMessage="1" xr:uid="{7B30F852-BDAD-4B63-B0C2-4DBCF7D4579B}">
          <x14:formula1>
            <xm:f>_VRF!D$2:D$6</xm:f>
          </x14:formula1>
          <xm:sqref>O2:O23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J1" workbookViewId="0">
      <selection activeCell="Q22" sqref="Q22"/>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20" customFormat="1" ht="43.75" x14ac:dyDescent="0.4">
      <c r="A1" s="429" t="s">
        <v>677</v>
      </c>
      <c r="B1" s="429" t="s">
        <v>1044</v>
      </c>
      <c r="C1" s="429" t="s">
        <v>1032</v>
      </c>
      <c r="D1" s="429" t="s">
        <v>1033</v>
      </c>
      <c r="E1" s="429" t="s">
        <v>1034</v>
      </c>
      <c r="F1" s="420" t="s">
        <v>1035</v>
      </c>
      <c r="G1" s="420" t="s">
        <v>1001</v>
      </c>
      <c r="L1" s="420" t="s">
        <v>1006</v>
      </c>
      <c r="M1" s="420" t="s">
        <v>1007</v>
      </c>
      <c r="N1" s="420" t="s">
        <v>1008</v>
      </c>
    </row>
    <row r="2" spans="1:24" x14ac:dyDescent="0.4">
      <c r="A2" s="114" t="s">
        <v>1002</v>
      </c>
      <c r="B2" s="114" t="s">
        <v>1039</v>
      </c>
      <c r="C2" s="114" t="s">
        <v>894</v>
      </c>
      <c r="D2" s="114" t="s">
        <v>894</v>
      </c>
      <c r="E2" s="114" t="s">
        <v>894</v>
      </c>
      <c r="F2" s="114" t="s">
        <v>894</v>
      </c>
      <c r="G2" s="114" t="s">
        <v>894</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1045</v>
      </c>
      <c r="P2" s="114" t="s">
        <v>253</v>
      </c>
      <c r="Q2" s="114" t="s">
        <v>1010</v>
      </c>
      <c r="R2" s="114" t="s">
        <v>268</v>
      </c>
      <c r="S2" s="114" t="s">
        <v>1011</v>
      </c>
      <c r="T2" s="114" t="s">
        <v>1012</v>
      </c>
    </row>
    <row r="3" spans="1:24" x14ac:dyDescent="0.4">
      <c r="A3" s="114" t="s">
        <v>679</v>
      </c>
      <c r="B3" s="114" t="s">
        <v>1040</v>
      </c>
      <c r="C3" s="114" t="s">
        <v>895</v>
      </c>
      <c r="D3" s="114" t="s">
        <v>895</v>
      </c>
      <c r="E3" s="114" t="s">
        <v>895</v>
      </c>
      <c r="F3" s="114" t="s">
        <v>895</v>
      </c>
      <c r="G3" s="114" t="s">
        <v>895</v>
      </c>
      <c r="P3" s="114">
        <v>1</v>
      </c>
      <c r="Q3" s="114">
        <v>1</v>
      </c>
      <c r="R3" s="114" t="s">
        <v>1013</v>
      </c>
      <c r="S3" s="114">
        <v>1</v>
      </c>
      <c r="T3" s="114">
        <v>1</v>
      </c>
    </row>
    <row r="4" spans="1:24" x14ac:dyDescent="0.4">
      <c r="B4" s="114" t="s">
        <v>1041</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3</v>
      </c>
      <c r="O4" s="114" t="s">
        <v>1046</v>
      </c>
      <c r="P4" s="114" t="s">
        <v>253</v>
      </c>
      <c r="Q4" s="114" t="s">
        <v>1010</v>
      </c>
      <c r="R4" s="114" t="s">
        <v>268</v>
      </c>
      <c r="S4" s="114" t="s">
        <v>305</v>
      </c>
      <c r="T4" s="114" t="s">
        <v>281</v>
      </c>
      <c r="U4" s="114" t="s">
        <v>1015</v>
      </c>
      <c r="V4" s="114" t="s">
        <v>1016</v>
      </c>
      <c r="W4" s="114" t="s">
        <v>1012</v>
      </c>
    </row>
    <row r="5" spans="1:24" x14ac:dyDescent="0.4">
      <c r="B5" s="114" t="s">
        <v>1042</v>
      </c>
      <c r="P5" s="114">
        <v>1</v>
      </c>
      <c r="Q5" s="114">
        <v>1</v>
      </c>
      <c r="R5" s="114" t="s">
        <v>1013</v>
      </c>
      <c r="S5" s="114">
        <v>1</v>
      </c>
      <c r="T5" s="114">
        <v>1</v>
      </c>
      <c r="U5" s="114">
        <v>1</v>
      </c>
      <c r="V5" s="114">
        <v>1</v>
      </c>
      <c r="W5" s="114">
        <v>1</v>
      </c>
      <c r="X5" s="114">
        <v>1</v>
      </c>
    </row>
    <row r="6" spans="1:24" x14ac:dyDescent="0.4">
      <c r="B6" s="114" t="s">
        <v>1038</v>
      </c>
      <c r="L6" s="114" t="s">
        <v>1039</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3.25</v>
      </c>
      <c r="O6" s="114" t="s">
        <v>1045</v>
      </c>
      <c r="P6" s="114" t="s">
        <v>253</v>
      </c>
      <c r="Q6" s="114" t="s">
        <v>1010</v>
      </c>
      <c r="R6" s="114" t="s">
        <v>268</v>
      </c>
      <c r="S6" s="114" t="s">
        <v>269</v>
      </c>
      <c r="T6" s="114" t="s">
        <v>1047</v>
      </c>
      <c r="U6" s="114" t="s">
        <v>239</v>
      </c>
      <c r="V6" s="114" t="s">
        <v>302</v>
      </c>
    </row>
    <row r="7" spans="1:24" x14ac:dyDescent="0.4">
      <c r="B7" s="114" t="s">
        <v>1043</v>
      </c>
      <c r="P7" s="114">
        <v>1</v>
      </c>
      <c r="R7" s="114" t="s">
        <v>1013</v>
      </c>
      <c r="S7" s="114" t="s">
        <v>1013</v>
      </c>
      <c r="T7" s="114">
        <v>1</v>
      </c>
      <c r="U7" s="114">
        <v>1</v>
      </c>
      <c r="V7" s="114">
        <v>1</v>
      </c>
    </row>
    <row r="8" spans="1:24" x14ac:dyDescent="0.4">
      <c r="L8" s="114" t="s">
        <v>1048</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1049</v>
      </c>
      <c r="P8" s="114" t="s">
        <v>267</v>
      </c>
    </row>
    <row r="9" spans="1:24" x14ac:dyDescent="0.4">
      <c r="P9" s="114" t="s">
        <v>1013</v>
      </c>
    </row>
    <row r="10" spans="1:24" x14ac:dyDescent="0.4">
      <c r="L10" s="114" t="s">
        <v>1041</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1050</v>
      </c>
      <c r="Q10" s="114" t="s">
        <v>1030</v>
      </c>
      <c r="R10" s="114" t="s">
        <v>253</v>
      </c>
      <c r="S10" s="114" t="s">
        <v>1010</v>
      </c>
    </row>
    <row r="11" spans="1:24" x14ac:dyDescent="0.4">
      <c r="P11" s="114">
        <v>1</v>
      </c>
      <c r="Q11" s="114">
        <v>1</v>
      </c>
      <c r="R11" s="114">
        <v>1</v>
      </c>
      <c r="S11" s="114">
        <v>1</v>
      </c>
    </row>
    <row r="12" spans="1:24" x14ac:dyDescent="0.4">
      <c r="L12" s="114" t="s">
        <v>1042</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1051</v>
      </c>
      <c r="R12" s="114" t="s">
        <v>1052</v>
      </c>
      <c r="S12" s="114" t="s">
        <v>1030</v>
      </c>
    </row>
    <row r="13" spans="1:24" x14ac:dyDescent="0.4">
      <c r="P13" s="114" t="s">
        <v>1013</v>
      </c>
      <c r="Q13" s="114">
        <v>1</v>
      </c>
      <c r="R13" s="114">
        <v>1</v>
      </c>
      <c r="S13" s="114">
        <v>1</v>
      </c>
    </row>
    <row r="14" spans="1:24" x14ac:dyDescent="0.4">
      <c r="A14" s="33" t="s">
        <v>986</v>
      </c>
      <c r="L14" s="114" t="s">
        <v>1038</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351</v>
      </c>
      <c r="Q14" s="114" t="s">
        <v>253</v>
      </c>
      <c r="R14" s="114" t="s">
        <v>361</v>
      </c>
      <c r="S14" s="114" t="s">
        <v>268</v>
      </c>
    </row>
    <row r="15" spans="1:24" x14ac:dyDescent="0.4">
      <c r="A15" s="114" t="s">
        <v>976</v>
      </c>
      <c r="B15" s="114" t="s">
        <v>988</v>
      </c>
      <c r="P15" s="114">
        <v>1</v>
      </c>
      <c r="Q15" s="114">
        <v>1</v>
      </c>
      <c r="R15" s="114" t="s">
        <v>1013</v>
      </c>
      <c r="S15" s="114" t="s">
        <v>1013</v>
      </c>
    </row>
    <row r="16" spans="1:24" x14ac:dyDescent="0.4">
      <c r="A16" s="114" t="s">
        <v>989</v>
      </c>
      <c r="B16" s="114" t="s">
        <v>990</v>
      </c>
      <c r="L16" s="114" t="s">
        <v>1043</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3.25</v>
      </c>
      <c r="O16" s="114" t="s">
        <v>1045</v>
      </c>
      <c r="P16" s="114" t="s">
        <v>253</v>
      </c>
      <c r="Q16" s="114" t="s">
        <v>1010</v>
      </c>
      <c r="R16" s="114" t="s">
        <v>268</v>
      </c>
      <c r="S16" s="114" t="s">
        <v>269</v>
      </c>
      <c r="T16" s="114" t="s">
        <v>1047</v>
      </c>
      <c r="U16" s="114" t="s">
        <v>239</v>
      </c>
      <c r="V16" s="114" t="s">
        <v>302</v>
      </c>
    </row>
    <row r="17" spans="1:22" x14ac:dyDescent="0.4">
      <c r="P17" s="114">
        <v>1</v>
      </c>
      <c r="R17" s="114" t="s">
        <v>1013</v>
      </c>
      <c r="S17" s="114" t="s">
        <v>1013</v>
      </c>
      <c r="T17" s="114">
        <v>1</v>
      </c>
      <c r="U17" s="114">
        <v>1</v>
      </c>
      <c r="V17" s="114">
        <v>1</v>
      </c>
    </row>
    <row r="18" spans="1:22" x14ac:dyDescent="0.4">
      <c r="A18" s="114" t="s">
        <v>1053</v>
      </c>
      <c r="B18" s="114" t="s">
        <v>1054</v>
      </c>
      <c r="L18" s="114" t="s">
        <v>1032</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1055</v>
      </c>
      <c r="P18" s="114" t="s">
        <v>280</v>
      </c>
    </row>
    <row r="19" spans="1:22" x14ac:dyDescent="0.4">
      <c r="A19" s="114" t="s">
        <v>1039</v>
      </c>
      <c r="B19" s="417" t="s">
        <v>1056</v>
      </c>
      <c r="C19" s="114" t="s">
        <v>640</v>
      </c>
      <c r="P19" s="114">
        <v>1</v>
      </c>
    </row>
    <row r="20" spans="1:22" x14ac:dyDescent="0.4">
      <c r="A20" s="114" t="s">
        <v>1040</v>
      </c>
      <c r="L20" s="114" t="s">
        <v>1033</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1026</v>
      </c>
      <c r="P20" s="114" t="s">
        <v>589</v>
      </c>
    </row>
    <row r="21" spans="1:22" x14ac:dyDescent="0.4">
      <c r="A21" s="114" t="s">
        <v>1041</v>
      </c>
      <c r="P21" s="114">
        <v>1</v>
      </c>
    </row>
    <row r="22" spans="1:22" x14ac:dyDescent="0.4">
      <c r="A22" s="114" t="s">
        <v>1042</v>
      </c>
      <c r="L22" s="114" t="s">
        <v>1034</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1057</v>
      </c>
      <c r="P22" s="114" t="s">
        <v>268</v>
      </c>
    </row>
    <row r="23" spans="1:22" x14ac:dyDescent="0.4">
      <c r="A23" s="114" t="s">
        <v>1038</v>
      </c>
      <c r="B23" s="417" t="s">
        <v>1058</v>
      </c>
      <c r="P23" s="114">
        <v>999999</v>
      </c>
    </row>
    <row r="24" spans="1:22" x14ac:dyDescent="0.4">
      <c r="L24" s="114" t="s">
        <v>1035</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849999.15</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1059</v>
      </c>
      <c r="P24" s="114" t="s">
        <v>268</v>
      </c>
    </row>
    <row r="25" spans="1:22" x14ac:dyDescent="0.4">
      <c r="A25" s="114" t="s">
        <v>1044</v>
      </c>
      <c r="B25" s="114" t="s">
        <v>677</v>
      </c>
      <c r="C25" s="114" t="s">
        <v>1032</v>
      </c>
      <c r="D25" s="114" t="s">
        <v>1033</v>
      </c>
      <c r="E25" s="114" t="s">
        <v>1034</v>
      </c>
      <c r="F25" s="114" t="s">
        <v>1035</v>
      </c>
      <c r="G25" s="114" t="s">
        <v>1001</v>
      </c>
      <c r="P25" s="114">
        <v>999999</v>
      </c>
    </row>
    <row r="26" spans="1:22" x14ac:dyDescent="0.4">
      <c r="A26" s="114" t="str">
        <f>B2</f>
        <v>Indoor</v>
      </c>
      <c r="B26" s="114">
        <v>1</v>
      </c>
      <c r="C26" s="114">
        <v>1</v>
      </c>
      <c r="D26" s="114">
        <v>1</v>
      </c>
      <c r="E26" s="114">
        <v>1</v>
      </c>
      <c r="F26" s="114">
        <v>1</v>
      </c>
      <c r="G26" s="114">
        <v>1</v>
      </c>
      <c r="L26" s="114" t="s">
        <v>1001</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8499999.1500000004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1028</v>
      </c>
      <c r="P26" s="114" t="s">
        <v>268</v>
      </c>
    </row>
    <row r="27" spans="1:22" x14ac:dyDescent="0.4">
      <c r="A27" s="114" t="str">
        <f t="shared" ref="A27:A35" si="0">B3</f>
        <v>Outdoor</v>
      </c>
      <c r="B27" s="114">
        <v>1</v>
      </c>
      <c r="C27" s="114">
        <v>1</v>
      </c>
      <c r="D27" s="114">
        <v>0</v>
      </c>
      <c r="E27" s="114">
        <v>0</v>
      </c>
      <c r="F27" s="114">
        <v>0</v>
      </c>
      <c r="G27" s="114">
        <v>0</v>
      </c>
      <c r="P27" s="114">
        <v>9999999</v>
      </c>
    </row>
    <row r="28" spans="1:22" x14ac:dyDescent="0.4">
      <c r="A28" s="114" t="str">
        <f t="shared" si="0"/>
        <v>Split</v>
      </c>
      <c r="B28" s="114">
        <v>1</v>
      </c>
      <c r="C28" s="114">
        <v>1</v>
      </c>
      <c r="D28" s="114">
        <v>1</v>
      </c>
      <c r="E28" s="114">
        <v>1</v>
      </c>
      <c r="F28" s="114">
        <v>1</v>
      </c>
      <c r="G28" s="114">
        <v>1</v>
      </c>
      <c r="L28" s="114" t="s">
        <v>1060</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1061</v>
      </c>
      <c r="P28" s="114" t="s">
        <v>267</v>
      </c>
      <c r="Q28" s="114" t="s">
        <v>1051</v>
      </c>
      <c r="R28" s="114" t="s">
        <v>1052</v>
      </c>
    </row>
    <row r="29" spans="1:22" x14ac:dyDescent="0.4">
      <c r="A29" s="114" t="str">
        <f t="shared" si="0"/>
        <v>PAC</v>
      </c>
      <c r="B29" s="114">
        <v>0</v>
      </c>
      <c r="C29" s="114">
        <v>1</v>
      </c>
      <c r="D29" s="114">
        <v>0</v>
      </c>
      <c r="E29" s="114">
        <v>1</v>
      </c>
      <c r="F29" s="114">
        <v>1</v>
      </c>
      <c r="G29" s="114">
        <v>1</v>
      </c>
      <c r="P29" s="114" t="s">
        <v>1013</v>
      </c>
      <c r="Q29" s="114">
        <v>1</v>
      </c>
      <c r="R29" s="114">
        <v>1</v>
      </c>
    </row>
    <row r="30" spans="1:22" x14ac:dyDescent="0.4">
      <c r="A30" s="114" t="str">
        <f t="shared" si="0"/>
        <v>Controller</v>
      </c>
      <c r="B30" s="114">
        <v>0</v>
      </c>
      <c r="C30" s="114">
        <v>0</v>
      </c>
      <c r="D30" s="114">
        <v>0</v>
      </c>
      <c r="E30" s="114">
        <v>0</v>
      </c>
      <c r="F30" s="114">
        <v>0</v>
      </c>
      <c r="G30" s="114">
        <v>0</v>
      </c>
      <c r="L30" s="114" t="s">
        <v>895</v>
      </c>
      <c r="M30" s="114">
        <v>0</v>
      </c>
      <c r="N30" s="114">
        <v>0</v>
      </c>
      <c r="O30" s="114" t="s">
        <v>1029</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1040</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1062</v>
      </c>
      <c r="C39" s="114" t="s">
        <v>1063</v>
      </c>
    </row>
    <row r="40" spans="1:3" x14ac:dyDescent="0.4">
      <c r="A40" s="114" t="str">
        <f t="shared" si="1"/>
        <v>Outdoor</v>
      </c>
      <c r="B40" s="114" t="s">
        <v>1064</v>
      </c>
      <c r="C40" s="114" t="s">
        <v>1065</v>
      </c>
    </row>
    <row r="41" spans="1:3" x14ac:dyDescent="0.4">
      <c r="A41" s="114" t="str">
        <f t="shared" si="1"/>
        <v>Split</v>
      </c>
      <c r="B41" s="114" t="s">
        <v>1066</v>
      </c>
      <c r="C41" s="114" t="s">
        <v>1067</v>
      </c>
    </row>
    <row r="42" spans="1:3" x14ac:dyDescent="0.4">
      <c r="A42" s="114" t="str">
        <f t="shared" si="1"/>
        <v>PAC</v>
      </c>
      <c r="B42" s="282" t="s">
        <v>1068</v>
      </c>
      <c r="C42" s="114" t="s">
        <v>1042</v>
      </c>
    </row>
    <row r="43" spans="1:3" x14ac:dyDescent="0.4">
      <c r="A43" s="114" t="str">
        <f t="shared" si="1"/>
        <v>Controller</v>
      </c>
      <c r="B43" s="114" t="s">
        <v>1069</v>
      </c>
      <c r="C43" s="114" t="s">
        <v>1070</v>
      </c>
    </row>
    <row r="44" spans="1:3" x14ac:dyDescent="0.4">
      <c r="A44" s="114" t="str">
        <f t="shared" si="1"/>
        <v>Branch Box</v>
      </c>
      <c r="B44" s="114" t="s">
        <v>1043</v>
      </c>
      <c r="C44" s="114" t="s">
        <v>1071</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22"/>
  <sheetViews>
    <sheetView workbookViewId="0">
      <pane ySplit="1" topLeftCell="A2" activePane="bottomLeft" state="frozen"/>
      <selection activeCell="D39" sqref="D39"/>
      <selection pane="bottomLeft" activeCell="D39" sqref="D39"/>
    </sheetView>
  </sheetViews>
  <sheetFormatPr defaultRowHeight="14.6" x14ac:dyDescent="0.4"/>
  <cols>
    <col min="1" max="2" width="19.4609375" style="114" customWidth="1"/>
    <col min="3" max="3" width="8.921875" style="425"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853</v>
      </c>
      <c r="B1" s="33" t="s">
        <v>1072</v>
      </c>
      <c r="C1" s="425" t="s">
        <v>944</v>
      </c>
      <c r="D1" s="33" t="s">
        <v>758</v>
      </c>
      <c r="E1" s="33" t="s">
        <v>913</v>
      </c>
      <c r="F1" s="33" t="s">
        <v>940</v>
      </c>
      <c r="G1" s="33" t="s">
        <v>751</v>
      </c>
    </row>
    <row r="2" spans="1:7" x14ac:dyDescent="0.4">
      <c r="A2" s="114" t="s">
        <v>1010</v>
      </c>
      <c r="B2" s="114" t="s">
        <v>753</v>
      </c>
      <c r="C2" s="425">
        <v>19.8</v>
      </c>
      <c r="D2" s="114" t="s">
        <v>842</v>
      </c>
      <c r="E2" s="114">
        <v>0</v>
      </c>
      <c r="G2" s="114" t="s">
        <v>756</v>
      </c>
    </row>
    <row r="3" spans="1:7" x14ac:dyDescent="0.4">
      <c r="A3" s="114" t="s">
        <v>1051</v>
      </c>
      <c r="B3" s="114" t="s">
        <v>752</v>
      </c>
      <c r="C3" s="425">
        <v>46.46</v>
      </c>
      <c r="D3" s="114" t="s">
        <v>842</v>
      </c>
      <c r="E3" s="114">
        <v>0</v>
      </c>
      <c r="G3" s="114" t="s">
        <v>756</v>
      </c>
    </row>
    <row r="4" spans="1:7" x14ac:dyDescent="0.4">
      <c r="A4" s="114" t="s">
        <v>268</v>
      </c>
      <c r="C4" s="425">
        <v>0.85</v>
      </c>
      <c r="D4" s="114" t="s">
        <v>782</v>
      </c>
      <c r="E4" s="332">
        <v>0.1</v>
      </c>
    </row>
    <row r="5" spans="1:7" x14ac:dyDescent="0.4">
      <c r="A5" s="114" t="s">
        <v>305</v>
      </c>
      <c r="B5" s="114" t="s">
        <v>774</v>
      </c>
      <c r="C5" s="425">
        <v>57.95</v>
      </c>
      <c r="D5" s="114" t="s">
        <v>842</v>
      </c>
      <c r="E5" s="114">
        <v>2</v>
      </c>
      <c r="G5" s="114" t="s">
        <v>769</v>
      </c>
    </row>
    <row r="6" spans="1:7" x14ac:dyDescent="0.4">
      <c r="A6" s="114" t="s">
        <v>253</v>
      </c>
      <c r="B6" s="114" t="s">
        <v>765</v>
      </c>
      <c r="C6" s="425">
        <v>8.4499999999999993</v>
      </c>
      <c r="D6" s="114" t="s">
        <v>842</v>
      </c>
      <c r="E6" s="114">
        <v>0</v>
      </c>
      <c r="G6" s="114" t="s">
        <v>771</v>
      </c>
    </row>
    <row r="7" spans="1:7" x14ac:dyDescent="0.4">
      <c r="A7" s="114" t="s">
        <v>1052</v>
      </c>
      <c r="B7" s="114" t="s">
        <v>767</v>
      </c>
      <c r="C7" s="425">
        <v>43.44</v>
      </c>
      <c r="D7" s="114" t="s">
        <v>842</v>
      </c>
      <c r="E7" s="114">
        <v>0</v>
      </c>
      <c r="G7" s="114" t="s">
        <v>771</v>
      </c>
    </row>
    <row r="8" spans="1:7" x14ac:dyDescent="0.4">
      <c r="A8" s="114" t="s">
        <v>1012</v>
      </c>
      <c r="C8" s="425">
        <v>0</v>
      </c>
      <c r="E8" s="114">
        <v>1</v>
      </c>
    </row>
    <row r="9" spans="1:7" x14ac:dyDescent="0.4">
      <c r="A9" s="114" t="s">
        <v>281</v>
      </c>
      <c r="B9" s="417" t="s">
        <v>787</v>
      </c>
      <c r="C9" s="425">
        <f>37.8 +
53.25</f>
        <v>91.05</v>
      </c>
    </row>
    <row r="10" spans="1:7" x14ac:dyDescent="0.4">
      <c r="A10" s="117" t="s">
        <v>327</v>
      </c>
      <c r="B10" s="114" t="s">
        <v>777</v>
      </c>
      <c r="C10" s="425">
        <v>24.2</v>
      </c>
      <c r="D10" s="114" t="s">
        <v>842</v>
      </c>
      <c r="G10" s="114" t="s">
        <v>776</v>
      </c>
    </row>
    <row r="11" spans="1:7" x14ac:dyDescent="0.4">
      <c r="A11" s="445" t="s">
        <v>589</v>
      </c>
      <c r="C11" s="425">
        <v>80</v>
      </c>
      <c r="E11" s="114">
        <v>2</v>
      </c>
    </row>
    <row r="12" spans="1:7" x14ac:dyDescent="0.4">
      <c r="A12" s="114" t="s">
        <v>670</v>
      </c>
      <c r="C12" s="425">
        <v>60</v>
      </c>
    </row>
    <row r="13" spans="1:7" x14ac:dyDescent="0.4">
      <c r="A13" s="114" t="s">
        <v>1015</v>
      </c>
      <c r="B13" s="114" t="s">
        <v>763</v>
      </c>
      <c r="C13" s="425">
        <v>16</v>
      </c>
      <c r="D13" s="114" t="s">
        <v>842</v>
      </c>
      <c r="G13" s="114" t="s">
        <v>762</v>
      </c>
    </row>
    <row r="14" spans="1:7" x14ac:dyDescent="0.4">
      <c r="A14" s="114" t="s">
        <v>419</v>
      </c>
      <c r="C14" s="425">
        <v>0.28000000000000003</v>
      </c>
      <c r="E14" s="114">
        <v>2</v>
      </c>
    </row>
    <row r="15" spans="1:7" x14ac:dyDescent="0.4">
      <c r="A15" s="114" t="s">
        <v>1016</v>
      </c>
      <c r="B15" s="114" t="s">
        <v>696</v>
      </c>
      <c r="C15" s="425">
        <v>360</v>
      </c>
    </row>
    <row r="16" spans="1:7" x14ac:dyDescent="0.4">
      <c r="A16" s="114" t="s">
        <v>997</v>
      </c>
      <c r="B16" s="114" t="s">
        <v>772</v>
      </c>
      <c r="C16" s="425">
        <v>307.2</v>
      </c>
    </row>
    <row r="17" spans="1:7" x14ac:dyDescent="0.4">
      <c r="A17" s="114" t="s">
        <v>1011</v>
      </c>
      <c r="C17" s="425">
        <v>60</v>
      </c>
      <c r="F17" s="282"/>
    </row>
    <row r="18" spans="1:7" x14ac:dyDescent="0.4">
      <c r="A18" s="135" t="s">
        <v>840</v>
      </c>
      <c r="B18" s="114" t="s">
        <v>1073</v>
      </c>
      <c r="C18" s="425">
        <v>23.4</v>
      </c>
    </row>
    <row r="19" spans="1:7" x14ac:dyDescent="0.4">
      <c r="A19" s="446" t="s">
        <v>698</v>
      </c>
      <c r="B19" s="114" t="s">
        <v>777</v>
      </c>
      <c r="C19" s="425">
        <v>24.2</v>
      </c>
      <c r="D19" s="114" t="s">
        <v>842</v>
      </c>
    </row>
    <row r="20" spans="1:7" x14ac:dyDescent="0.4">
      <c r="A20" s="446" t="s">
        <v>998</v>
      </c>
      <c r="C20" s="425">
        <v>60</v>
      </c>
      <c r="E20" s="114">
        <v>1</v>
      </c>
    </row>
    <row r="21" spans="1:7" x14ac:dyDescent="0.4">
      <c r="A21" s="446" t="s">
        <v>269</v>
      </c>
      <c r="C21" s="425">
        <v>1.056</v>
      </c>
      <c r="E21" s="114">
        <v>0.1</v>
      </c>
      <c r="F21" s="282"/>
    </row>
    <row r="22" spans="1:7" x14ac:dyDescent="0.4">
      <c r="A22" s="114" t="s">
        <v>302</v>
      </c>
      <c r="E22" s="114">
        <v>0.25</v>
      </c>
      <c r="F22" s="282"/>
    </row>
    <row r="23" spans="1:7" x14ac:dyDescent="0.4">
      <c r="A23" s="114" t="s">
        <v>239</v>
      </c>
      <c r="E23" s="114">
        <v>2.5</v>
      </c>
      <c r="F23" s="282"/>
    </row>
    <row r="24" spans="1:7" x14ac:dyDescent="0.4">
      <c r="A24" s="114" t="s">
        <v>1047</v>
      </c>
      <c r="E24" s="114">
        <v>0.5</v>
      </c>
      <c r="F24" s="282"/>
    </row>
    <row r="25" spans="1:7" x14ac:dyDescent="0.4">
      <c r="A25" s="446" t="s">
        <v>1030</v>
      </c>
      <c r="E25" s="114">
        <v>1</v>
      </c>
      <c r="F25" s="282"/>
    </row>
    <row r="26" spans="1:7" x14ac:dyDescent="0.4">
      <c r="A26" s="446" t="s">
        <v>1050</v>
      </c>
      <c r="E26" s="114">
        <v>1</v>
      </c>
      <c r="F26" s="282"/>
    </row>
    <row r="27" spans="1:7" x14ac:dyDescent="0.4">
      <c r="A27" s="114" t="s">
        <v>1249</v>
      </c>
      <c r="C27" s="425">
        <v>360</v>
      </c>
      <c r="F27" s="282"/>
    </row>
    <row r="28" spans="1:7" x14ac:dyDescent="0.4">
      <c r="A28" s="446"/>
      <c r="F28" s="282"/>
    </row>
    <row r="29" spans="1:7" x14ac:dyDescent="0.4">
      <c r="A29" s="114" t="s">
        <v>1074</v>
      </c>
      <c r="B29" s="114" t="s">
        <v>972</v>
      </c>
      <c r="C29" s="425">
        <v>243.55</v>
      </c>
      <c r="D29" s="114" t="s">
        <v>842</v>
      </c>
      <c r="G29" s="282"/>
    </row>
    <row r="30" spans="1:7" x14ac:dyDescent="0.4">
      <c r="A30" s="114" t="s">
        <v>1075</v>
      </c>
      <c r="B30" s="114" t="s">
        <v>754</v>
      </c>
      <c r="C30" s="425">
        <v>294.60000000000002</v>
      </c>
      <c r="D30" s="114" t="s">
        <v>842</v>
      </c>
    </row>
    <row r="31" spans="1:7" x14ac:dyDescent="0.4">
      <c r="A31" s="114" t="s">
        <v>1076</v>
      </c>
      <c r="B31" s="114" t="s">
        <v>975</v>
      </c>
      <c r="C31" s="425">
        <v>488.25</v>
      </c>
      <c r="D31" s="114" t="s">
        <v>842</v>
      </c>
      <c r="F31" s="282"/>
    </row>
    <row r="32" spans="1:7" x14ac:dyDescent="0.4">
      <c r="A32" s="114" t="s">
        <v>1077</v>
      </c>
      <c r="B32" s="114" t="s">
        <v>981</v>
      </c>
      <c r="C32" s="425">
        <v>700.9</v>
      </c>
      <c r="D32" s="114" t="s">
        <v>842</v>
      </c>
    </row>
    <row r="33" spans="1:4" x14ac:dyDescent="0.4">
      <c r="A33" s="114" t="s">
        <v>1078</v>
      </c>
      <c r="B33" s="114" t="s">
        <v>982</v>
      </c>
      <c r="C33" s="425">
        <v>243.55</v>
      </c>
      <c r="D33" s="114" t="s">
        <v>842</v>
      </c>
    </row>
    <row r="34" spans="1:4" x14ac:dyDescent="0.4">
      <c r="A34" s="114" t="s">
        <v>1079</v>
      </c>
      <c r="B34" s="114" t="s">
        <v>983</v>
      </c>
      <c r="C34" s="425">
        <v>356.4</v>
      </c>
      <c r="D34" s="114" t="s">
        <v>842</v>
      </c>
    </row>
    <row r="35" spans="1:4" x14ac:dyDescent="0.4">
      <c r="A35" s="114" t="s">
        <v>1080</v>
      </c>
      <c r="B35" s="114" t="s">
        <v>984</v>
      </c>
      <c r="C35" s="425">
        <v>541.75</v>
      </c>
      <c r="D35" s="114" t="s">
        <v>842</v>
      </c>
    </row>
    <row r="36" spans="1:4" x14ac:dyDescent="0.4">
      <c r="A36" s="114" t="s">
        <v>1081</v>
      </c>
      <c r="B36" s="114" t="s">
        <v>985</v>
      </c>
      <c r="C36" s="425">
        <v>651</v>
      </c>
      <c r="D36" s="114" t="s">
        <v>842</v>
      </c>
    </row>
    <row r="37" spans="1:4" x14ac:dyDescent="0.4">
      <c r="A37" s="114" t="s">
        <v>1082</v>
      </c>
      <c r="B37" s="114" t="s">
        <v>981</v>
      </c>
      <c r="C37" s="425">
        <v>700.9</v>
      </c>
      <c r="D37" s="114" t="s">
        <v>842</v>
      </c>
    </row>
    <row r="38" spans="1:4" x14ac:dyDescent="0.4">
      <c r="A38" s="114" t="s">
        <v>1083</v>
      </c>
      <c r="B38" s="114" t="s">
        <v>1084</v>
      </c>
      <c r="C38" s="425">
        <v>999999</v>
      </c>
      <c r="D38" s="114" t="s">
        <v>1085</v>
      </c>
    </row>
    <row r="39" spans="1:4" x14ac:dyDescent="0.4">
      <c r="A39" s="114" t="s">
        <v>1086</v>
      </c>
      <c r="B39" s="114" t="s">
        <v>1087</v>
      </c>
      <c r="C39" s="425">
        <v>999999</v>
      </c>
      <c r="D39" s="114" t="s">
        <v>1085</v>
      </c>
    </row>
    <row r="40" spans="1:4" x14ac:dyDescent="0.4">
      <c r="A40" s="114" t="s">
        <v>1088</v>
      </c>
      <c r="B40" s="114" t="s">
        <v>1089</v>
      </c>
      <c r="C40" s="425">
        <v>999999</v>
      </c>
      <c r="D40" s="114" t="s">
        <v>1085</v>
      </c>
    </row>
    <row r="41" spans="1:4" x14ac:dyDescent="0.4">
      <c r="A41" s="114" t="s">
        <v>1090</v>
      </c>
      <c r="B41" s="114" t="s">
        <v>1091</v>
      </c>
      <c r="C41" s="425">
        <v>999999</v>
      </c>
      <c r="D41" s="114" t="s">
        <v>1085</v>
      </c>
    </row>
    <row r="42" spans="1:4" x14ac:dyDescent="0.4">
      <c r="A42" s="114" t="s">
        <v>1092</v>
      </c>
      <c r="B42" s="114" t="s">
        <v>1093</v>
      </c>
      <c r="C42" s="425">
        <v>999999</v>
      </c>
      <c r="D42" s="114" t="s">
        <v>1085</v>
      </c>
    </row>
    <row r="43" spans="1:4" x14ac:dyDescent="0.4">
      <c r="A43" s="114" t="s">
        <v>1094</v>
      </c>
      <c r="B43" s="114" t="s">
        <v>1095</v>
      </c>
      <c r="C43" s="425">
        <v>999999</v>
      </c>
      <c r="D43" s="114" t="s">
        <v>1085</v>
      </c>
    </row>
    <row r="44" spans="1:4" x14ac:dyDescent="0.4">
      <c r="A44" s="114" t="s">
        <v>1096</v>
      </c>
      <c r="B44" s="114" t="s">
        <v>1097</v>
      </c>
      <c r="C44" s="425">
        <v>999999</v>
      </c>
      <c r="D44" s="114" t="s">
        <v>1085</v>
      </c>
    </row>
    <row r="45" spans="1:4" x14ac:dyDescent="0.4">
      <c r="A45" s="114" t="s">
        <v>1098</v>
      </c>
      <c r="B45" s="114" t="s">
        <v>1099</v>
      </c>
      <c r="C45" s="425">
        <v>999999</v>
      </c>
      <c r="D45" s="114" t="s">
        <v>1085</v>
      </c>
    </row>
    <row r="46" spans="1:4" x14ac:dyDescent="0.4">
      <c r="A46" s="114" t="s">
        <v>1100</v>
      </c>
      <c r="B46" s="114" t="s">
        <v>1101</v>
      </c>
      <c r="C46" s="425">
        <v>999999</v>
      </c>
      <c r="D46" s="114" t="s">
        <v>1085</v>
      </c>
    </row>
    <row r="47" spans="1:4" x14ac:dyDescent="0.4">
      <c r="A47" s="114" t="s">
        <v>1102</v>
      </c>
      <c r="B47" s="114" t="s">
        <v>1103</v>
      </c>
      <c r="C47" s="425">
        <v>999999</v>
      </c>
      <c r="D47" s="114" t="s">
        <v>1085</v>
      </c>
    </row>
    <row r="48" spans="1:4" x14ac:dyDescent="0.4">
      <c r="A48" s="114" t="s">
        <v>1104</v>
      </c>
      <c r="B48" s="114" t="s">
        <v>1105</v>
      </c>
      <c r="C48" s="425">
        <v>999999</v>
      </c>
      <c r="D48" s="114" t="s">
        <v>1085</v>
      </c>
    </row>
    <row r="49" spans="1:4" x14ac:dyDescent="0.4">
      <c r="A49" s="114" t="s">
        <v>1106</v>
      </c>
      <c r="B49" s="114" t="s">
        <v>1107</v>
      </c>
      <c r="C49" s="425">
        <v>999999</v>
      </c>
      <c r="D49" s="114" t="s">
        <v>1085</v>
      </c>
    </row>
    <row r="50" spans="1:4" x14ac:dyDescent="0.4">
      <c r="A50" s="114" t="s">
        <v>1108</v>
      </c>
      <c r="B50" s="114" t="s">
        <v>1109</v>
      </c>
      <c r="C50" s="425">
        <v>999999</v>
      </c>
      <c r="D50" s="114" t="s">
        <v>1085</v>
      </c>
    </row>
    <row r="51" spans="1:4" x14ac:dyDescent="0.4">
      <c r="A51" s="114" t="s">
        <v>1110</v>
      </c>
      <c r="B51" s="114" t="s">
        <v>1111</v>
      </c>
      <c r="C51" s="425">
        <v>999999</v>
      </c>
      <c r="D51" s="114" t="s">
        <v>1085</v>
      </c>
    </row>
    <row r="52" spans="1:4" x14ac:dyDescent="0.4">
      <c r="A52" s="114" t="s">
        <v>1112</v>
      </c>
      <c r="B52" s="114" t="s">
        <v>1113</v>
      </c>
      <c r="C52" s="425">
        <v>999999</v>
      </c>
      <c r="D52" s="114" t="s">
        <v>1085</v>
      </c>
    </row>
    <row r="53" spans="1:4" x14ac:dyDescent="0.4">
      <c r="A53" s="114" t="s">
        <v>1114</v>
      </c>
      <c r="B53" s="114" t="s">
        <v>1115</v>
      </c>
      <c r="C53" s="425">
        <v>999999</v>
      </c>
      <c r="D53" s="114" t="s">
        <v>1085</v>
      </c>
    </row>
    <row r="54" spans="1:4" x14ac:dyDescent="0.4">
      <c r="A54" s="114" t="s">
        <v>1116</v>
      </c>
      <c r="B54" s="114" t="s">
        <v>1117</v>
      </c>
      <c r="C54" s="425">
        <v>999999</v>
      </c>
      <c r="D54" s="114" t="s">
        <v>1085</v>
      </c>
    </row>
    <row r="55" spans="1:4" x14ac:dyDescent="0.4">
      <c r="A55" s="114" t="s">
        <v>1118</v>
      </c>
      <c r="B55" s="114" t="s">
        <v>1119</v>
      </c>
      <c r="C55" s="425">
        <v>999999</v>
      </c>
      <c r="D55" s="114" t="s">
        <v>1085</v>
      </c>
    </row>
    <row r="56" spans="1:4" x14ac:dyDescent="0.4">
      <c r="A56" s="114" t="s">
        <v>1120</v>
      </c>
      <c r="B56" s="114" t="s">
        <v>1121</v>
      </c>
      <c r="C56" s="425">
        <v>999999</v>
      </c>
      <c r="D56" s="114" t="s">
        <v>1085</v>
      </c>
    </row>
    <row r="57" spans="1:4" x14ac:dyDescent="0.4">
      <c r="A57" s="114" t="s">
        <v>1122</v>
      </c>
      <c r="B57" s="114" t="s">
        <v>1123</v>
      </c>
      <c r="C57" s="425">
        <v>999999</v>
      </c>
      <c r="D57" s="114" t="s">
        <v>1085</v>
      </c>
    </row>
    <row r="58" spans="1:4" x14ac:dyDescent="0.4">
      <c r="A58" s="114" t="s">
        <v>1124</v>
      </c>
      <c r="B58" s="114" t="s">
        <v>1125</v>
      </c>
      <c r="C58" s="425">
        <v>999999</v>
      </c>
      <c r="D58" s="114" t="s">
        <v>1085</v>
      </c>
    </row>
    <row r="59" spans="1:4" x14ac:dyDescent="0.4">
      <c r="A59" s="114" t="s">
        <v>1126</v>
      </c>
      <c r="B59" s="114" t="s">
        <v>1127</v>
      </c>
      <c r="C59" s="425">
        <v>999999</v>
      </c>
      <c r="D59" s="114" t="s">
        <v>1085</v>
      </c>
    </row>
    <row r="60" spans="1:4" x14ac:dyDescent="0.4">
      <c r="A60" s="114" t="s">
        <v>1128</v>
      </c>
      <c r="B60" s="114" t="s">
        <v>1129</v>
      </c>
      <c r="C60" s="425">
        <v>999999</v>
      </c>
      <c r="D60" s="114" t="s">
        <v>1085</v>
      </c>
    </row>
    <row r="61" spans="1:4" x14ac:dyDescent="0.4">
      <c r="A61" s="114" t="s">
        <v>1130</v>
      </c>
      <c r="B61" s="114" t="s">
        <v>1131</v>
      </c>
      <c r="C61" s="425">
        <v>999999</v>
      </c>
      <c r="D61" s="114" t="s">
        <v>1085</v>
      </c>
    </row>
    <row r="62" spans="1:4" x14ac:dyDescent="0.4">
      <c r="A62" s="114" t="s">
        <v>1132</v>
      </c>
      <c r="B62" s="114" t="s">
        <v>1133</v>
      </c>
      <c r="C62" s="425">
        <v>999999</v>
      </c>
      <c r="D62" s="114" t="s">
        <v>1085</v>
      </c>
    </row>
    <row r="63" spans="1:4" x14ac:dyDescent="0.4">
      <c r="A63" s="114" t="s">
        <v>1134</v>
      </c>
      <c r="B63" s="114" t="s">
        <v>1135</v>
      </c>
      <c r="C63" s="425">
        <v>999999</v>
      </c>
      <c r="D63" s="114" t="s">
        <v>1085</v>
      </c>
    </row>
    <row r="64" spans="1:4" x14ac:dyDescent="0.4">
      <c r="A64" s="114" t="s">
        <v>1136</v>
      </c>
      <c r="B64" s="114" t="s">
        <v>1137</v>
      </c>
      <c r="C64" s="425">
        <v>999999</v>
      </c>
      <c r="D64" s="114" t="s">
        <v>1085</v>
      </c>
    </row>
    <row r="65" spans="1:4" x14ac:dyDescent="0.4">
      <c r="A65" s="114" t="s">
        <v>1138</v>
      </c>
      <c r="B65" s="114" t="s">
        <v>1139</v>
      </c>
      <c r="C65" s="425">
        <v>999999</v>
      </c>
      <c r="D65" s="114" t="s">
        <v>1085</v>
      </c>
    </row>
    <row r="66" spans="1:4" x14ac:dyDescent="0.4">
      <c r="A66" s="114" t="s">
        <v>1140</v>
      </c>
      <c r="B66" s="114" t="s">
        <v>1141</v>
      </c>
      <c r="C66" s="425">
        <v>999999</v>
      </c>
      <c r="D66" s="114" t="s">
        <v>1085</v>
      </c>
    </row>
    <row r="67" spans="1:4" x14ac:dyDescent="0.4">
      <c r="A67" s="114" t="s">
        <v>1142</v>
      </c>
      <c r="B67" s="114" t="s">
        <v>1143</v>
      </c>
      <c r="C67" s="425">
        <v>999999</v>
      </c>
      <c r="D67" s="114" t="s">
        <v>1085</v>
      </c>
    </row>
    <row r="68" spans="1:4" x14ac:dyDescent="0.4">
      <c r="A68" s="114" t="s">
        <v>1144</v>
      </c>
      <c r="B68" s="114" t="s">
        <v>1145</v>
      </c>
      <c r="C68" s="425">
        <v>999999</v>
      </c>
      <c r="D68" s="114" t="s">
        <v>1085</v>
      </c>
    </row>
    <row r="69" spans="1:4" x14ac:dyDescent="0.4">
      <c r="A69" s="114" t="s">
        <v>1146</v>
      </c>
      <c r="B69" s="114" t="s">
        <v>1147</v>
      </c>
      <c r="C69" s="425">
        <v>999999</v>
      </c>
      <c r="D69" s="114" t="s">
        <v>1085</v>
      </c>
    </row>
    <row r="70" spans="1:4" x14ac:dyDescent="0.4">
      <c r="A70" s="114" t="s">
        <v>1148</v>
      </c>
      <c r="B70" s="114" t="s">
        <v>1149</v>
      </c>
      <c r="C70" s="425">
        <v>999999</v>
      </c>
      <c r="D70" s="114" t="s">
        <v>1085</v>
      </c>
    </row>
    <row r="71" spans="1:4" x14ac:dyDescent="0.4">
      <c r="A71" s="114" t="s">
        <v>1150</v>
      </c>
      <c r="B71" s="114" t="s">
        <v>1151</v>
      </c>
      <c r="C71" s="425">
        <v>999999</v>
      </c>
      <c r="D71" s="114" t="s">
        <v>1085</v>
      </c>
    </row>
    <row r="72" spans="1:4" x14ac:dyDescent="0.4">
      <c r="A72" s="114" t="s">
        <v>1152</v>
      </c>
      <c r="B72" s="114" t="s">
        <v>1153</v>
      </c>
      <c r="C72" s="425">
        <v>999999</v>
      </c>
      <c r="D72" s="114" t="s">
        <v>1085</v>
      </c>
    </row>
    <row r="73" spans="1:4" x14ac:dyDescent="0.4">
      <c r="A73" s="114" t="s">
        <v>1154</v>
      </c>
      <c r="B73" s="114" t="s">
        <v>1155</v>
      </c>
      <c r="C73" s="425">
        <v>999999</v>
      </c>
      <c r="D73" s="114" t="s">
        <v>1085</v>
      </c>
    </row>
    <row r="74" spans="1:4" x14ac:dyDescent="0.4">
      <c r="A74" s="114" t="s">
        <v>1156</v>
      </c>
      <c r="B74" s="114" t="s">
        <v>1157</v>
      </c>
      <c r="C74" s="425">
        <v>999999</v>
      </c>
      <c r="D74" s="114" t="s">
        <v>1085</v>
      </c>
    </row>
    <row r="75" spans="1:4" x14ac:dyDescent="0.4">
      <c r="A75" s="114" t="s">
        <v>1158</v>
      </c>
      <c r="B75" s="114" t="s">
        <v>1159</v>
      </c>
      <c r="C75" s="425">
        <v>999999</v>
      </c>
      <c r="D75" s="114" t="s">
        <v>1085</v>
      </c>
    </row>
    <row r="76" spans="1:4" x14ac:dyDescent="0.4">
      <c r="A76" s="114" t="s">
        <v>1160</v>
      </c>
      <c r="B76" s="114" t="s">
        <v>1161</v>
      </c>
      <c r="C76" s="425">
        <v>999999</v>
      </c>
      <c r="D76" s="114" t="s">
        <v>1085</v>
      </c>
    </row>
    <row r="77" spans="1:4" x14ac:dyDescent="0.4">
      <c r="A77" s="114" t="s">
        <v>1162</v>
      </c>
      <c r="B77" s="114" t="s">
        <v>1163</v>
      </c>
      <c r="C77" s="425">
        <v>999999</v>
      </c>
      <c r="D77" s="114" t="s">
        <v>1085</v>
      </c>
    </row>
    <row r="78" spans="1:4" x14ac:dyDescent="0.4">
      <c r="A78" s="114" t="s">
        <v>1164</v>
      </c>
      <c r="B78" s="114" t="s">
        <v>1165</v>
      </c>
      <c r="C78" s="425">
        <v>999999</v>
      </c>
      <c r="D78" s="114" t="s">
        <v>1085</v>
      </c>
    </row>
    <row r="79" spans="1:4" x14ac:dyDescent="0.4">
      <c r="A79" s="114" t="s">
        <v>1166</v>
      </c>
      <c r="B79" s="114" t="s">
        <v>1167</v>
      </c>
      <c r="C79" s="425">
        <v>999999</v>
      </c>
      <c r="D79" s="114" t="s">
        <v>1085</v>
      </c>
    </row>
    <row r="80" spans="1:4" x14ac:dyDescent="0.4">
      <c r="A80" s="114" t="s">
        <v>1168</v>
      </c>
      <c r="B80" s="114" t="s">
        <v>1169</v>
      </c>
      <c r="C80" s="425">
        <v>999999</v>
      </c>
      <c r="D80" s="114" t="s">
        <v>1085</v>
      </c>
    </row>
    <row r="81" spans="1:4" x14ac:dyDescent="0.4">
      <c r="A81" s="114" t="s">
        <v>1170</v>
      </c>
      <c r="B81" s="114" t="s">
        <v>1171</v>
      </c>
      <c r="C81" s="425">
        <v>999999</v>
      </c>
      <c r="D81" s="114" t="s">
        <v>1085</v>
      </c>
    </row>
    <row r="82" spans="1:4" x14ac:dyDescent="0.4">
      <c r="A82" s="114" t="s">
        <v>1172</v>
      </c>
      <c r="B82" s="114" t="s">
        <v>1173</v>
      </c>
      <c r="C82" s="425">
        <v>999999</v>
      </c>
      <c r="D82" s="114" t="s">
        <v>1085</v>
      </c>
    </row>
    <row r="83" spans="1:4" x14ac:dyDescent="0.4">
      <c r="A83" s="114" t="s">
        <v>1174</v>
      </c>
      <c r="B83" s="114" t="s">
        <v>1175</v>
      </c>
      <c r="C83" s="425">
        <v>999999</v>
      </c>
      <c r="D83" s="114" t="s">
        <v>1085</v>
      </c>
    </row>
    <row r="84" spans="1:4" x14ac:dyDescent="0.4">
      <c r="A84" s="114" t="s">
        <v>1176</v>
      </c>
      <c r="B84" s="114" t="s">
        <v>1177</v>
      </c>
      <c r="C84" s="425">
        <v>999999</v>
      </c>
      <c r="D84" s="114" t="s">
        <v>1085</v>
      </c>
    </row>
    <row r="85" spans="1:4" x14ac:dyDescent="0.4">
      <c r="A85" s="114" t="s">
        <v>1178</v>
      </c>
      <c r="B85" s="114" t="s">
        <v>1179</v>
      </c>
      <c r="C85" s="425">
        <v>999999</v>
      </c>
      <c r="D85" s="114" t="s">
        <v>1085</v>
      </c>
    </row>
    <row r="86" spans="1:4" x14ac:dyDescent="0.4">
      <c r="A86" s="114" t="s">
        <v>1180</v>
      </c>
      <c r="B86" s="114" t="s">
        <v>1181</v>
      </c>
      <c r="C86" s="425">
        <v>999999</v>
      </c>
      <c r="D86" s="114" t="s">
        <v>1085</v>
      </c>
    </row>
    <row r="87" spans="1:4" x14ac:dyDescent="0.4">
      <c r="A87" s="114" t="s">
        <v>1182</v>
      </c>
      <c r="B87" s="114" t="s">
        <v>1183</v>
      </c>
      <c r="C87" s="425">
        <v>999999</v>
      </c>
      <c r="D87" s="114" t="s">
        <v>1085</v>
      </c>
    </row>
    <row r="88" spans="1:4" x14ac:dyDescent="0.4">
      <c r="A88" s="114" t="s">
        <v>1184</v>
      </c>
      <c r="B88" s="114" t="s">
        <v>1185</v>
      </c>
      <c r="C88" s="425">
        <v>999999</v>
      </c>
      <c r="D88" s="114" t="s">
        <v>1085</v>
      </c>
    </row>
    <row r="89" spans="1:4" x14ac:dyDescent="0.4">
      <c r="A89" s="114" t="s">
        <v>1186</v>
      </c>
      <c r="B89" s="114" t="s">
        <v>1187</v>
      </c>
      <c r="C89" s="425">
        <v>999999</v>
      </c>
      <c r="D89" s="114" t="s">
        <v>1085</v>
      </c>
    </row>
    <row r="90" spans="1:4" x14ac:dyDescent="0.4">
      <c r="A90" s="114" t="s">
        <v>1188</v>
      </c>
      <c r="B90" s="114" t="s">
        <v>1189</v>
      </c>
      <c r="C90" s="425">
        <v>999999</v>
      </c>
      <c r="D90" s="114" t="s">
        <v>1085</v>
      </c>
    </row>
    <row r="91" spans="1:4" x14ac:dyDescent="0.4">
      <c r="A91" s="114" t="s">
        <v>1190</v>
      </c>
      <c r="B91" s="114" t="s">
        <v>1191</v>
      </c>
      <c r="C91" s="425">
        <v>999999</v>
      </c>
      <c r="D91" s="114" t="s">
        <v>1085</v>
      </c>
    </row>
    <row r="92" spans="1:4" x14ac:dyDescent="0.4">
      <c r="A92" s="114" t="s">
        <v>1192</v>
      </c>
      <c r="B92" s="114" t="s">
        <v>1193</v>
      </c>
      <c r="C92" s="425">
        <v>999999</v>
      </c>
      <c r="D92" s="114" t="s">
        <v>1085</v>
      </c>
    </row>
    <row r="93" spans="1:4" x14ac:dyDescent="0.4">
      <c r="A93" s="114" t="s">
        <v>1194</v>
      </c>
      <c r="B93" s="114" t="s">
        <v>1195</v>
      </c>
      <c r="C93" s="425">
        <v>999999</v>
      </c>
      <c r="D93" s="114" t="s">
        <v>1085</v>
      </c>
    </row>
    <row r="94" spans="1:4" x14ac:dyDescent="0.4">
      <c r="A94" s="114" t="s">
        <v>1196</v>
      </c>
      <c r="B94" s="114" t="s">
        <v>1197</v>
      </c>
      <c r="C94" s="425">
        <v>999999</v>
      </c>
      <c r="D94" s="114" t="s">
        <v>1085</v>
      </c>
    </row>
    <row r="95" spans="1:4" x14ac:dyDescent="0.4">
      <c r="A95" s="114" t="s">
        <v>1198</v>
      </c>
      <c r="B95" s="114" t="s">
        <v>1199</v>
      </c>
      <c r="C95" s="425">
        <v>999999</v>
      </c>
      <c r="D95" s="114" t="s">
        <v>1085</v>
      </c>
    </row>
    <row r="96" spans="1:4" x14ac:dyDescent="0.4">
      <c r="A96" s="114" t="s">
        <v>1200</v>
      </c>
      <c r="B96" s="114" t="s">
        <v>1201</v>
      </c>
      <c r="C96" s="425">
        <v>999999</v>
      </c>
      <c r="D96" s="114" t="s">
        <v>1085</v>
      </c>
    </row>
    <row r="97" spans="1:4" x14ac:dyDescent="0.4">
      <c r="A97" s="114" t="s">
        <v>1202</v>
      </c>
      <c r="B97" s="114" t="s">
        <v>1203</v>
      </c>
      <c r="C97" s="425">
        <v>999999</v>
      </c>
      <c r="D97" s="114" t="s">
        <v>1085</v>
      </c>
    </row>
    <row r="98" spans="1:4" x14ac:dyDescent="0.4">
      <c r="A98" s="114" t="s">
        <v>1204</v>
      </c>
      <c r="B98" s="114" t="s">
        <v>1205</v>
      </c>
      <c r="C98" s="425">
        <v>999999</v>
      </c>
      <c r="D98" s="114" t="s">
        <v>1085</v>
      </c>
    </row>
    <row r="99" spans="1:4" x14ac:dyDescent="0.4">
      <c r="A99" s="114" t="s">
        <v>1206</v>
      </c>
      <c r="B99" s="114" t="s">
        <v>1207</v>
      </c>
      <c r="C99" s="425">
        <v>999999</v>
      </c>
      <c r="D99" s="114" t="s">
        <v>1085</v>
      </c>
    </row>
    <row r="100" spans="1:4" x14ac:dyDescent="0.4">
      <c r="A100" s="114" t="s">
        <v>1208</v>
      </c>
      <c r="B100" s="114" t="s">
        <v>1209</v>
      </c>
      <c r="C100" s="425">
        <v>999999</v>
      </c>
      <c r="D100" s="114" t="s">
        <v>1085</v>
      </c>
    </row>
    <row r="101" spans="1:4" x14ac:dyDescent="0.4">
      <c r="A101" s="114" t="s">
        <v>1210</v>
      </c>
      <c r="B101" s="114" t="s">
        <v>1211</v>
      </c>
      <c r="C101" s="425">
        <v>999999</v>
      </c>
      <c r="D101" s="114" t="s">
        <v>1085</v>
      </c>
    </row>
    <row r="102" spans="1:4" x14ac:dyDescent="0.4">
      <c r="A102" s="114" t="s">
        <v>1212</v>
      </c>
      <c r="B102" s="114" t="s">
        <v>1213</v>
      </c>
      <c r="C102" s="425">
        <v>999999</v>
      </c>
      <c r="D102" s="114" t="s">
        <v>1085</v>
      </c>
    </row>
    <row r="103" spans="1:4" x14ac:dyDescent="0.4">
      <c r="A103" s="114" t="s">
        <v>1214</v>
      </c>
      <c r="B103" s="114" t="s">
        <v>1215</v>
      </c>
      <c r="C103" s="425">
        <v>999999</v>
      </c>
      <c r="D103" s="114" t="s">
        <v>1085</v>
      </c>
    </row>
    <row r="104" spans="1:4" x14ac:dyDescent="0.4">
      <c r="A104" s="114" t="s">
        <v>1216</v>
      </c>
      <c r="B104" s="114" t="s">
        <v>1217</v>
      </c>
      <c r="C104" s="425">
        <v>999999</v>
      </c>
      <c r="D104" s="114" t="s">
        <v>1085</v>
      </c>
    </row>
    <row r="105" spans="1:4" x14ac:dyDescent="0.4">
      <c r="A105" s="114" t="s">
        <v>1218</v>
      </c>
      <c r="B105" s="114" t="s">
        <v>1219</v>
      </c>
      <c r="C105" s="425">
        <v>999999</v>
      </c>
      <c r="D105" s="114" t="s">
        <v>1085</v>
      </c>
    </row>
    <row r="106" spans="1:4" x14ac:dyDescent="0.4">
      <c r="A106" s="114" t="s">
        <v>1220</v>
      </c>
      <c r="B106" s="114" t="s">
        <v>1221</v>
      </c>
      <c r="C106" s="425">
        <v>999999</v>
      </c>
      <c r="D106" s="114" t="s">
        <v>1085</v>
      </c>
    </row>
    <row r="107" spans="1:4" x14ac:dyDescent="0.4">
      <c r="A107" s="114" t="s">
        <v>1222</v>
      </c>
      <c r="B107" s="114" t="s">
        <v>1223</v>
      </c>
      <c r="C107" s="425">
        <v>999999</v>
      </c>
      <c r="D107" s="114" t="s">
        <v>1085</v>
      </c>
    </row>
    <row r="108" spans="1:4" x14ac:dyDescent="0.4">
      <c r="A108" s="114" t="s">
        <v>1224</v>
      </c>
      <c r="B108" s="114" t="s">
        <v>1225</v>
      </c>
      <c r="C108" s="425">
        <v>999999</v>
      </c>
      <c r="D108" s="114" t="s">
        <v>1085</v>
      </c>
    </row>
    <row r="109" spans="1:4" x14ac:dyDescent="0.4">
      <c r="A109" s="114" t="s">
        <v>1226</v>
      </c>
      <c r="B109" s="114" t="s">
        <v>1227</v>
      </c>
      <c r="C109" s="425">
        <v>999999</v>
      </c>
      <c r="D109" s="114" t="s">
        <v>1085</v>
      </c>
    </row>
    <row r="110" spans="1:4" x14ac:dyDescent="0.4">
      <c r="A110" s="114" t="s">
        <v>1228</v>
      </c>
      <c r="B110" s="114" t="s">
        <v>1229</v>
      </c>
      <c r="C110" s="425">
        <v>999999</v>
      </c>
      <c r="D110" s="114" t="s">
        <v>1085</v>
      </c>
    </row>
    <row r="111" spans="1:4" x14ac:dyDescent="0.4">
      <c r="A111" s="114" t="s">
        <v>1230</v>
      </c>
      <c r="B111" s="114" t="s">
        <v>1231</v>
      </c>
      <c r="C111" s="425">
        <v>999999</v>
      </c>
      <c r="D111" s="114" t="s">
        <v>1085</v>
      </c>
    </row>
    <row r="112" spans="1:4" x14ac:dyDescent="0.4">
      <c r="A112" s="114" t="s">
        <v>1232</v>
      </c>
      <c r="B112" s="114" t="s">
        <v>1233</v>
      </c>
      <c r="C112" s="425">
        <v>999999</v>
      </c>
      <c r="D112" s="114" t="s">
        <v>1085</v>
      </c>
    </row>
    <row r="113" spans="1:5" x14ac:dyDescent="0.4">
      <c r="A113" s="114" t="s">
        <v>1234</v>
      </c>
      <c r="B113" s="114" t="s">
        <v>1235</v>
      </c>
      <c r="C113" s="425">
        <v>999999</v>
      </c>
      <c r="D113" s="114" t="s">
        <v>1085</v>
      </c>
    </row>
    <row r="114" spans="1:5" x14ac:dyDescent="0.4">
      <c r="A114" s="114" t="s">
        <v>1236</v>
      </c>
      <c r="B114" s="114" t="s">
        <v>1237</v>
      </c>
      <c r="C114" s="425">
        <v>999999</v>
      </c>
      <c r="D114" s="114" t="s">
        <v>1085</v>
      </c>
    </row>
    <row r="115" spans="1:5" x14ac:dyDescent="0.4">
      <c r="A115" s="114" t="s">
        <v>1238</v>
      </c>
      <c r="B115" s="114" t="s">
        <v>1239</v>
      </c>
      <c r="C115" s="425">
        <v>999999</v>
      </c>
      <c r="D115" s="114" t="s">
        <v>1085</v>
      </c>
    </row>
    <row r="116" spans="1:5" x14ac:dyDescent="0.4">
      <c r="A116" s="114" t="s">
        <v>1240</v>
      </c>
      <c r="B116" s="114" t="s">
        <v>1241</v>
      </c>
      <c r="C116" s="425">
        <v>999999</v>
      </c>
      <c r="D116" s="114" t="s">
        <v>1085</v>
      </c>
    </row>
    <row r="117" spans="1:5" x14ac:dyDescent="0.4">
      <c r="A117" s="114" t="s">
        <v>1242</v>
      </c>
      <c r="B117" s="114" t="s">
        <v>1243</v>
      </c>
      <c r="C117" s="425">
        <v>999999</v>
      </c>
      <c r="D117" s="114" t="s">
        <v>1085</v>
      </c>
    </row>
    <row r="118" spans="1:5" x14ac:dyDescent="0.4">
      <c r="A118" s="114" t="s">
        <v>1244</v>
      </c>
      <c r="B118" s="114" t="s">
        <v>1244</v>
      </c>
      <c r="C118" s="425">
        <v>62</v>
      </c>
      <c r="D118" s="114" t="s">
        <v>842</v>
      </c>
    </row>
    <row r="119" spans="1:5" x14ac:dyDescent="0.4">
      <c r="A119" s="114" t="s">
        <v>267</v>
      </c>
      <c r="B119" s="114" t="s">
        <v>267</v>
      </c>
      <c r="C119" s="425">
        <v>3.48</v>
      </c>
      <c r="D119" s="114" t="s">
        <v>782</v>
      </c>
      <c r="E119" s="114">
        <v>0.1</v>
      </c>
    </row>
    <row r="120" spans="1:5" x14ac:dyDescent="0.4">
      <c r="A120" s="114" t="s">
        <v>266</v>
      </c>
      <c r="B120" s="114" t="s">
        <v>266</v>
      </c>
      <c r="C120" s="425">
        <v>4.5599999999999996</v>
      </c>
      <c r="D120" s="114" t="s">
        <v>782</v>
      </c>
      <c r="E120" s="114">
        <v>0.1</v>
      </c>
    </row>
    <row r="121" spans="1:5" x14ac:dyDescent="0.4">
      <c r="A121" s="114" t="s">
        <v>361</v>
      </c>
      <c r="B121" s="114" t="s">
        <v>361</v>
      </c>
      <c r="C121" s="425">
        <v>2.4</v>
      </c>
      <c r="D121" s="114" t="s">
        <v>782</v>
      </c>
      <c r="E121" s="114">
        <v>0.1</v>
      </c>
    </row>
    <row r="122" spans="1:5" x14ac:dyDescent="0.4">
      <c r="A122" s="114" t="s">
        <v>351</v>
      </c>
      <c r="B122" s="114" t="s">
        <v>351</v>
      </c>
      <c r="E122" s="114">
        <v>1</v>
      </c>
    </row>
  </sheetData>
  <conditionalFormatting sqref="A10">
    <cfRule type="expression" dxfId="10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election activeCell="L22" sqref="L22"/>
    </sheetView>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5"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1245</v>
      </c>
      <c r="B1" s="33" t="s">
        <v>758</v>
      </c>
      <c r="C1" s="33" t="s">
        <v>1245</v>
      </c>
      <c r="D1" s="447" t="s">
        <v>944</v>
      </c>
      <c r="E1" s="33" t="s">
        <v>940</v>
      </c>
      <c r="F1" s="33" t="s">
        <v>1246</v>
      </c>
      <c r="G1" s="33" t="s">
        <v>1245</v>
      </c>
      <c r="H1" s="33" t="s">
        <v>944</v>
      </c>
      <c r="I1" s="33" t="s">
        <v>940</v>
      </c>
    </row>
    <row r="2" spans="1:9" x14ac:dyDescent="0.4">
      <c r="A2" s="114" t="s">
        <v>1074</v>
      </c>
      <c r="B2" s="114" t="s">
        <v>842</v>
      </c>
      <c r="C2" s="114" t="s">
        <v>972</v>
      </c>
      <c r="D2" s="425">
        <f>VLOOKUP(C2,'Part List'!B:D,2,FALSE)</f>
        <v>243.55</v>
      </c>
      <c r="H2" s="425" t="e">
        <f>VLOOKUP(G2,'Part List'!B:D,2,FALSE)</f>
        <v>#N/A</v>
      </c>
    </row>
    <row r="3" spans="1:9" x14ac:dyDescent="0.4">
      <c r="A3" s="114" t="s">
        <v>1075</v>
      </c>
      <c r="B3" s="114" t="s">
        <v>842</v>
      </c>
      <c r="C3" s="114" t="s">
        <v>754</v>
      </c>
      <c r="D3" s="425">
        <f>VLOOKUP(C3,'Part List'!B:D,2,FALSE)</f>
        <v>294.60000000000002</v>
      </c>
      <c r="H3" s="425" t="e">
        <f>VLOOKUP(G3,'Part List'!B:D,2,FALSE)</f>
        <v>#N/A</v>
      </c>
    </row>
    <row r="4" spans="1:9" x14ac:dyDescent="0.4">
      <c r="A4" s="114" t="s">
        <v>1076</v>
      </c>
      <c r="B4" s="114" t="s">
        <v>842</v>
      </c>
      <c r="C4" s="114" t="s">
        <v>975</v>
      </c>
      <c r="D4" s="425">
        <f>VLOOKUP(C4,'Part List'!B:D,2,FALSE)</f>
        <v>488.25</v>
      </c>
      <c r="H4" s="425" t="e">
        <f>VLOOKUP(G4,'Part List'!B:D,2,FALSE)</f>
        <v>#N/A</v>
      </c>
    </row>
    <row r="5" spans="1:9" x14ac:dyDescent="0.4">
      <c r="A5" s="114" t="s">
        <v>1247</v>
      </c>
      <c r="B5" s="114" t="s">
        <v>842</v>
      </c>
      <c r="C5" s="114" t="s">
        <v>979</v>
      </c>
      <c r="D5" s="425" t="e">
        <f>VLOOKUP(C5,'Part List'!B:D,2,FALSE)</f>
        <v>#N/A</v>
      </c>
      <c r="H5" s="425" t="e">
        <f>VLOOKUP(G5,'Part List'!B:D,2,FALSE)</f>
        <v>#N/A</v>
      </c>
    </row>
    <row r="6" spans="1:9" x14ac:dyDescent="0.4">
      <c r="A6" s="114" t="s">
        <v>1077</v>
      </c>
      <c r="B6" s="114" t="s">
        <v>842</v>
      </c>
      <c r="C6" s="114" t="s">
        <v>981</v>
      </c>
      <c r="D6" s="425">
        <f>VLOOKUP(C6,'Part List'!B:D,2,FALSE)</f>
        <v>700.9</v>
      </c>
      <c r="H6" s="425" t="e">
        <f>VLOOKUP(G6,'Part List'!B:D,2,FALSE)</f>
        <v>#N/A</v>
      </c>
    </row>
    <row r="7" spans="1:9" x14ac:dyDescent="0.4">
      <c r="A7" s="114" t="s">
        <v>1078</v>
      </c>
      <c r="B7" s="114" t="s">
        <v>842</v>
      </c>
      <c r="C7" s="114" t="s">
        <v>982</v>
      </c>
      <c r="D7" s="425">
        <f>VLOOKUP(C7,'Part List'!B:D,2,FALSE)</f>
        <v>243.55</v>
      </c>
      <c r="H7" s="425" t="e">
        <f>VLOOKUP(G7,'Part List'!B:D,2,FALSE)</f>
        <v>#N/A</v>
      </c>
    </row>
    <row r="8" spans="1:9" x14ac:dyDescent="0.4">
      <c r="A8" s="114" t="s">
        <v>1079</v>
      </c>
      <c r="B8" s="114" t="s">
        <v>842</v>
      </c>
      <c r="C8" s="114" t="s">
        <v>983</v>
      </c>
      <c r="D8" s="425">
        <f>VLOOKUP(C8,'Part List'!B:D,2,FALSE)</f>
        <v>356.4</v>
      </c>
      <c r="H8" s="425" t="e">
        <f>VLOOKUP(G8,'Part List'!B:D,2,FALSE)</f>
        <v>#N/A</v>
      </c>
    </row>
    <row r="9" spans="1:9" x14ac:dyDescent="0.4">
      <c r="A9" s="114" t="s">
        <v>1080</v>
      </c>
      <c r="B9" s="114" t="s">
        <v>842</v>
      </c>
      <c r="C9" s="114" t="s">
        <v>984</v>
      </c>
      <c r="D9" s="425">
        <f>VLOOKUP(C9,'Part List'!B:D,2,FALSE)</f>
        <v>541.75</v>
      </c>
      <c r="H9" s="425" t="e">
        <f>VLOOKUP(G9,'Part List'!B:D,2,FALSE)</f>
        <v>#N/A</v>
      </c>
    </row>
    <row r="10" spans="1:9" x14ac:dyDescent="0.4">
      <c r="A10" s="114" t="s">
        <v>1081</v>
      </c>
      <c r="B10" s="114" t="s">
        <v>842</v>
      </c>
      <c r="C10" s="114" t="s">
        <v>985</v>
      </c>
      <c r="D10" s="425">
        <f>VLOOKUP(C10,'Part List'!B:D,2,FALSE)</f>
        <v>651</v>
      </c>
      <c r="H10" s="425" t="e">
        <f>VLOOKUP(G10,'Part List'!B:D,2,FALSE)</f>
        <v>#N/A</v>
      </c>
    </row>
    <row r="11" spans="1:9" x14ac:dyDescent="0.4">
      <c r="A11" s="114" t="s">
        <v>1082</v>
      </c>
      <c r="B11" s="114" t="s">
        <v>842</v>
      </c>
      <c r="C11" s="114" t="s">
        <v>981</v>
      </c>
      <c r="D11" s="425">
        <f>VLOOKUP(C11,'Part List'!B:D,2,FALSE)</f>
        <v>700.9</v>
      </c>
      <c r="H11" s="425" t="e">
        <f>VLOOKUP(G11,'Part List'!B:D,2,FALSE)</f>
        <v>#N/A</v>
      </c>
    </row>
    <row r="12" spans="1:9" x14ac:dyDescent="0.4">
      <c r="A12" s="114" t="s">
        <v>1083</v>
      </c>
      <c r="B12" s="114" t="s">
        <v>1085</v>
      </c>
      <c r="C12" s="114" t="s">
        <v>1084</v>
      </c>
      <c r="D12" s="425">
        <f>VLOOKUP(C12,'Part List'!B:D,2,FALSE)</f>
        <v>999999</v>
      </c>
      <c r="H12" s="425" t="e">
        <f>VLOOKUP(G12,'Part List'!B:D,2,FALSE)</f>
        <v>#N/A</v>
      </c>
    </row>
    <row r="13" spans="1:9" x14ac:dyDescent="0.4">
      <c r="A13" s="114" t="s">
        <v>1086</v>
      </c>
      <c r="B13" s="114" t="s">
        <v>1085</v>
      </c>
      <c r="C13" s="114" t="s">
        <v>1087</v>
      </c>
      <c r="D13" s="425">
        <f>VLOOKUP(C13,'Part List'!B:D,2,FALSE)</f>
        <v>999999</v>
      </c>
      <c r="H13" s="425" t="e">
        <f>VLOOKUP(G13,'Part List'!B:D,2,FALSE)</f>
        <v>#N/A</v>
      </c>
    </row>
    <row r="14" spans="1:9" x14ac:dyDescent="0.4">
      <c r="A14" s="114" t="s">
        <v>1088</v>
      </c>
      <c r="B14" s="114" t="s">
        <v>1085</v>
      </c>
      <c r="C14" s="114" t="s">
        <v>1089</v>
      </c>
      <c r="D14" s="425">
        <f>VLOOKUP(C14,'Part List'!B:D,2,FALSE)</f>
        <v>999999</v>
      </c>
      <c r="H14" s="425" t="e">
        <f>VLOOKUP(G14,'Part List'!B:D,2,FALSE)</f>
        <v>#N/A</v>
      </c>
    </row>
    <row r="15" spans="1:9" x14ac:dyDescent="0.4">
      <c r="A15" s="114" t="s">
        <v>1090</v>
      </c>
      <c r="B15" s="114" t="s">
        <v>1085</v>
      </c>
      <c r="C15" s="114" t="s">
        <v>1091</v>
      </c>
      <c r="D15" s="425">
        <f>VLOOKUP(C15,'Part List'!B:D,2,FALSE)</f>
        <v>999999</v>
      </c>
      <c r="H15" s="425" t="e">
        <f>VLOOKUP(G15,'Part List'!B:D,2,FALSE)</f>
        <v>#N/A</v>
      </c>
    </row>
    <row r="16" spans="1:9" x14ac:dyDescent="0.4">
      <c r="A16" s="114" t="s">
        <v>1092</v>
      </c>
      <c r="B16" s="114" t="s">
        <v>1085</v>
      </c>
      <c r="C16" s="114" t="s">
        <v>1093</v>
      </c>
      <c r="D16" s="425">
        <f>VLOOKUP(C16,'Part List'!B:D,2,FALSE)</f>
        <v>999999</v>
      </c>
      <c r="H16" s="425" t="e">
        <f>VLOOKUP(G16,'Part List'!B:D,2,FALSE)</f>
        <v>#N/A</v>
      </c>
    </row>
    <row r="17" spans="1:8" x14ac:dyDescent="0.4">
      <c r="A17" s="114" t="s">
        <v>1094</v>
      </c>
      <c r="B17" s="114" t="s">
        <v>1085</v>
      </c>
      <c r="C17" s="114" t="s">
        <v>1095</v>
      </c>
      <c r="D17" s="425">
        <f>VLOOKUP(C17,'Part List'!B:D,2,FALSE)</f>
        <v>999999</v>
      </c>
      <c r="H17" s="425" t="e">
        <f>VLOOKUP(G17,'Part List'!B:D,2,FALSE)</f>
        <v>#N/A</v>
      </c>
    </row>
    <row r="18" spans="1:8" x14ac:dyDescent="0.4">
      <c r="A18" s="114" t="s">
        <v>1096</v>
      </c>
      <c r="B18" s="114" t="s">
        <v>1085</v>
      </c>
      <c r="C18" s="114" t="s">
        <v>1097</v>
      </c>
      <c r="D18" s="425">
        <f>VLOOKUP(C18,'Part List'!B:D,2,FALSE)</f>
        <v>999999</v>
      </c>
      <c r="H18" s="425" t="e">
        <f>VLOOKUP(G18,'Part List'!B:D,2,FALSE)</f>
        <v>#N/A</v>
      </c>
    </row>
    <row r="19" spans="1:8" x14ac:dyDescent="0.4">
      <c r="A19" s="114" t="s">
        <v>1098</v>
      </c>
      <c r="B19" s="114" t="s">
        <v>1085</v>
      </c>
      <c r="C19" s="114" t="s">
        <v>1099</v>
      </c>
      <c r="D19" s="425">
        <f>VLOOKUP(C19,'Part List'!B:D,2,FALSE)</f>
        <v>999999</v>
      </c>
      <c r="H19" s="425" t="e">
        <f>VLOOKUP(G19,'Part List'!B:D,2,FALSE)</f>
        <v>#N/A</v>
      </c>
    </row>
    <row r="20" spans="1:8" x14ac:dyDescent="0.4">
      <c r="A20" s="114" t="s">
        <v>1100</v>
      </c>
      <c r="B20" s="114" t="s">
        <v>1085</v>
      </c>
      <c r="C20" s="114" t="s">
        <v>1101</v>
      </c>
      <c r="D20" s="425">
        <f>VLOOKUP(C20,'Part List'!B:D,2,FALSE)</f>
        <v>999999</v>
      </c>
      <c r="H20" s="425" t="e">
        <f>VLOOKUP(G20,'Part List'!B:D,2,FALSE)</f>
        <v>#N/A</v>
      </c>
    </row>
    <row r="21" spans="1:8" x14ac:dyDescent="0.4">
      <c r="A21" s="114" t="s">
        <v>1102</v>
      </c>
      <c r="B21" s="114" t="s">
        <v>1085</v>
      </c>
      <c r="C21" s="114" t="s">
        <v>1103</v>
      </c>
      <c r="D21" s="425">
        <f>VLOOKUP(C21,'Part List'!B:D,2,FALSE)</f>
        <v>999999</v>
      </c>
      <c r="H21" s="425" t="e">
        <f>VLOOKUP(G21,'Part List'!B:D,2,FALSE)</f>
        <v>#N/A</v>
      </c>
    </row>
    <row r="22" spans="1:8" x14ac:dyDescent="0.4">
      <c r="A22" s="114" t="s">
        <v>1104</v>
      </c>
      <c r="B22" s="114" t="s">
        <v>1085</v>
      </c>
      <c r="C22" s="114" t="s">
        <v>1105</v>
      </c>
      <c r="D22" s="425">
        <f>VLOOKUP(C22,'Part List'!B:D,2,FALSE)</f>
        <v>999999</v>
      </c>
      <c r="H22" s="425" t="e">
        <f>VLOOKUP(G22,'Part List'!B:D,2,FALSE)</f>
        <v>#N/A</v>
      </c>
    </row>
    <row r="23" spans="1:8" x14ac:dyDescent="0.4">
      <c r="A23" s="114" t="s">
        <v>1106</v>
      </c>
      <c r="B23" s="114" t="s">
        <v>1085</v>
      </c>
      <c r="C23" s="114" t="s">
        <v>1107</v>
      </c>
      <c r="D23" s="425">
        <f>VLOOKUP(C23,'Part List'!B:D,2,FALSE)</f>
        <v>999999</v>
      </c>
      <c r="H23" s="425" t="e">
        <f>VLOOKUP(G23,'Part List'!B:D,2,FALSE)</f>
        <v>#N/A</v>
      </c>
    </row>
    <row r="24" spans="1:8" x14ac:dyDescent="0.4">
      <c r="A24" s="114" t="s">
        <v>1108</v>
      </c>
      <c r="B24" s="114" t="s">
        <v>1085</v>
      </c>
      <c r="C24" s="114" t="s">
        <v>1109</v>
      </c>
      <c r="D24" s="425">
        <f>VLOOKUP(C24,'Part List'!B:D,2,FALSE)</f>
        <v>999999</v>
      </c>
      <c r="H24" s="425" t="e">
        <f>VLOOKUP(G24,'Part List'!B:D,2,FALSE)</f>
        <v>#N/A</v>
      </c>
    </row>
    <row r="25" spans="1:8" x14ac:dyDescent="0.4">
      <c r="A25" s="114" t="s">
        <v>1110</v>
      </c>
      <c r="B25" s="114" t="s">
        <v>1085</v>
      </c>
      <c r="C25" s="114" t="s">
        <v>1111</v>
      </c>
      <c r="D25" s="425">
        <f>VLOOKUP(C25,'Part List'!B:D,2,FALSE)</f>
        <v>999999</v>
      </c>
      <c r="H25" s="425" t="e">
        <f>VLOOKUP(G25,'Part List'!B:D,2,FALSE)</f>
        <v>#N/A</v>
      </c>
    </row>
    <row r="26" spans="1:8" x14ac:dyDescent="0.4">
      <c r="A26" s="114" t="s">
        <v>1112</v>
      </c>
      <c r="B26" s="114" t="s">
        <v>1085</v>
      </c>
      <c r="C26" s="114" t="s">
        <v>1113</v>
      </c>
      <c r="D26" s="425">
        <f>VLOOKUP(C26,'Part List'!B:D,2,FALSE)</f>
        <v>999999</v>
      </c>
      <c r="H26" s="425" t="e">
        <f>VLOOKUP(G26,'Part List'!B:D,2,FALSE)</f>
        <v>#N/A</v>
      </c>
    </row>
    <row r="27" spans="1:8" x14ac:dyDescent="0.4">
      <c r="A27" s="114" t="s">
        <v>1114</v>
      </c>
      <c r="B27" s="114" t="s">
        <v>1085</v>
      </c>
      <c r="C27" s="114" t="s">
        <v>1115</v>
      </c>
      <c r="D27" s="425">
        <f>VLOOKUP(C27,'Part List'!B:D,2,FALSE)</f>
        <v>999999</v>
      </c>
      <c r="H27" s="425" t="e">
        <f>VLOOKUP(G27,'Part List'!B:D,2,FALSE)</f>
        <v>#N/A</v>
      </c>
    </row>
    <row r="28" spans="1:8" x14ac:dyDescent="0.4">
      <c r="A28" s="114" t="s">
        <v>1116</v>
      </c>
      <c r="B28" s="114" t="s">
        <v>1085</v>
      </c>
      <c r="C28" s="114" t="s">
        <v>1117</v>
      </c>
      <c r="D28" s="425">
        <f>VLOOKUP(C28,'Part List'!B:D,2,FALSE)</f>
        <v>999999</v>
      </c>
      <c r="H28" s="425" t="e">
        <f>VLOOKUP(G28,'Part List'!B:D,2,FALSE)</f>
        <v>#N/A</v>
      </c>
    </row>
    <row r="29" spans="1:8" x14ac:dyDescent="0.4">
      <c r="A29" s="114" t="s">
        <v>1118</v>
      </c>
      <c r="B29" s="114" t="s">
        <v>1085</v>
      </c>
      <c r="C29" s="114" t="s">
        <v>1119</v>
      </c>
      <c r="D29" s="425">
        <f>VLOOKUP(C29,'Part List'!B:D,2,FALSE)</f>
        <v>999999</v>
      </c>
      <c r="H29" s="425" t="e">
        <f>VLOOKUP(G29,'Part List'!B:D,2,FALSE)</f>
        <v>#N/A</v>
      </c>
    </row>
    <row r="30" spans="1:8" x14ac:dyDescent="0.4">
      <c r="A30" s="114" t="s">
        <v>1120</v>
      </c>
      <c r="B30" s="114" t="s">
        <v>1085</v>
      </c>
      <c r="C30" s="114" t="s">
        <v>1121</v>
      </c>
      <c r="D30" s="425">
        <f>VLOOKUP(C30,'Part List'!B:D,2,FALSE)</f>
        <v>999999</v>
      </c>
      <c r="H30" s="425" t="e">
        <f>VLOOKUP(G30,'Part List'!B:D,2,FALSE)</f>
        <v>#N/A</v>
      </c>
    </row>
    <row r="31" spans="1:8" x14ac:dyDescent="0.4">
      <c r="A31" s="114" t="s">
        <v>1122</v>
      </c>
      <c r="B31" s="114" t="s">
        <v>1085</v>
      </c>
      <c r="C31" s="114" t="s">
        <v>1123</v>
      </c>
      <c r="D31" s="425">
        <f>VLOOKUP(C31,'Part List'!B:D,2,FALSE)</f>
        <v>999999</v>
      </c>
      <c r="H31" s="425" t="e">
        <f>VLOOKUP(G31,'Part List'!B:D,2,FALSE)</f>
        <v>#N/A</v>
      </c>
    </row>
    <row r="32" spans="1:8" x14ac:dyDescent="0.4">
      <c r="A32" s="114" t="s">
        <v>1124</v>
      </c>
      <c r="B32" s="114" t="s">
        <v>1085</v>
      </c>
      <c r="C32" s="114" t="s">
        <v>1125</v>
      </c>
      <c r="D32" s="425">
        <f>VLOOKUP(C32,'Part List'!B:D,2,FALSE)</f>
        <v>999999</v>
      </c>
      <c r="H32" s="425" t="e">
        <f>VLOOKUP(G32,'Part List'!B:D,2,FALSE)</f>
        <v>#N/A</v>
      </c>
    </row>
    <row r="33" spans="1:8" x14ac:dyDescent="0.4">
      <c r="A33" s="114" t="s">
        <v>1126</v>
      </c>
      <c r="B33" s="114" t="s">
        <v>1085</v>
      </c>
      <c r="C33" s="114" t="s">
        <v>1127</v>
      </c>
      <c r="D33" s="425">
        <f>VLOOKUP(C33,'Part List'!B:D,2,FALSE)</f>
        <v>999999</v>
      </c>
      <c r="H33" s="425" t="e">
        <f>VLOOKUP(G33,'Part List'!B:D,2,FALSE)</f>
        <v>#N/A</v>
      </c>
    </row>
    <row r="34" spans="1:8" x14ac:dyDescent="0.4">
      <c r="A34" s="114" t="s">
        <v>1128</v>
      </c>
      <c r="B34" s="114" t="s">
        <v>1085</v>
      </c>
      <c r="C34" s="114" t="s">
        <v>1129</v>
      </c>
      <c r="D34" s="425">
        <f>VLOOKUP(C34,'Part List'!B:D,2,FALSE)</f>
        <v>999999</v>
      </c>
      <c r="H34" s="425" t="e">
        <f>VLOOKUP(G34,'Part List'!B:D,2,FALSE)</f>
        <v>#N/A</v>
      </c>
    </row>
    <row r="35" spans="1:8" x14ac:dyDescent="0.4">
      <c r="A35" s="114" t="s">
        <v>1130</v>
      </c>
      <c r="B35" s="114" t="s">
        <v>1085</v>
      </c>
      <c r="C35" s="114" t="s">
        <v>1131</v>
      </c>
      <c r="D35" s="425">
        <f>VLOOKUP(C35,'Part List'!B:D,2,FALSE)</f>
        <v>999999</v>
      </c>
      <c r="H35" s="425" t="e">
        <f>VLOOKUP(G35,'Part List'!B:D,2,FALSE)</f>
        <v>#N/A</v>
      </c>
    </row>
    <row r="36" spans="1:8" x14ac:dyDescent="0.4">
      <c r="A36" s="114" t="s">
        <v>1132</v>
      </c>
      <c r="B36" s="114" t="s">
        <v>1085</v>
      </c>
      <c r="C36" s="114" t="s">
        <v>1133</v>
      </c>
      <c r="D36" s="425">
        <f>VLOOKUP(C36,'Part List'!B:D,2,FALSE)</f>
        <v>999999</v>
      </c>
      <c r="H36" s="425" t="e">
        <f>VLOOKUP(G36,'Part List'!B:D,2,FALSE)</f>
        <v>#N/A</v>
      </c>
    </row>
    <row r="37" spans="1:8" x14ac:dyDescent="0.4">
      <c r="A37" s="114" t="s">
        <v>1134</v>
      </c>
      <c r="B37" s="114" t="s">
        <v>1085</v>
      </c>
      <c r="C37" s="114" t="s">
        <v>1135</v>
      </c>
      <c r="D37" s="425">
        <f>VLOOKUP(C37,'Part List'!B:D,2,FALSE)</f>
        <v>999999</v>
      </c>
      <c r="H37" s="425" t="e">
        <f>VLOOKUP(G37,'Part List'!B:D,2,FALSE)</f>
        <v>#N/A</v>
      </c>
    </row>
    <row r="38" spans="1:8" x14ac:dyDescent="0.4">
      <c r="A38" s="114" t="s">
        <v>1136</v>
      </c>
      <c r="B38" s="114" t="s">
        <v>1085</v>
      </c>
      <c r="C38" s="114" t="s">
        <v>1137</v>
      </c>
      <c r="D38" s="425">
        <f>VLOOKUP(C38,'Part List'!B:D,2,FALSE)</f>
        <v>999999</v>
      </c>
      <c r="H38" s="425" t="e">
        <f>VLOOKUP(G38,'Part List'!B:D,2,FALSE)</f>
        <v>#N/A</v>
      </c>
    </row>
    <row r="39" spans="1:8" x14ac:dyDescent="0.4">
      <c r="A39" s="114" t="s">
        <v>1138</v>
      </c>
      <c r="B39" s="114" t="s">
        <v>1085</v>
      </c>
      <c r="C39" s="114" t="s">
        <v>1139</v>
      </c>
      <c r="D39" s="425">
        <f>VLOOKUP(C39,'Part List'!B:D,2,FALSE)</f>
        <v>999999</v>
      </c>
      <c r="H39" s="425" t="e">
        <f>VLOOKUP(G39,'Part List'!B:D,2,FALSE)</f>
        <v>#N/A</v>
      </c>
    </row>
    <row r="40" spans="1:8" x14ac:dyDescent="0.4">
      <c r="A40" s="114" t="s">
        <v>1140</v>
      </c>
      <c r="B40" s="114" t="s">
        <v>1085</v>
      </c>
      <c r="C40" s="114" t="s">
        <v>1141</v>
      </c>
      <c r="D40" s="425">
        <f>VLOOKUP(C40,'Part List'!B:D,2,FALSE)</f>
        <v>999999</v>
      </c>
      <c r="H40" s="425" t="e">
        <f>VLOOKUP(G40,'Part List'!B:D,2,FALSE)</f>
        <v>#N/A</v>
      </c>
    </row>
    <row r="41" spans="1:8" x14ac:dyDescent="0.4">
      <c r="A41" s="114" t="s">
        <v>1142</v>
      </c>
      <c r="B41" s="114" t="s">
        <v>1085</v>
      </c>
      <c r="C41" s="114" t="s">
        <v>1143</v>
      </c>
      <c r="D41" s="425">
        <f>VLOOKUP(C41,'Part List'!B:D,2,FALSE)</f>
        <v>999999</v>
      </c>
      <c r="H41" s="425" t="e">
        <f>VLOOKUP(G41,'Part List'!B:D,2,FALSE)</f>
        <v>#N/A</v>
      </c>
    </row>
    <row r="42" spans="1:8" x14ac:dyDescent="0.4">
      <c r="A42" s="114" t="s">
        <v>1144</v>
      </c>
      <c r="B42" s="114" t="s">
        <v>1085</v>
      </c>
      <c r="C42" s="114" t="s">
        <v>1145</v>
      </c>
      <c r="D42" s="425">
        <f>VLOOKUP(C42,'Part List'!B:D,2,FALSE)</f>
        <v>999999</v>
      </c>
      <c r="H42" s="425" t="e">
        <f>VLOOKUP(G42,'Part List'!B:D,2,FALSE)</f>
        <v>#N/A</v>
      </c>
    </row>
    <row r="43" spans="1:8" x14ac:dyDescent="0.4">
      <c r="A43" s="114" t="s">
        <v>1146</v>
      </c>
      <c r="B43" s="114" t="s">
        <v>1085</v>
      </c>
      <c r="C43" s="114" t="s">
        <v>1147</v>
      </c>
      <c r="D43" s="425">
        <f>VLOOKUP(C43,'Part List'!B:D,2,FALSE)</f>
        <v>999999</v>
      </c>
      <c r="H43" s="425" t="e">
        <f>VLOOKUP(G43,'Part List'!B:D,2,FALSE)</f>
        <v>#N/A</v>
      </c>
    </row>
    <row r="44" spans="1:8" x14ac:dyDescent="0.4">
      <c r="A44" s="114" t="s">
        <v>1148</v>
      </c>
      <c r="B44" s="114" t="s">
        <v>1085</v>
      </c>
      <c r="C44" s="114" t="s">
        <v>1149</v>
      </c>
      <c r="D44" s="425">
        <f>VLOOKUP(C44,'Part List'!B:D,2,FALSE)</f>
        <v>999999</v>
      </c>
      <c r="H44" s="425" t="e">
        <f>VLOOKUP(G44,'Part List'!B:D,2,FALSE)</f>
        <v>#N/A</v>
      </c>
    </row>
    <row r="45" spans="1:8" x14ac:dyDescent="0.4">
      <c r="A45" s="114" t="s">
        <v>1150</v>
      </c>
      <c r="B45" s="114" t="s">
        <v>1085</v>
      </c>
      <c r="C45" s="114" t="s">
        <v>1151</v>
      </c>
      <c r="D45" s="425">
        <f>VLOOKUP(C45,'Part List'!B:D,2,FALSE)</f>
        <v>999999</v>
      </c>
      <c r="H45" s="425" t="e">
        <f>VLOOKUP(G45,'Part List'!B:D,2,FALSE)</f>
        <v>#N/A</v>
      </c>
    </row>
    <row r="46" spans="1:8" x14ac:dyDescent="0.4">
      <c r="A46" s="114" t="s">
        <v>1152</v>
      </c>
      <c r="B46" s="114" t="s">
        <v>1085</v>
      </c>
      <c r="C46" s="114" t="s">
        <v>1153</v>
      </c>
      <c r="D46" s="425">
        <f>VLOOKUP(C46,'Part List'!B:D,2,FALSE)</f>
        <v>999999</v>
      </c>
      <c r="H46" s="425" t="e">
        <f>VLOOKUP(G46,'Part List'!B:D,2,FALSE)</f>
        <v>#N/A</v>
      </c>
    </row>
    <row r="47" spans="1:8" x14ac:dyDescent="0.4">
      <c r="A47" s="114" t="s">
        <v>1154</v>
      </c>
      <c r="B47" s="114" t="s">
        <v>1085</v>
      </c>
      <c r="C47" s="114" t="s">
        <v>1155</v>
      </c>
      <c r="D47" s="425">
        <f>VLOOKUP(C47,'Part List'!B:D,2,FALSE)</f>
        <v>999999</v>
      </c>
      <c r="H47" s="425" t="e">
        <f>VLOOKUP(G47,'Part List'!B:D,2,FALSE)</f>
        <v>#N/A</v>
      </c>
    </row>
    <row r="48" spans="1:8" x14ac:dyDescent="0.4">
      <c r="A48" s="114" t="s">
        <v>1156</v>
      </c>
      <c r="B48" s="114" t="s">
        <v>1085</v>
      </c>
      <c r="C48" s="114" t="s">
        <v>1157</v>
      </c>
      <c r="D48" s="425">
        <f>VLOOKUP(C48,'Part List'!B:D,2,FALSE)</f>
        <v>999999</v>
      </c>
      <c r="H48" s="425" t="e">
        <f>VLOOKUP(G48,'Part List'!B:D,2,FALSE)</f>
        <v>#N/A</v>
      </c>
    </row>
    <row r="49" spans="1:8" x14ac:dyDescent="0.4">
      <c r="A49" s="114" t="s">
        <v>1158</v>
      </c>
      <c r="B49" s="114" t="s">
        <v>1085</v>
      </c>
      <c r="C49" s="114" t="s">
        <v>1159</v>
      </c>
      <c r="D49" s="425">
        <f>VLOOKUP(C49,'Part List'!B:D,2,FALSE)</f>
        <v>999999</v>
      </c>
      <c r="H49" s="425" t="e">
        <f>VLOOKUP(G49,'Part List'!B:D,2,FALSE)</f>
        <v>#N/A</v>
      </c>
    </row>
    <row r="50" spans="1:8" x14ac:dyDescent="0.4">
      <c r="A50" s="114" t="s">
        <v>1160</v>
      </c>
      <c r="B50" s="114" t="s">
        <v>1085</v>
      </c>
      <c r="C50" s="114" t="s">
        <v>1161</v>
      </c>
      <c r="D50" s="425">
        <f>VLOOKUP(C50,'Part List'!B:D,2,FALSE)</f>
        <v>999999</v>
      </c>
      <c r="H50" s="425" t="e">
        <f>VLOOKUP(G50,'Part List'!B:D,2,FALSE)</f>
        <v>#N/A</v>
      </c>
    </row>
    <row r="51" spans="1:8" x14ac:dyDescent="0.4">
      <c r="A51" s="114" t="s">
        <v>1162</v>
      </c>
      <c r="B51" s="114" t="s">
        <v>1085</v>
      </c>
      <c r="C51" s="114" t="s">
        <v>1163</v>
      </c>
      <c r="D51" s="425">
        <f>VLOOKUP(C51,'Part List'!B:D,2,FALSE)</f>
        <v>999999</v>
      </c>
      <c r="H51" s="425" t="e">
        <f>VLOOKUP(G51,'Part List'!B:D,2,FALSE)</f>
        <v>#N/A</v>
      </c>
    </row>
    <row r="52" spans="1:8" x14ac:dyDescent="0.4">
      <c r="A52" s="114" t="s">
        <v>1164</v>
      </c>
      <c r="B52" s="114" t="s">
        <v>1085</v>
      </c>
      <c r="C52" s="114" t="s">
        <v>1165</v>
      </c>
      <c r="D52" s="425">
        <f>VLOOKUP(C52,'Part List'!B:D,2,FALSE)</f>
        <v>999999</v>
      </c>
      <c r="H52" s="425" t="e">
        <f>VLOOKUP(G52,'Part List'!B:D,2,FALSE)</f>
        <v>#N/A</v>
      </c>
    </row>
    <row r="53" spans="1:8" x14ac:dyDescent="0.4">
      <c r="A53" s="114" t="s">
        <v>1166</v>
      </c>
      <c r="B53" s="114" t="s">
        <v>1085</v>
      </c>
      <c r="C53" s="114" t="s">
        <v>1167</v>
      </c>
      <c r="D53" s="425">
        <f>VLOOKUP(C53,'Part List'!B:D,2,FALSE)</f>
        <v>999999</v>
      </c>
      <c r="H53" s="425" t="e">
        <f>VLOOKUP(G53,'Part List'!B:D,2,FALSE)</f>
        <v>#N/A</v>
      </c>
    </row>
    <row r="54" spans="1:8" x14ac:dyDescent="0.4">
      <c r="A54" s="114" t="s">
        <v>1168</v>
      </c>
      <c r="B54" s="114" t="s">
        <v>1085</v>
      </c>
      <c r="C54" s="114" t="s">
        <v>1169</v>
      </c>
      <c r="D54" s="425">
        <f>VLOOKUP(C54,'Part List'!B:D,2,FALSE)</f>
        <v>999999</v>
      </c>
      <c r="H54" s="425" t="e">
        <f>VLOOKUP(G54,'Part List'!B:D,2,FALSE)</f>
        <v>#N/A</v>
      </c>
    </row>
    <row r="55" spans="1:8" x14ac:dyDescent="0.4">
      <c r="A55" s="114" t="s">
        <v>1170</v>
      </c>
      <c r="B55" s="114" t="s">
        <v>1085</v>
      </c>
      <c r="C55" s="114" t="s">
        <v>1171</v>
      </c>
      <c r="D55" s="425">
        <f>VLOOKUP(C55,'Part List'!B:D,2,FALSE)</f>
        <v>999999</v>
      </c>
      <c r="H55" s="425" t="e">
        <f>VLOOKUP(G55,'Part List'!B:D,2,FALSE)</f>
        <v>#N/A</v>
      </c>
    </row>
    <row r="56" spans="1:8" x14ac:dyDescent="0.4">
      <c r="A56" s="114" t="s">
        <v>1172</v>
      </c>
      <c r="B56" s="114" t="s">
        <v>1085</v>
      </c>
      <c r="C56" s="114" t="s">
        <v>1173</v>
      </c>
      <c r="D56" s="425">
        <f>VLOOKUP(C56,'Part List'!B:D,2,FALSE)</f>
        <v>999999</v>
      </c>
      <c r="H56" s="425" t="e">
        <f>VLOOKUP(G56,'Part List'!B:D,2,FALSE)</f>
        <v>#N/A</v>
      </c>
    </row>
    <row r="57" spans="1:8" x14ac:dyDescent="0.4">
      <c r="A57" s="114" t="s">
        <v>1174</v>
      </c>
      <c r="B57" s="114" t="s">
        <v>1085</v>
      </c>
      <c r="C57" s="114" t="s">
        <v>1175</v>
      </c>
      <c r="D57" s="425">
        <f>VLOOKUP(C57,'Part List'!B:D,2,FALSE)</f>
        <v>999999</v>
      </c>
      <c r="H57" s="425" t="e">
        <f>VLOOKUP(G57,'Part List'!B:D,2,FALSE)</f>
        <v>#N/A</v>
      </c>
    </row>
    <row r="58" spans="1:8" x14ac:dyDescent="0.4">
      <c r="A58" s="114" t="s">
        <v>1176</v>
      </c>
      <c r="B58" s="114" t="s">
        <v>1085</v>
      </c>
      <c r="C58" s="114" t="s">
        <v>1177</v>
      </c>
      <c r="D58" s="425">
        <f>VLOOKUP(C58,'Part List'!B:D,2,FALSE)</f>
        <v>999999</v>
      </c>
      <c r="H58" s="425" t="e">
        <f>VLOOKUP(G58,'Part List'!B:D,2,FALSE)</f>
        <v>#N/A</v>
      </c>
    </row>
    <row r="59" spans="1:8" x14ac:dyDescent="0.4">
      <c r="A59" s="114" t="s">
        <v>1178</v>
      </c>
      <c r="B59" s="114" t="s">
        <v>1085</v>
      </c>
      <c r="C59" s="114" t="s">
        <v>1179</v>
      </c>
      <c r="D59" s="425">
        <f>VLOOKUP(C59,'Part List'!B:D,2,FALSE)</f>
        <v>999999</v>
      </c>
      <c r="H59" s="425" t="e">
        <f>VLOOKUP(G59,'Part List'!B:D,2,FALSE)</f>
        <v>#N/A</v>
      </c>
    </row>
    <row r="60" spans="1:8" x14ac:dyDescent="0.4">
      <c r="A60" s="114" t="s">
        <v>1180</v>
      </c>
      <c r="B60" s="114" t="s">
        <v>1085</v>
      </c>
      <c r="C60" s="114" t="s">
        <v>1181</v>
      </c>
      <c r="D60" s="425">
        <f>VLOOKUP(C60,'Part List'!B:D,2,FALSE)</f>
        <v>999999</v>
      </c>
      <c r="H60" s="425" t="e">
        <f>VLOOKUP(G60,'Part List'!B:D,2,FALSE)</f>
        <v>#N/A</v>
      </c>
    </row>
    <row r="61" spans="1:8" x14ac:dyDescent="0.4">
      <c r="A61" s="114" t="s">
        <v>1182</v>
      </c>
      <c r="B61" s="114" t="s">
        <v>1085</v>
      </c>
      <c r="C61" s="114" t="s">
        <v>1183</v>
      </c>
      <c r="D61" s="425">
        <f>VLOOKUP(C61,'Part List'!B:D,2,FALSE)</f>
        <v>999999</v>
      </c>
      <c r="H61" s="425" t="e">
        <f>VLOOKUP(G61,'Part List'!B:D,2,FALSE)</f>
        <v>#N/A</v>
      </c>
    </row>
    <row r="62" spans="1:8" x14ac:dyDescent="0.4">
      <c r="A62" s="114" t="s">
        <v>1184</v>
      </c>
      <c r="B62" s="114" t="s">
        <v>1085</v>
      </c>
      <c r="C62" s="114" t="s">
        <v>1185</v>
      </c>
      <c r="D62" s="425">
        <f>VLOOKUP(C62,'Part List'!B:D,2,FALSE)</f>
        <v>999999</v>
      </c>
      <c r="H62" s="425" t="e">
        <f>VLOOKUP(G62,'Part List'!B:D,2,FALSE)</f>
        <v>#N/A</v>
      </c>
    </row>
    <row r="63" spans="1:8" x14ac:dyDescent="0.4">
      <c r="A63" s="114" t="s">
        <v>1186</v>
      </c>
      <c r="B63" s="114" t="s">
        <v>1085</v>
      </c>
      <c r="C63" s="114" t="s">
        <v>1187</v>
      </c>
      <c r="D63" s="425">
        <f>VLOOKUP(C63,'Part List'!B:D,2,FALSE)</f>
        <v>999999</v>
      </c>
      <c r="H63" s="425" t="e">
        <f>VLOOKUP(G63,'Part List'!B:D,2,FALSE)</f>
        <v>#N/A</v>
      </c>
    </row>
    <row r="64" spans="1:8" x14ac:dyDescent="0.4">
      <c r="A64" s="114" t="s">
        <v>1188</v>
      </c>
      <c r="B64" s="114" t="s">
        <v>1085</v>
      </c>
      <c r="C64" s="114" t="s">
        <v>1189</v>
      </c>
      <c r="D64" s="425">
        <f>VLOOKUP(C64,'Part List'!B:D,2,FALSE)</f>
        <v>999999</v>
      </c>
      <c r="H64" s="425" t="e">
        <f>VLOOKUP(G64,'Part List'!B:D,2,FALSE)</f>
        <v>#N/A</v>
      </c>
    </row>
    <row r="65" spans="1:8" x14ac:dyDescent="0.4">
      <c r="A65" s="114" t="s">
        <v>1190</v>
      </c>
      <c r="B65" s="114" t="s">
        <v>1085</v>
      </c>
      <c r="C65" s="114" t="s">
        <v>1191</v>
      </c>
      <c r="D65" s="425">
        <f>VLOOKUP(C65,'Part List'!B:D,2,FALSE)</f>
        <v>999999</v>
      </c>
      <c r="H65" s="425" t="e">
        <f>VLOOKUP(G65,'Part List'!B:D,2,FALSE)</f>
        <v>#N/A</v>
      </c>
    </row>
    <row r="66" spans="1:8" x14ac:dyDescent="0.4">
      <c r="A66" s="114" t="s">
        <v>1192</v>
      </c>
      <c r="B66" s="114" t="s">
        <v>1085</v>
      </c>
      <c r="C66" s="114" t="s">
        <v>1193</v>
      </c>
      <c r="D66" s="425">
        <f>VLOOKUP(C66,'Part List'!B:D,2,FALSE)</f>
        <v>999999</v>
      </c>
      <c r="H66" s="425" t="e">
        <f>VLOOKUP(G66,'Part List'!B:D,2,FALSE)</f>
        <v>#N/A</v>
      </c>
    </row>
    <row r="67" spans="1:8" x14ac:dyDescent="0.4">
      <c r="A67" s="114" t="s">
        <v>1194</v>
      </c>
      <c r="B67" s="114" t="s">
        <v>1085</v>
      </c>
      <c r="C67" s="114" t="s">
        <v>1195</v>
      </c>
      <c r="D67" s="425">
        <f>VLOOKUP(C67,'Part List'!B:D,2,FALSE)</f>
        <v>999999</v>
      </c>
      <c r="H67" s="425" t="e">
        <f>VLOOKUP(G67,'Part List'!B:D,2,FALSE)</f>
        <v>#N/A</v>
      </c>
    </row>
    <row r="68" spans="1:8" x14ac:dyDescent="0.4">
      <c r="A68" s="114" t="s">
        <v>1196</v>
      </c>
      <c r="B68" s="114" t="s">
        <v>1085</v>
      </c>
      <c r="C68" s="114" t="s">
        <v>1197</v>
      </c>
      <c r="D68" s="425">
        <f>VLOOKUP(C68,'Part List'!B:D,2,FALSE)</f>
        <v>999999</v>
      </c>
      <c r="H68" s="425" t="e">
        <f>VLOOKUP(G68,'Part List'!B:D,2,FALSE)</f>
        <v>#N/A</v>
      </c>
    </row>
    <row r="69" spans="1:8" x14ac:dyDescent="0.4">
      <c r="A69" s="114" t="s">
        <v>1198</v>
      </c>
      <c r="B69" s="114" t="s">
        <v>1085</v>
      </c>
      <c r="C69" s="114" t="s">
        <v>1199</v>
      </c>
      <c r="D69" s="425">
        <f>VLOOKUP(C69,'Part List'!B:D,2,FALSE)</f>
        <v>999999</v>
      </c>
      <c r="H69" s="425" t="e">
        <f>VLOOKUP(G69,'Part List'!B:D,2,FALSE)</f>
        <v>#N/A</v>
      </c>
    </row>
    <row r="70" spans="1:8" x14ac:dyDescent="0.4">
      <c r="A70" s="114" t="s">
        <v>1200</v>
      </c>
      <c r="B70" s="114" t="s">
        <v>1085</v>
      </c>
      <c r="C70" s="114" t="s">
        <v>1201</v>
      </c>
      <c r="D70" s="425">
        <f>VLOOKUP(C70,'Part List'!B:D,2,FALSE)</f>
        <v>999999</v>
      </c>
      <c r="H70" s="425" t="e">
        <f>VLOOKUP(G70,'Part List'!B:D,2,FALSE)</f>
        <v>#N/A</v>
      </c>
    </row>
    <row r="71" spans="1:8" x14ac:dyDescent="0.4">
      <c r="A71" s="114" t="s">
        <v>1202</v>
      </c>
      <c r="B71" s="114" t="s">
        <v>1085</v>
      </c>
      <c r="C71" s="114" t="s">
        <v>1203</v>
      </c>
      <c r="D71" s="425">
        <f>VLOOKUP(C71,'Part List'!B:D,2,FALSE)</f>
        <v>999999</v>
      </c>
      <c r="H71" s="425" t="e">
        <f>VLOOKUP(G71,'Part List'!B:D,2,FALSE)</f>
        <v>#N/A</v>
      </c>
    </row>
    <row r="72" spans="1:8" x14ac:dyDescent="0.4">
      <c r="A72" s="114" t="s">
        <v>1204</v>
      </c>
      <c r="B72" s="114" t="s">
        <v>1085</v>
      </c>
      <c r="C72" s="114" t="s">
        <v>1205</v>
      </c>
      <c r="D72" s="425">
        <f>VLOOKUP(C72,'Part List'!B:D,2,FALSE)</f>
        <v>999999</v>
      </c>
      <c r="H72" s="425" t="e">
        <f>VLOOKUP(G72,'Part List'!B:D,2,FALSE)</f>
        <v>#N/A</v>
      </c>
    </row>
    <row r="73" spans="1:8" x14ac:dyDescent="0.4">
      <c r="A73" s="114" t="s">
        <v>1206</v>
      </c>
      <c r="B73" s="114" t="s">
        <v>1085</v>
      </c>
      <c r="C73" s="114" t="s">
        <v>1207</v>
      </c>
      <c r="D73" s="425">
        <f>VLOOKUP(C73,'Part List'!B:D,2,FALSE)</f>
        <v>999999</v>
      </c>
      <c r="H73" s="425" t="e">
        <f>VLOOKUP(G73,'Part List'!B:D,2,FALSE)</f>
        <v>#N/A</v>
      </c>
    </row>
    <row r="74" spans="1:8" x14ac:dyDescent="0.4">
      <c r="A74" s="114" t="s">
        <v>1208</v>
      </c>
      <c r="B74" s="114" t="s">
        <v>1085</v>
      </c>
      <c r="C74" s="114" t="s">
        <v>1209</v>
      </c>
      <c r="D74" s="425">
        <f>VLOOKUP(C74,'Part List'!B:D,2,FALSE)</f>
        <v>999999</v>
      </c>
      <c r="H74" s="425" t="e">
        <f>VLOOKUP(G74,'Part List'!B:D,2,FALSE)</f>
        <v>#N/A</v>
      </c>
    </row>
    <row r="75" spans="1:8" x14ac:dyDescent="0.4">
      <c r="A75" s="114" t="s">
        <v>1210</v>
      </c>
      <c r="B75" s="114" t="s">
        <v>1085</v>
      </c>
      <c r="C75" s="114" t="s">
        <v>1211</v>
      </c>
      <c r="D75" s="425">
        <f>VLOOKUP(C75,'Part List'!B:D,2,FALSE)</f>
        <v>999999</v>
      </c>
      <c r="H75" s="425" t="e">
        <f>VLOOKUP(G75,'Part List'!B:D,2,FALSE)</f>
        <v>#N/A</v>
      </c>
    </row>
    <row r="76" spans="1:8" x14ac:dyDescent="0.4">
      <c r="A76" s="114" t="s">
        <v>1212</v>
      </c>
      <c r="B76" s="114" t="s">
        <v>1085</v>
      </c>
      <c r="C76" s="114" t="s">
        <v>1213</v>
      </c>
      <c r="D76" s="425">
        <f>VLOOKUP(C76,'Part List'!B:D,2,FALSE)</f>
        <v>999999</v>
      </c>
      <c r="H76" s="425" t="e">
        <f>VLOOKUP(G76,'Part List'!B:D,2,FALSE)</f>
        <v>#N/A</v>
      </c>
    </row>
    <row r="77" spans="1:8" x14ac:dyDescent="0.4">
      <c r="A77" s="114" t="s">
        <v>1214</v>
      </c>
      <c r="B77" s="114" t="s">
        <v>1085</v>
      </c>
      <c r="C77" s="114" t="s">
        <v>1215</v>
      </c>
      <c r="D77" s="425">
        <f>VLOOKUP(C77,'Part List'!B:D,2,FALSE)</f>
        <v>999999</v>
      </c>
      <c r="H77" s="425" t="e">
        <f>VLOOKUP(G77,'Part List'!B:D,2,FALSE)</f>
        <v>#N/A</v>
      </c>
    </row>
    <row r="78" spans="1:8" x14ac:dyDescent="0.4">
      <c r="A78" s="114" t="s">
        <v>1216</v>
      </c>
      <c r="B78" s="114" t="s">
        <v>1085</v>
      </c>
      <c r="C78" s="114" t="s">
        <v>1217</v>
      </c>
      <c r="D78" s="425">
        <f>VLOOKUP(C78,'Part List'!B:D,2,FALSE)</f>
        <v>999999</v>
      </c>
      <c r="H78" s="425" t="e">
        <f>VLOOKUP(G78,'Part List'!B:D,2,FALSE)</f>
        <v>#N/A</v>
      </c>
    </row>
    <row r="79" spans="1:8" x14ac:dyDescent="0.4">
      <c r="A79" s="114" t="s">
        <v>1218</v>
      </c>
      <c r="B79" s="114" t="s">
        <v>1085</v>
      </c>
      <c r="C79" s="114" t="s">
        <v>1219</v>
      </c>
      <c r="D79" s="425">
        <f>VLOOKUP(C79,'Part List'!B:D,2,FALSE)</f>
        <v>999999</v>
      </c>
      <c r="H79" s="425" t="e">
        <f>VLOOKUP(G79,'Part List'!B:D,2,FALSE)</f>
        <v>#N/A</v>
      </c>
    </row>
    <row r="80" spans="1:8" x14ac:dyDescent="0.4">
      <c r="A80" s="114" t="s">
        <v>1220</v>
      </c>
      <c r="B80" s="114" t="s">
        <v>1085</v>
      </c>
      <c r="C80" s="114" t="s">
        <v>1221</v>
      </c>
      <c r="D80" s="425">
        <f>VLOOKUP(C80,'Part List'!B:D,2,FALSE)</f>
        <v>999999</v>
      </c>
      <c r="H80" s="425" t="e">
        <f>VLOOKUP(G80,'Part List'!B:D,2,FALSE)</f>
        <v>#N/A</v>
      </c>
    </row>
    <row r="81" spans="1:8" x14ac:dyDescent="0.4">
      <c r="A81" s="114" t="s">
        <v>1222</v>
      </c>
      <c r="B81" s="114" t="s">
        <v>1085</v>
      </c>
      <c r="C81" s="114" t="s">
        <v>1223</v>
      </c>
      <c r="D81" s="425">
        <f>VLOOKUP(C81,'Part List'!B:D,2,FALSE)</f>
        <v>999999</v>
      </c>
      <c r="H81" s="425" t="e">
        <f>VLOOKUP(G81,'Part List'!B:D,2,FALSE)</f>
        <v>#N/A</v>
      </c>
    </row>
    <row r="82" spans="1:8" x14ac:dyDescent="0.4">
      <c r="A82" s="114" t="s">
        <v>1224</v>
      </c>
      <c r="B82" s="114" t="s">
        <v>1085</v>
      </c>
      <c r="C82" s="114" t="s">
        <v>1225</v>
      </c>
      <c r="D82" s="425">
        <f>VLOOKUP(C82,'Part List'!B:D,2,FALSE)</f>
        <v>999999</v>
      </c>
      <c r="H82" s="425" t="e">
        <f>VLOOKUP(G82,'Part List'!B:D,2,FALSE)</f>
        <v>#N/A</v>
      </c>
    </row>
    <row r="83" spans="1:8" x14ac:dyDescent="0.4">
      <c r="A83" s="114" t="s">
        <v>1226</v>
      </c>
      <c r="B83" s="114" t="s">
        <v>1085</v>
      </c>
      <c r="C83" s="114" t="s">
        <v>1227</v>
      </c>
      <c r="D83" s="425">
        <f>VLOOKUP(C83,'Part List'!B:D,2,FALSE)</f>
        <v>999999</v>
      </c>
      <c r="H83" s="425" t="e">
        <f>VLOOKUP(G83,'Part List'!B:D,2,FALSE)</f>
        <v>#N/A</v>
      </c>
    </row>
    <row r="84" spans="1:8" x14ac:dyDescent="0.4">
      <c r="A84" s="114" t="s">
        <v>1228</v>
      </c>
      <c r="B84" s="114" t="s">
        <v>1085</v>
      </c>
      <c r="C84" s="114" t="s">
        <v>1229</v>
      </c>
      <c r="D84" s="425">
        <f>VLOOKUP(C84,'Part List'!B:D,2,FALSE)</f>
        <v>999999</v>
      </c>
      <c r="H84" s="425" t="e">
        <f>VLOOKUP(G84,'Part List'!B:D,2,FALSE)</f>
        <v>#N/A</v>
      </c>
    </row>
    <row r="85" spans="1:8" x14ac:dyDescent="0.4">
      <c r="A85" s="114" t="s">
        <v>1230</v>
      </c>
      <c r="B85" s="114" t="s">
        <v>1085</v>
      </c>
      <c r="C85" s="114" t="s">
        <v>1231</v>
      </c>
      <c r="D85" s="425">
        <f>VLOOKUP(C85,'Part List'!B:D,2,FALSE)</f>
        <v>999999</v>
      </c>
      <c r="H85" s="425" t="e">
        <f>VLOOKUP(G85,'Part List'!B:D,2,FALSE)</f>
        <v>#N/A</v>
      </c>
    </row>
    <row r="86" spans="1:8" x14ac:dyDescent="0.4">
      <c r="A86" s="114" t="s">
        <v>1232</v>
      </c>
      <c r="B86" s="114" t="s">
        <v>1085</v>
      </c>
      <c r="C86" s="114" t="s">
        <v>1233</v>
      </c>
      <c r="D86" s="425">
        <f>VLOOKUP(C86,'Part List'!B:D,2,FALSE)</f>
        <v>999999</v>
      </c>
      <c r="H86" s="425" t="e">
        <f>VLOOKUP(G86,'Part List'!B:D,2,FALSE)</f>
        <v>#N/A</v>
      </c>
    </row>
    <row r="87" spans="1:8" x14ac:dyDescent="0.4">
      <c r="A87" s="114" t="s">
        <v>1234</v>
      </c>
      <c r="B87" s="114" t="s">
        <v>1085</v>
      </c>
      <c r="C87" s="114" t="s">
        <v>1235</v>
      </c>
      <c r="D87" s="425">
        <f>VLOOKUP(C87,'Part List'!B:D,2,FALSE)</f>
        <v>999999</v>
      </c>
      <c r="H87" s="425" t="e">
        <f>VLOOKUP(G87,'Part List'!B:D,2,FALSE)</f>
        <v>#N/A</v>
      </c>
    </row>
    <row r="88" spans="1:8" x14ac:dyDescent="0.4">
      <c r="A88" s="114" t="s">
        <v>1236</v>
      </c>
      <c r="B88" s="114" t="s">
        <v>1085</v>
      </c>
      <c r="C88" s="114" t="s">
        <v>1237</v>
      </c>
      <c r="D88" s="425">
        <f>VLOOKUP(C88,'Part List'!B:D,2,FALSE)</f>
        <v>999999</v>
      </c>
      <c r="H88" s="425" t="e">
        <f>VLOOKUP(G88,'Part List'!B:D,2,FALSE)</f>
        <v>#N/A</v>
      </c>
    </row>
    <row r="89" spans="1:8" x14ac:dyDescent="0.4">
      <c r="A89" s="114" t="s">
        <v>1238</v>
      </c>
      <c r="B89" s="114" t="s">
        <v>1085</v>
      </c>
      <c r="C89" s="114" t="s">
        <v>1239</v>
      </c>
      <c r="D89" s="425">
        <f>VLOOKUP(C89,'Part List'!B:D,2,FALSE)</f>
        <v>999999</v>
      </c>
      <c r="H89" s="425" t="e">
        <f>VLOOKUP(G89,'Part List'!B:D,2,FALSE)</f>
        <v>#N/A</v>
      </c>
    </row>
    <row r="90" spans="1:8" x14ac:dyDescent="0.4">
      <c r="A90" s="114" t="s">
        <v>1240</v>
      </c>
      <c r="B90" s="114" t="s">
        <v>1085</v>
      </c>
      <c r="C90" s="114" t="s">
        <v>1241</v>
      </c>
      <c r="D90" s="425">
        <f>VLOOKUP(C90,'Part List'!B:D,2,FALSE)</f>
        <v>999999</v>
      </c>
      <c r="H90" s="425" t="e">
        <f>VLOOKUP(G90,'Part List'!B:D,2,FALSE)</f>
        <v>#N/A</v>
      </c>
    </row>
    <row r="91" spans="1:8" x14ac:dyDescent="0.4">
      <c r="A91" s="114" t="s">
        <v>1242</v>
      </c>
      <c r="B91" s="114" t="s">
        <v>1085</v>
      </c>
      <c r="C91" s="114" t="s">
        <v>1243</v>
      </c>
      <c r="D91" s="425">
        <f>VLOOKUP(C91,'Part List'!B:D,2,FALSE)</f>
        <v>999999</v>
      </c>
      <c r="H91" s="425" t="e">
        <f>VLOOKUP(G91,'Part List'!B:D,2,FALSE)</f>
        <v>#N/A</v>
      </c>
    </row>
    <row r="92" spans="1:8" x14ac:dyDescent="0.4">
      <c r="A92" s="114" t="s">
        <v>1244</v>
      </c>
      <c r="B92" s="114" t="s">
        <v>842</v>
      </c>
      <c r="C92" s="114" t="s">
        <v>1244</v>
      </c>
      <c r="D92" s="425">
        <f>VLOOKUP(C92,'Part List'!B:D,2,FALSE)</f>
        <v>62</v>
      </c>
      <c r="H92" s="425" t="e">
        <f>VLOOKUP(G92,'Part List'!B:D,2,FALSE)</f>
        <v>#N/A</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election activeCell="C21" sqref="C21"/>
    </sheetView>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888</v>
      </c>
    </row>
    <row r="3" spans="1:22" x14ac:dyDescent="0.4">
      <c r="A3" s="114"/>
      <c r="B3" s="316" t="s">
        <v>853</v>
      </c>
      <c r="C3" s="316" t="s">
        <v>852</v>
      </c>
      <c r="D3" s="316" t="s">
        <v>851</v>
      </c>
      <c r="E3" s="316" t="s">
        <v>850</v>
      </c>
      <c r="F3" s="316" t="s">
        <v>849</v>
      </c>
      <c r="G3" s="114" t="s">
        <v>369</v>
      </c>
      <c r="I3" s="114"/>
      <c r="J3" s="316" t="s">
        <v>853</v>
      </c>
      <c r="K3" s="316" t="s">
        <v>852</v>
      </c>
      <c r="L3" s="316" t="s">
        <v>851</v>
      </c>
      <c r="M3" s="316" t="s">
        <v>850</v>
      </c>
      <c r="N3" s="316" t="s">
        <v>849</v>
      </c>
      <c r="O3" s="114" t="s">
        <v>873</v>
      </c>
      <c r="Q3" s="114"/>
      <c r="R3" s="114" t="str">
        <f t="shared" ref="R3" si="0">J3</f>
        <v>Part</v>
      </c>
      <c r="S3" s="114" t="str">
        <f t="shared" ref="S3" si="1">K3</f>
        <v>Qty</v>
      </c>
      <c r="T3" s="114" t="str">
        <f t="shared" ref="T3" si="2">L3</f>
        <v>Cost  ea</v>
      </c>
      <c r="U3" s="114"/>
      <c r="V3" s="114"/>
    </row>
    <row r="4" spans="1:22" x14ac:dyDescent="0.4">
      <c r="A4" s="114" t="s">
        <v>779</v>
      </c>
      <c r="B4" s="312" t="s">
        <v>848</v>
      </c>
      <c r="C4" s="312">
        <v>0</v>
      </c>
      <c r="D4" s="312">
        <v>714</v>
      </c>
      <c r="E4" s="312">
        <f t="shared" ref="E4:E31" si="3">SUM(D4*C4)</f>
        <v>0</v>
      </c>
      <c r="F4" s="311">
        <v>0</v>
      </c>
      <c r="G4" s="114">
        <f t="shared" ref="G4:G31" si="4">SUM(E4+(E4*F4))</f>
        <v>0</v>
      </c>
      <c r="I4" s="114" t="s">
        <v>779</v>
      </c>
      <c r="J4" s="326" t="s">
        <v>848</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842</v>
      </c>
      <c r="B5" s="312" t="s">
        <v>847</v>
      </c>
      <c r="C5" s="312">
        <v>0</v>
      </c>
      <c r="D5" s="312">
        <v>100</v>
      </c>
      <c r="E5" s="312">
        <f t="shared" si="3"/>
        <v>0</v>
      </c>
      <c r="F5" s="311">
        <v>0</v>
      </c>
      <c r="G5" s="114">
        <f t="shared" si="4"/>
        <v>0</v>
      </c>
      <c r="I5" s="114" t="s">
        <v>842</v>
      </c>
      <c r="J5" s="326" t="s">
        <v>847</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779</v>
      </c>
      <c r="B6" s="312" t="s">
        <v>846</v>
      </c>
      <c r="C6" s="312">
        <v>0</v>
      </c>
      <c r="D6" s="312">
        <v>28</v>
      </c>
      <c r="E6" s="312">
        <f t="shared" si="3"/>
        <v>0</v>
      </c>
      <c r="F6" s="311">
        <v>0</v>
      </c>
      <c r="G6" s="114">
        <f t="shared" si="4"/>
        <v>0</v>
      </c>
      <c r="I6" s="114" t="s">
        <v>779</v>
      </c>
      <c r="J6" s="326" t="s">
        <v>846</v>
      </c>
      <c r="K6" s="326">
        <v>0</v>
      </c>
      <c r="L6" s="326">
        <v>28</v>
      </c>
      <c r="M6" s="326">
        <f t="shared" si="5"/>
        <v>0</v>
      </c>
      <c r="N6" s="311">
        <v>0</v>
      </c>
      <c r="O6" s="114">
        <f t="shared" si="6"/>
        <v>0</v>
      </c>
      <c r="Q6" s="114"/>
      <c r="R6" s="114"/>
      <c r="S6" s="114"/>
      <c r="T6" s="114"/>
    </row>
    <row r="7" spans="1:22" x14ac:dyDescent="0.4">
      <c r="A7" s="114" t="s">
        <v>779</v>
      </c>
      <c r="B7" s="312" t="s">
        <v>845</v>
      </c>
      <c r="C7" s="312">
        <v>0</v>
      </c>
      <c r="D7" s="312">
        <v>14</v>
      </c>
      <c r="E7" s="312">
        <f t="shared" si="3"/>
        <v>0</v>
      </c>
      <c r="F7" s="311">
        <v>0</v>
      </c>
      <c r="G7" s="114">
        <f t="shared" si="4"/>
        <v>0</v>
      </c>
      <c r="I7" s="114" t="s">
        <v>779</v>
      </c>
      <c r="J7" s="326" t="s">
        <v>845</v>
      </c>
      <c r="K7" s="326">
        <v>0</v>
      </c>
      <c r="L7" s="326">
        <v>14</v>
      </c>
      <c r="M7" s="326">
        <f t="shared" si="5"/>
        <v>0</v>
      </c>
      <c r="N7" s="311">
        <v>0</v>
      </c>
      <c r="O7" s="114">
        <f t="shared" si="6"/>
        <v>0</v>
      </c>
      <c r="Q7" s="114"/>
      <c r="R7" s="114"/>
      <c r="S7" s="114"/>
      <c r="T7" s="114"/>
    </row>
    <row r="8" spans="1:22" x14ac:dyDescent="0.4">
      <c r="A8" s="114" t="s">
        <v>842</v>
      </c>
      <c r="B8" s="312" t="s">
        <v>844</v>
      </c>
      <c r="C8" s="312">
        <v>0</v>
      </c>
      <c r="D8" s="312">
        <v>50</v>
      </c>
      <c r="E8" s="312">
        <f t="shared" si="3"/>
        <v>0</v>
      </c>
      <c r="F8" s="311">
        <v>0</v>
      </c>
      <c r="G8" s="114">
        <f t="shared" si="4"/>
        <v>0</v>
      </c>
      <c r="I8" s="114" t="s">
        <v>842</v>
      </c>
      <c r="J8" s="326" t="s">
        <v>844</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842</v>
      </c>
      <c r="B9" s="326" t="s">
        <v>863</v>
      </c>
      <c r="C9" s="326">
        <v>0</v>
      </c>
      <c r="D9" s="326">
        <v>40</v>
      </c>
      <c r="E9" s="326">
        <f t="shared" si="3"/>
        <v>0</v>
      </c>
      <c r="F9" s="311">
        <v>0</v>
      </c>
      <c r="G9" s="114">
        <f t="shared" ref="G9" si="12">SUM(E9+(E9*F9))</f>
        <v>0</v>
      </c>
      <c r="I9" s="114" t="s">
        <v>842</v>
      </c>
      <c r="J9" s="326" t="s">
        <v>863</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779</v>
      </c>
      <c r="B10" s="312" t="s">
        <v>843</v>
      </c>
      <c r="C10" s="312">
        <v>0</v>
      </c>
      <c r="D10" s="312">
        <v>67</v>
      </c>
      <c r="E10" s="312">
        <f t="shared" si="3"/>
        <v>0</v>
      </c>
      <c r="F10" s="311">
        <v>0</v>
      </c>
      <c r="G10" s="114">
        <f t="shared" si="4"/>
        <v>0</v>
      </c>
      <c r="I10" s="114" t="s">
        <v>779</v>
      </c>
      <c r="J10" s="326" t="s">
        <v>843</v>
      </c>
      <c r="K10" s="326">
        <v>0</v>
      </c>
      <c r="L10" s="326">
        <v>67</v>
      </c>
      <c r="M10" s="326">
        <f t="shared" si="5"/>
        <v>0</v>
      </c>
      <c r="N10" s="311">
        <v>0</v>
      </c>
      <c r="O10" s="114">
        <f t="shared" si="6"/>
        <v>0</v>
      </c>
      <c r="Q10" s="114"/>
      <c r="R10" s="114"/>
      <c r="S10" s="114"/>
      <c r="T10" s="114"/>
    </row>
    <row r="11" spans="1:22" s="114" customFormat="1" x14ac:dyDescent="0.4">
      <c r="A11" s="327" t="s">
        <v>864</v>
      </c>
      <c r="B11" s="326" t="s">
        <v>865</v>
      </c>
      <c r="C11" s="326">
        <v>0</v>
      </c>
      <c r="D11" s="326">
        <v>500</v>
      </c>
      <c r="E11" s="326">
        <f t="shared" si="3"/>
        <v>0</v>
      </c>
      <c r="F11" s="311">
        <v>0</v>
      </c>
      <c r="G11" s="114">
        <f t="shared" ref="G11:G12" si="13">SUM(E11+(E11*F11))</f>
        <v>0</v>
      </c>
      <c r="I11" s="327" t="s">
        <v>864</v>
      </c>
      <c r="J11" s="326" t="s">
        <v>865</v>
      </c>
      <c r="K11" s="326">
        <v>0</v>
      </c>
      <c r="L11" s="326">
        <v>500</v>
      </c>
      <c r="M11" s="326">
        <f t="shared" si="5"/>
        <v>0</v>
      </c>
      <c r="N11" s="311">
        <v>0</v>
      </c>
      <c r="O11" s="114">
        <f t="shared" si="6"/>
        <v>0</v>
      </c>
    </row>
    <row r="12" spans="1:22" s="114" customFormat="1" x14ac:dyDescent="0.4">
      <c r="A12" s="327" t="s">
        <v>866</v>
      </c>
      <c r="B12" s="326" t="s">
        <v>867</v>
      </c>
      <c r="C12" s="326">
        <v>0</v>
      </c>
      <c r="D12" s="326">
        <v>360</v>
      </c>
      <c r="E12" s="326">
        <f t="shared" si="3"/>
        <v>0</v>
      </c>
      <c r="F12" s="311">
        <v>0</v>
      </c>
      <c r="G12" s="114">
        <f t="shared" si="13"/>
        <v>0</v>
      </c>
      <c r="I12" s="327" t="s">
        <v>866</v>
      </c>
      <c r="J12" s="326" t="s">
        <v>867</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842</v>
      </c>
      <c r="B13" s="312" t="s">
        <v>841</v>
      </c>
      <c r="C13" s="312">
        <v>0</v>
      </c>
      <c r="D13" s="312">
        <v>173.5</v>
      </c>
      <c r="E13" s="312">
        <f t="shared" si="3"/>
        <v>0</v>
      </c>
      <c r="F13" s="311">
        <v>0</v>
      </c>
      <c r="G13" s="114">
        <f t="shared" si="4"/>
        <v>0</v>
      </c>
      <c r="I13" s="114" t="s">
        <v>842</v>
      </c>
      <c r="J13" s="326" t="s">
        <v>841</v>
      </c>
      <c r="K13" s="326">
        <v>0</v>
      </c>
      <c r="L13" s="326">
        <v>173.5</v>
      </c>
      <c r="M13" s="326">
        <f t="shared" si="5"/>
        <v>0</v>
      </c>
      <c r="N13" s="311">
        <v>0</v>
      </c>
      <c r="O13" s="114">
        <f t="shared" si="6"/>
        <v>0</v>
      </c>
      <c r="Q13" s="114"/>
      <c r="R13" s="114"/>
      <c r="S13" s="114"/>
      <c r="T13" s="114"/>
    </row>
    <row r="14" spans="1:22" x14ac:dyDescent="0.4">
      <c r="A14" s="114" t="s">
        <v>779</v>
      </c>
      <c r="B14" s="312" t="s">
        <v>840</v>
      </c>
      <c r="C14" s="312">
        <v>0</v>
      </c>
      <c r="D14" s="312">
        <v>40</v>
      </c>
      <c r="E14" s="312">
        <f t="shared" si="3"/>
        <v>0</v>
      </c>
      <c r="F14" s="311">
        <v>0</v>
      </c>
      <c r="G14" s="114">
        <f t="shared" si="4"/>
        <v>0</v>
      </c>
      <c r="I14" s="114" t="s">
        <v>779</v>
      </c>
      <c r="J14" s="326" t="s">
        <v>840</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823</v>
      </c>
      <c r="B15" s="326" t="s">
        <v>868</v>
      </c>
      <c r="C15" s="326">
        <v>0</v>
      </c>
      <c r="D15" s="326">
        <v>120</v>
      </c>
      <c r="E15" s="326">
        <f t="shared" si="3"/>
        <v>0</v>
      </c>
      <c r="F15" s="311">
        <v>0</v>
      </c>
      <c r="G15" s="114">
        <f t="shared" ref="G15:G17" si="14">SUM(E15+(E15*F15))</f>
        <v>0</v>
      </c>
      <c r="I15" s="114" t="s">
        <v>823</v>
      </c>
      <c r="J15" s="326" t="s">
        <v>868</v>
      </c>
      <c r="K15" s="326">
        <v>0</v>
      </c>
      <c r="L15" s="326">
        <v>120</v>
      </c>
      <c r="M15" s="326">
        <f t="shared" si="5"/>
        <v>0</v>
      </c>
      <c r="N15" s="311">
        <v>0</v>
      </c>
      <c r="O15" s="114">
        <f t="shared" si="6"/>
        <v>0</v>
      </c>
    </row>
    <row r="16" spans="1:22" s="114" customFormat="1" x14ac:dyDescent="0.4">
      <c r="A16" s="114" t="s">
        <v>842</v>
      </c>
      <c r="B16" s="326" t="s">
        <v>869</v>
      </c>
      <c r="C16" s="326">
        <v>0</v>
      </c>
      <c r="D16" s="326">
        <v>500</v>
      </c>
      <c r="E16" s="326">
        <f t="shared" si="3"/>
        <v>0</v>
      </c>
      <c r="F16" s="311">
        <v>0</v>
      </c>
      <c r="G16" s="114">
        <f t="shared" si="14"/>
        <v>0</v>
      </c>
      <c r="I16" s="114" t="s">
        <v>842</v>
      </c>
      <c r="J16" s="326" t="s">
        <v>869</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842</v>
      </c>
      <c r="B17" s="326" t="s">
        <v>870</v>
      </c>
      <c r="C17" s="326">
        <v>0</v>
      </c>
      <c r="D17" s="326">
        <v>155</v>
      </c>
      <c r="E17" s="326">
        <f t="shared" si="3"/>
        <v>0</v>
      </c>
      <c r="F17" s="311">
        <v>0</v>
      </c>
      <c r="G17" s="114">
        <f t="shared" si="14"/>
        <v>0</v>
      </c>
      <c r="I17" s="114" t="s">
        <v>842</v>
      </c>
      <c r="J17" s="326" t="s">
        <v>870</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839</v>
      </c>
      <c r="B18" s="314" t="s">
        <v>838</v>
      </c>
      <c r="C18" s="314">
        <v>0</v>
      </c>
      <c r="D18" s="314">
        <v>110</v>
      </c>
      <c r="E18" s="312">
        <f t="shared" si="3"/>
        <v>0</v>
      </c>
      <c r="F18" s="311">
        <v>0</v>
      </c>
      <c r="G18" s="114">
        <f t="shared" si="4"/>
        <v>0</v>
      </c>
      <c r="I18" s="114" t="s">
        <v>839</v>
      </c>
      <c r="J18" s="314" t="s">
        <v>838</v>
      </c>
      <c r="K18" s="314">
        <v>0</v>
      </c>
      <c r="L18" s="314">
        <v>110</v>
      </c>
      <c r="M18" s="314">
        <f t="shared" si="5"/>
        <v>0</v>
      </c>
      <c r="N18" s="311">
        <v>0</v>
      </c>
      <c r="O18" s="114">
        <f t="shared" si="6"/>
        <v>0</v>
      </c>
      <c r="Q18" s="114"/>
      <c r="R18" s="114"/>
      <c r="S18" s="114"/>
      <c r="T18" s="114"/>
    </row>
    <row r="19" spans="1:20" x14ac:dyDescent="0.4">
      <c r="A19" s="114" t="s">
        <v>836</v>
      </c>
      <c r="B19" s="314" t="s">
        <v>837</v>
      </c>
      <c r="C19" s="314">
        <v>0</v>
      </c>
      <c r="D19" s="314">
        <v>110</v>
      </c>
      <c r="E19" s="312">
        <f t="shared" si="3"/>
        <v>0</v>
      </c>
      <c r="F19" s="311">
        <v>0</v>
      </c>
      <c r="G19" s="114">
        <f t="shared" si="4"/>
        <v>0</v>
      </c>
      <c r="I19" s="114" t="s">
        <v>836</v>
      </c>
      <c r="J19" s="314" t="s">
        <v>837</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836</v>
      </c>
      <c r="B20" s="314" t="s">
        <v>835</v>
      </c>
      <c r="C20" s="314">
        <v>0</v>
      </c>
      <c r="D20" s="314">
        <v>110</v>
      </c>
      <c r="E20" s="312">
        <f t="shared" si="3"/>
        <v>0</v>
      </c>
      <c r="F20" s="311">
        <v>0</v>
      </c>
      <c r="G20" s="114">
        <f t="shared" si="4"/>
        <v>0</v>
      </c>
      <c r="I20" s="114" t="s">
        <v>874</v>
      </c>
      <c r="J20" s="314" t="s">
        <v>834</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833</v>
      </c>
      <c r="B21" s="314" t="s">
        <v>834</v>
      </c>
      <c r="C21" s="314">
        <v>0</v>
      </c>
      <c r="D21" s="314">
        <v>85</v>
      </c>
      <c r="E21" s="312">
        <f t="shared" si="3"/>
        <v>0</v>
      </c>
      <c r="F21" s="311">
        <v>0</v>
      </c>
      <c r="G21" s="114">
        <f t="shared" si="4"/>
        <v>0</v>
      </c>
      <c r="I21" s="114" t="s">
        <v>833</v>
      </c>
      <c r="J21" s="314" t="s">
        <v>832</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833</v>
      </c>
      <c r="B22" s="314" t="s">
        <v>832</v>
      </c>
      <c r="C22" s="314">
        <v>0</v>
      </c>
      <c r="D22" s="314">
        <v>85</v>
      </c>
      <c r="E22" s="312">
        <f t="shared" si="3"/>
        <v>0</v>
      </c>
      <c r="F22" s="311">
        <v>0</v>
      </c>
      <c r="G22" s="114">
        <f t="shared" si="4"/>
        <v>0</v>
      </c>
      <c r="I22" s="114" t="s">
        <v>875</v>
      </c>
      <c r="J22" s="314" t="s">
        <v>876</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831</v>
      </c>
      <c r="B23" s="315" t="s">
        <v>830</v>
      </c>
      <c r="C23" s="315">
        <v>0</v>
      </c>
      <c r="D23" s="315">
        <v>110</v>
      </c>
      <c r="E23" s="312">
        <f t="shared" si="3"/>
        <v>0</v>
      </c>
      <c r="F23" s="311">
        <v>0</v>
      </c>
      <c r="G23" s="114">
        <f t="shared" si="4"/>
        <v>0</v>
      </c>
      <c r="I23" s="114" t="s">
        <v>877</v>
      </c>
      <c r="J23" s="314" t="s">
        <v>878</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829</v>
      </c>
      <c r="B24" s="315" t="s">
        <v>811</v>
      </c>
      <c r="C24" s="315">
        <v>0</v>
      </c>
      <c r="D24" s="315">
        <v>110</v>
      </c>
      <c r="E24" s="312">
        <f t="shared" si="3"/>
        <v>0</v>
      </c>
      <c r="F24" s="311">
        <v>0</v>
      </c>
      <c r="G24" s="114">
        <f t="shared" si="4"/>
        <v>0</v>
      </c>
      <c r="I24" s="114" t="s">
        <v>879</v>
      </c>
      <c r="J24" s="314" t="s">
        <v>717</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828</v>
      </c>
      <c r="B25" s="315" t="s">
        <v>827</v>
      </c>
      <c r="C25" s="315">
        <v>0</v>
      </c>
      <c r="D25" s="315">
        <v>110</v>
      </c>
      <c r="E25" s="312">
        <f t="shared" si="3"/>
        <v>0</v>
      </c>
      <c r="F25" s="311">
        <v>0</v>
      </c>
      <c r="G25" s="114">
        <f t="shared" si="4"/>
        <v>0</v>
      </c>
      <c r="I25" s="114" t="s">
        <v>823</v>
      </c>
      <c r="J25" s="314" t="s">
        <v>822</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825</v>
      </c>
      <c r="B26" s="315" t="s">
        <v>826</v>
      </c>
      <c r="C26" s="315">
        <v>0</v>
      </c>
      <c r="D26" s="315">
        <v>55</v>
      </c>
      <c r="E26" s="312">
        <f t="shared" si="3"/>
        <v>0</v>
      </c>
      <c r="F26" s="311">
        <v>0</v>
      </c>
      <c r="G26" s="114">
        <f t="shared" si="4"/>
        <v>0</v>
      </c>
      <c r="I26" s="114" t="s">
        <v>842</v>
      </c>
      <c r="J26" s="331" t="s">
        <v>880</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825</v>
      </c>
      <c r="B27" s="315" t="s">
        <v>824</v>
      </c>
      <c r="C27" s="315">
        <v>0</v>
      </c>
      <c r="D27" s="315">
        <v>55</v>
      </c>
      <c r="E27" s="312">
        <f t="shared" si="3"/>
        <v>0</v>
      </c>
      <c r="F27" s="311">
        <v>0</v>
      </c>
      <c r="G27" s="114">
        <f t="shared" si="4"/>
        <v>0</v>
      </c>
      <c r="I27" s="114" t="s">
        <v>881</v>
      </c>
      <c r="J27" s="331" t="s">
        <v>882</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823</v>
      </c>
      <c r="B28" s="314" t="s">
        <v>822</v>
      </c>
      <c r="C28" s="314">
        <v>0</v>
      </c>
      <c r="D28" s="314">
        <v>200</v>
      </c>
      <c r="E28" s="312">
        <f t="shared" si="3"/>
        <v>0</v>
      </c>
      <c r="F28" s="311">
        <v>0</v>
      </c>
      <c r="G28" s="114">
        <f t="shared" si="4"/>
        <v>0</v>
      </c>
      <c r="I28" s="114" t="s">
        <v>883</v>
      </c>
      <c r="J28" s="331" t="s">
        <v>884</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819</v>
      </c>
      <c r="B29" s="313" t="s">
        <v>821</v>
      </c>
      <c r="C29" s="313">
        <v>0</v>
      </c>
      <c r="D29" s="313">
        <v>600</v>
      </c>
      <c r="E29" s="312">
        <f t="shared" si="3"/>
        <v>0</v>
      </c>
      <c r="F29" s="311">
        <v>0</v>
      </c>
      <c r="G29" s="114">
        <f t="shared" si="4"/>
        <v>0</v>
      </c>
      <c r="I29" s="114" t="s">
        <v>819</v>
      </c>
      <c r="J29" s="313" t="s">
        <v>821</v>
      </c>
      <c r="K29" s="313">
        <v>0</v>
      </c>
      <c r="L29" s="313">
        <v>600</v>
      </c>
      <c r="M29" s="313">
        <f t="shared" si="5"/>
        <v>0</v>
      </c>
      <c r="N29" s="311">
        <v>0</v>
      </c>
      <c r="O29" s="114">
        <f t="shared" si="6"/>
        <v>0</v>
      </c>
      <c r="Q29" s="114"/>
      <c r="R29" s="114"/>
      <c r="S29" s="114"/>
      <c r="T29" s="114"/>
    </row>
    <row r="30" spans="1:20" x14ac:dyDescent="0.4">
      <c r="A30" s="114" t="s">
        <v>819</v>
      </c>
      <c r="B30" s="313" t="s">
        <v>820</v>
      </c>
      <c r="C30" s="313">
        <v>0</v>
      </c>
      <c r="D30" s="313">
        <v>100</v>
      </c>
      <c r="E30" s="312">
        <f t="shared" si="3"/>
        <v>0</v>
      </c>
      <c r="F30" s="311">
        <v>0</v>
      </c>
      <c r="G30" s="114">
        <f t="shared" si="4"/>
        <v>0</v>
      </c>
      <c r="I30" s="114" t="s">
        <v>819</v>
      </c>
      <c r="J30" s="313" t="s">
        <v>820</v>
      </c>
      <c r="K30" s="313">
        <v>0</v>
      </c>
      <c r="L30" s="313">
        <v>100</v>
      </c>
      <c r="M30" s="313">
        <f t="shared" si="5"/>
        <v>0</v>
      </c>
      <c r="N30" s="311">
        <v>0</v>
      </c>
      <c r="O30" s="114">
        <f t="shared" si="6"/>
        <v>0</v>
      </c>
      <c r="Q30" s="114"/>
      <c r="R30" s="114"/>
      <c r="S30" s="114"/>
      <c r="T30" s="114"/>
    </row>
    <row r="31" spans="1:20" x14ac:dyDescent="0.4">
      <c r="A31" s="114" t="s">
        <v>819</v>
      </c>
      <c r="B31" s="313" t="s">
        <v>818</v>
      </c>
      <c r="C31" s="313">
        <v>0</v>
      </c>
      <c r="D31" s="313">
        <v>200</v>
      </c>
      <c r="E31" s="312">
        <f t="shared" si="3"/>
        <v>0</v>
      </c>
      <c r="F31" s="311">
        <v>0</v>
      </c>
      <c r="G31" s="114">
        <f t="shared" si="4"/>
        <v>0</v>
      </c>
      <c r="I31" s="114" t="s">
        <v>819</v>
      </c>
      <c r="J31" s="313" t="s">
        <v>818</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885</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886</v>
      </c>
      <c r="J33" s="314" t="s">
        <v>887</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922</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812</v>
      </c>
      <c r="C37" s="324"/>
      <c r="D37" s="324"/>
      <c r="E37" s="324"/>
      <c r="F37" s="324"/>
      <c r="G37" s="325"/>
    </row>
    <row r="38" spans="1:20" x14ac:dyDescent="0.4">
      <c r="A38" s="114"/>
      <c r="B38" s="317" t="s">
        <v>817</v>
      </c>
      <c r="C38" s="318"/>
      <c r="D38" s="318"/>
      <c r="E38" s="318"/>
      <c r="F38" s="318"/>
      <c r="G38" s="319"/>
    </row>
    <row r="39" spans="1:20" x14ac:dyDescent="0.4">
      <c r="A39" s="114"/>
      <c r="B39" s="317" t="s">
        <v>816</v>
      </c>
      <c r="C39" s="318"/>
      <c r="D39" s="318"/>
      <c r="E39" s="318"/>
      <c r="F39" s="318"/>
      <c r="G39" s="319">
        <f>SUM(G4:G36)</f>
        <v>0</v>
      </c>
    </row>
    <row r="40" spans="1:20" x14ac:dyDescent="0.4">
      <c r="A40" s="114"/>
      <c r="B40" s="317" t="s">
        <v>815</v>
      </c>
      <c r="C40" s="318"/>
      <c r="D40" s="318"/>
      <c r="E40" s="318"/>
      <c r="F40" s="318"/>
      <c r="G40" s="319"/>
    </row>
    <row r="41" spans="1:20" x14ac:dyDescent="0.4">
      <c r="A41" s="114"/>
      <c r="B41" s="317" t="s">
        <v>814</v>
      </c>
      <c r="C41" s="318"/>
      <c r="D41" s="318"/>
      <c r="E41" s="318"/>
      <c r="F41" s="318"/>
      <c r="G41" s="319"/>
    </row>
    <row r="42" spans="1:20" ht="15" thickBot="1" x14ac:dyDescent="0.45">
      <c r="A42" s="114"/>
      <c r="B42" s="320" t="s">
        <v>813</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44" activePane="bottomLeft" state="frozen"/>
      <selection pane="bottomLeft" activeCell="G53" sqref="G53"/>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749</v>
      </c>
      <c r="J1" s="299" t="s">
        <v>750</v>
      </c>
      <c r="K1" s="299" t="s">
        <v>751</v>
      </c>
      <c r="L1" s="299" t="s">
        <v>799</v>
      </c>
      <c r="M1" s="299" t="s">
        <v>801</v>
      </c>
      <c r="N1" s="33" t="s">
        <v>759</v>
      </c>
      <c r="O1" s="295" t="s">
        <v>800</v>
      </c>
      <c r="P1" s="299" t="s">
        <v>758</v>
      </c>
      <c r="R1" s="299" t="s">
        <v>749</v>
      </c>
      <c r="S1" s="33" t="s">
        <v>759</v>
      </c>
    </row>
    <row r="2" spans="1:19" x14ac:dyDescent="0.4">
      <c r="B2" s="32"/>
      <c r="C2" s="32"/>
      <c r="D2" s="32" t="s">
        <v>370</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3"/>
      <c r="J7" s="297"/>
      <c r="K7" s="297"/>
      <c r="L7" s="297"/>
      <c r="M7" s="297"/>
      <c r="R7" s="114">
        <f t="shared" si="0"/>
        <v>0</v>
      </c>
      <c r="S7" s="114">
        <f t="shared" si="1"/>
        <v>0</v>
      </c>
    </row>
    <row r="8" spans="1:19" s="114" customFormat="1" x14ac:dyDescent="0.4">
      <c r="B8" s="117" t="s">
        <v>479</v>
      </c>
      <c r="C8" s="145">
        <v>2</v>
      </c>
      <c r="D8" s="137"/>
      <c r="E8" s="117"/>
      <c r="F8" s="134"/>
      <c r="H8" s="303"/>
      <c r="J8" s="297"/>
      <c r="K8" s="297"/>
      <c r="L8" s="297"/>
      <c r="M8" s="297"/>
      <c r="R8" s="114">
        <f t="shared" si="0"/>
        <v>0</v>
      </c>
      <c r="S8" s="114">
        <f t="shared" si="1"/>
        <v>0</v>
      </c>
    </row>
    <row r="9" spans="1:19" s="32" customFormat="1" x14ac:dyDescent="0.4">
      <c r="B9" s="38" t="s">
        <v>303</v>
      </c>
      <c r="C9" s="50">
        <v>0.5</v>
      </c>
      <c r="D9" s="50"/>
      <c r="E9" s="38"/>
      <c r="F9" s="42"/>
      <c r="H9" s="303"/>
      <c r="J9" s="297"/>
      <c r="K9" s="297"/>
      <c r="L9" s="297"/>
      <c r="M9" s="297"/>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429</v>
      </c>
      <c r="C11" s="50">
        <v>3.5</v>
      </c>
      <c r="D11" s="50"/>
      <c r="E11" s="43"/>
      <c r="F11" s="44"/>
      <c r="G11" s="32"/>
      <c r="I11" s="32"/>
      <c r="L11" s="297" t="s">
        <v>748</v>
      </c>
      <c r="N11" s="32"/>
      <c r="O11" s="32"/>
      <c r="P11" s="32"/>
      <c r="R11" s="114">
        <f t="shared" si="0"/>
        <v>0</v>
      </c>
      <c r="S11" s="114">
        <f t="shared" si="1"/>
        <v>0</v>
      </c>
    </row>
    <row r="12" spans="1:19" s="114" customFormat="1" x14ac:dyDescent="0.4">
      <c r="B12" s="117" t="s">
        <v>480</v>
      </c>
      <c r="C12" s="145">
        <v>3.5</v>
      </c>
      <c r="D12" s="137"/>
      <c r="E12" s="135"/>
      <c r="F12" s="136"/>
      <c r="H12" s="303"/>
      <c r="J12" s="297"/>
      <c r="K12" s="297"/>
      <c r="L12" s="297"/>
      <c r="M12" s="297"/>
      <c r="R12" s="114">
        <f t="shared" si="0"/>
        <v>0</v>
      </c>
      <c r="S12" s="114">
        <f t="shared" si="1"/>
        <v>0</v>
      </c>
    </row>
    <row r="13" spans="1:19" s="32" customFormat="1" x14ac:dyDescent="0.4">
      <c r="B13" s="43" t="s">
        <v>302</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459</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351</v>
      </c>
      <c r="C22" s="50">
        <v>4</v>
      </c>
      <c r="D22" s="50"/>
      <c r="E22" s="43"/>
      <c r="F22" s="44"/>
      <c r="G22" s="32"/>
      <c r="I22" s="32"/>
      <c r="N22" s="152" t="s">
        <v>460</v>
      </c>
      <c r="O22" s="32"/>
      <c r="P22" s="32"/>
      <c r="R22" s="114">
        <f t="shared" si="2"/>
        <v>0</v>
      </c>
      <c r="S22" s="114">
        <f t="shared" si="3"/>
        <v>0</v>
      </c>
    </row>
    <row r="23" spans="2:19" x14ac:dyDescent="0.4">
      <c r="B23" s="38" t="s">
        <v>223</v>
      </c>
      <c r="C23" s="50">
        <v>1</v>
      </c>
      <c r="D23" s="50"/>
      <c r="E23" s="38"/>
      <c r="F23" s="42"/>
      <c r="G23" s="32"/>
      <c r="I23" s="32"/>
      <c r="N23" s="152" t="s">
        <v>461</v>
      </c>
      <c r="O23" s="32"/>
      <c r="P23" s="32"/>
      <c r="R23" s="114">
        <f t="shared" si="2"/>
        <v>0</v>
      </c>
      <c r="S23" s="114">
        <f t="shared" si="3"/>
        <v>0</v>
      </c>
    </row>
    <row r="24" spans="2:19" s="32" customFormat="1" x14ac:dyDescent="0.4">
      <c r="B24" s="38" t="s">
        <v>362</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363</v>
      </c>
      <c r="C36" s="50">
        <v>1</v>
      </c>
      <c r="D36" s="50"/>
      <c r="E36" s="38"/>
      <c r="F36" s="44"/>
      <c r="H36" s="303"/>
      <c r="J36" s="297"/>
      <c r="K36" s="297"/>
      <c r="L36" s="297"/>
      <c r="M36" s="297"/>
      <c r="R36" s="114">
        <f t="shared" si="2"/>
        <v>0</v>
      </c>
      <c r="S36" s="114">
        <f t="shared" si="3"/>
        <v>0</v>
      </c>
    </row>
    <row r="37" spans="1:19" s="32" customFormat="1" x14ac:dyDescent="0.4">
      <c r="B37" s="38" t="s">
        <v>364</v>
      </c>
      <c r="C37" s="50">
        <v>1</v>
      </c>
      <c r="D37" s="50"/>
      <c r="E37" s="38"/>
      <c r="F37" s="44"/>
      <c r="H37" s="303"/>
      <c r="J37" s="297"/>
      <c r="K37" s="297"/>
      <c r="L37" s="297"/>
      <c r="M37" s="297"/>
      <c r="R37" s="114">
        <f t="shared" si="2"/>
        <v>0</v>
      </c>
      <c r="S37" s="114">
        <f t="shared" si="3"/>
        <v>0</v>
      </c>
    </row>
    <row r="38" spans="1:19" s="32" customFormat="1" x14ac:dyDescent="0.4">
      <c r="B38" s="38" t="s">
        <v>365</v>
      </c>
      <c r="C38" s="50">
        <v>2</v>
      </c>
      <c r="D38" s="50"/>
      <c r="E38" s="38"/>
      <c r="F38" s="44"/>
      <c r="H38" s="303"/>
      <c r="J38" s="297"/>
      <c r="K38" s="297"/>
      <c r="L38" s="297"/>
      <c r="M38" s="297"/>
      <c r="R38" s="114">
        <f t="shared" si="2"/>
        <v>0</v>
      </c>
      <c r="S38" s="114">
        <f t="shared" si="3"/>
        <v>0</v>
      </c>
    </row>
    <row r="39" spans="1:19" s="114" customFormat="1" x14ac:dyDescent="0.4">
      <c r="B39" s="117" t="s">
        <v>601</v>
      </c>
      <c r="C39" s="137">
        <v>1.5</v>
      </c>
      <c r="D39" s="137"/>
      <c r="E39" s="117"/>
      <c r="F39" s="136"/>
      <c r="H39" s="303"/>
      <c r="J39" s="297"/>
      <c r="K39" s="297"/>
      <c r="L39" s="297"/>
      <c r="M39" s="297"/>
      <c r="R39" s="114">
        <f t="shared" si="2"/>
        <v>0</v>
      </c>
      <c r="S39" s="114">
        <f t="shared" si="3"/>
        <v>0</v>
      </c>
    </row>
    <row r="40" spans="1:19" s="114" customFormat="1" x14ac:dyDescent="0.4">
      <c r="B40" s="117" t="s">
        <v>691</v>
      </c>
      <c r="C40" s="137">
        <v>2.5</v>
      </c>
      <c r="D40" s="137"/>
      <c r="E40" s="117"/>
      <c r="F40" s="136"/>
      <c r="H40" s="303"/>
      <c r="J40" s="297"/>
      <c r="K40" s="297"/>
      <c r="L40" s="297"/>
      <c r="M40" s="297"/>
      <c r="R40" s="114">
        <f t="shared" si="2"/>
        <v>0</v>
      </c>
      <c r="S40" s="114">
        <f t="shared" si="3"/>
        <v>0</v>
      </c>
    </row>
    <row r="41" spans="1:19" s="32" customFormat="1" x14ac:dyDescent="0.4">
      <c r="B41" s="38" t="s">
        <v>434</v>
      </c>
      <c r="C41" s="50">
        <f>20/60</f>
        <v>0.33333333333333331</v>
      </c>
      <c r="D41" s="50"/>
      <c r="E41" s="38"/>
      <c r="F41" s="44"/>
      <c r="H41" s="303"/>
      <c r="J41" s="297"/>
      <c r="K41" s="297"/>
      <c r="L41" s="297"/>
      <c r="M41" s="297"/>
      <c r="R41" s="114">
        <f t="shared" si="2"/>
        <v>0</v>
      </c>
      <c r="S41" s="114">
        <f t="shared" si="3"/>
        <v>0</v>
      </c>
    </row>
    <row r="42" spans="1:19" s="32" customFormat="1" x14ac:dyDescent="0.4">
      <c r="B42" s="38" t="s">
        <v>435</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752</v>
      </c>
      <c r="K48" s="297" t="s">
        <v>756</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764</v>
      </c>
      <c r="K49" s="297" t="s">
        <v>770</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753</v>
      </c>
      <c r="K50" s="297" t="s">
        <v>756</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417</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418</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754</v>
      </c>
      <c r="K54" s="297" t="s">
        <v>755</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373</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767</v>
      </c>
      <c r="K56" s="297" t="s">
        <v>771</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778</v>
      </c>
      <c r="K57" s="297" t="s">
        <v>768</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766</v>
      </c>
      <c r="K58" s="297" t="s">
        <v>771</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765</v>
      </c>
      <c r="K59" s="297" t="s">
        <v>771</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786</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786</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779</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779</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779</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779</v>
      </c>
      <c r="R65" s="114">
        <f t="shared" si="2"/>
        <v>0</v>
      </c>
      <c r="S65" s="114">
        <f t="shared" si="3"/>
        <v>0</v>
      </c>
    </row>
    <row r="66" spans="2:19" x14ac:dyDescent="0.4">
      <c r="B66" s="43" t="s">
        <v>260</v>
      </c>
      <c r="C66" s="136">
        <f t="shared" si="4"/>
        <v>56.4</v>
      </c>
      <c r="D66" s="44"/>
      <c r="E66" s="43"/>
      <c r="F66" s="44"/>
      <c r="G66" s="32"/>
      <c r="I66" s="135" t="str">
        <f t="shared" si="5"/>
        <v>TF63-240-24</v>
      </c>
      <c r="J66" s="297" t="s">
        <v>760</v>
      </c>
      <c r="K66" s="297" t="s">
        <v>761</v>
      </c>
      <c r="L66" s="300">
        <v>47</v>
      </c>
      <c r="M66" s="300">
        <f t="shared" si="6"/>
        <v>56.4</v>
      </c>
      <c r="N66" s="136">
        <v>100</v>
      </c>
      <c r="O66" s="295">
        <f t="shared" si="7"/>
        <v>1.1276595744680851</v>
      </c>
      <c r="R66" s="114">
        <f t="shared" si="2"/>
        <v>0</v>
      </c>
      <c r="S66" s="114">
        <f t="shared" si="3"/>
        <v>0</v>
      </c>
    </row>
    <row r="67" spans="2:19" x14ac:dyDescent="0.4">
      <c r="B67" s="43" t="s">
        <v>423</v>
      </c>
      <c r="C67" s="136">
        <f t="shared" si="4"/>
        <v>23.4</v>
      </c>
      <c r="D67" s="44"/>
      <c r="E67" s="43"/>
      <c r="F67" s="44"/>
      <c r="G67" s="32"/>
      <c r="H67" s="303" t="s">
        <v>786</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782</v>
      </c>
      <c r="G68" s="32"/>
      <c r="I68" s="135" t="s">
        <v>780</v>
      </c>
      <c r="L68" s="301"/>
      <c r="M68" s="300">
        <f t="shared" si="6"/>
        <v>282</v>
      </c>
      <c r="N68" s="136">
        <v>235</v>
      </c>
      <c r="O68" s="295">
        <f t="shared" si="7"/>
        <v>0</v>
      </c>
      <c r="P68" t="s">
        <v>781</v>
      </c>
      <c r="R68" s="114">
        <f t="shared" si="2"/>
        <v>0</v>
      </c>
      <c r="S68" s="114">
        <f t="shared" si="3"/>
        <v>0</v>
      </c>
    </row>
    <row r="69" spans="2:19" x14ac:dyDescent="0.4">
      <c r="B69" s="43" t="s">
        <v>262</v>
      </c>
      <c r="C69" s="136">
        <f t="shared" si="4"/>
        <v>530.64</v>
      </c>
      <c r="D69" s="44"/>
      <c r="E69" s="43"/>
      <c r="F69" s="44"/>
      <c r="G69" s="32"/>
      <c r="I69" s="135" t="str">
        <f t="shared" si="5"/>
        <v>VSD Car Park 1.5kW</v>
      </c>
      <c r="J69" s="297" t="s">
        <v>793</v>
      </c>
      <c r="L69" s="301">
        <v>442.2</v>
      </c>
      <c r="M69" s="300">
        <f t="shared" si="6"/>
        <v>530.64</v>
      </c>
      <c r="N69" s="136">
        <v>770</v>
      </c>
      <c r="O69" s="295">
        <f t="shared" si="7"/>
        <v>0.74129353233830853</v>
      </c>
      <c r="P69" s="114" t="s">
        <v>779</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794</v>
      </c>
      <c r="L70" s="301">
        <v>541.20000000000005</v>
      </c>
      <c r="M70" s="300">
        <f t="shared" si="6"/>
        <v>649.44000000000005</v>
      </c>
      <c r="N70" s="136">
        <v>550</v>
      </c>
      <c r="O70" s="295">
        <f t="shared" si="7"/>
        <v>1.6260162601625931E-2</v>
      </c>
      <c r="P70" s="114" t="s">
        <v>779</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796</v>
      </c>
      <c r="L71" s="301">
        <v>625.9</v>
      </c>
      <c r="M71" s="300">
        <f t="shared" si="6"/>
        <v>751.07999999999993</v>
      </c>
      <c r="N71" s="136">
        <v>750</v>
      </c>
      <c r="O71" s="295">
        <f t="shared" si="7"/>
        <v>0.1982744847419716</v>
      </c>
      <c r="P71" s="114" t="s">
        <v>779</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795</v>
      </c>
      <c r="L72" s="301">
        <v>809.6</v>
      </c>
      <c r="M72" s="300">
        <f t="shared" si="6"/>
        <v>971.52</v>
      </c>
      <c r="N72" s="136">
        <v>750</v>
      </c>
      <c r="O72" s="295">
        <f t="shared" si="7"/>
        <v>7.3616600790513853E-2</v>
      </c>
      <c r="P72" s="114" t="s">
        <v>779</v>
      </c>
      <c r="R72" s="114">
        <f t="shared" si="2"/>
        <v>0</v>
      </c>
      <c r="S72" s="114">
        <f t="shared" si="3"/>
        <v>0</v>
      </c>
    </row>
    <row r="73" spans="2:19" s="114" customFormat="1" x14ac:dyDescent="0.4">
      <c r="B73" s="135" t="s">
        <v>491</v>
      </c>
      <c r="C73" s="136">
        <f t="shared" si="4"/>
        <v>1226.28</v>
      </c>
      <c r="D73" s="136"/>
      <c r="E73" s="135"/>
      <c r="F73" s="136"/>
      <c r="H73" s="303"/>
      <c r="I73" s="135" t="str">
        <f t="shared" si="5"/>
        <v>VSD 11 kW</v>
      </c>
      <c r="J73" s="297" t="s">
        <v>797</v>
      </c>
      <c r="K73" s="297"/>
      <c r="L73" s="301">
        <v>1021.9</v>
      </c>
      <c r="M73" s="300">
        <f t="shared" si="6"/>
        <v>1226.28</v>
      </c>
      <c r="N73" s="136">
        <v>1100</v>
      </c>
      <c r="O73" s="295">
        <f t="shared" si="7"/>
        <v>7.6426264800861163E-2</v>
      </c>
      <c r="P73" s="114" t="s">
        <v>779</v>
      </c>
      <c r="R73" s="114">
        <f t="shared" si="2"/>
        <v>0</v>
      </c>
      <c r="S73" s="114">
        <f t="shared" si="3"/>
        <v>0</v>
      </c>
    </row>
    <row r="74" spans="2:19" s="114" customFormat="1" x14ac:dyDescent="0.4">
      <c r="B74" s="135" t="s">
        <v>543</v>
      </c>
      <c r="C74" s="136">
        <f t="shared" si="4"/>
        <v>530.64</v>
      </c>
      <c r="D74" s="136"/>
      <c r="E74" s="135"/>
      <c r="F74" s="136"/>
      <c r="H74" s="303"/>
      <c r="I74" s="135" t="str">
        <f t="shared" si="5"/>
        <v>VSD 1.5kW</v>
      </c>
      <c r="J74" s="297" t="s">
        <v>793</v>
      </c>
      <c r="K74" s="297"/>
      <c r="L74" s="301">
        <v>442.2</v>
      </c>
      <c r="M74" s="300">
        <f t="shared" si="6"/>
        <v>530.64</v>
      </c>
      <c r="N74" s="136">
        <v>770</v>
      </c>
      <c r="O74" s="295">
        <f t="shared" si="7"/>
        <v>0.74129353233830853</v>
      </c>
      <c r="P74" s="114" t="s">
        <v>779</v>
      </c>
      <c r="R74" s="114">
        <f t="shared" si="2"/>
        <v>0</v>
      </c>
      <c r="S74" s="114">
        <f t="shared" si="3"/>
        <v>0</v>
      </c>
    </row>
    <row r="75" spans="2:19" s="114" customFormat="1" x14ac:dyDescent="0.4">
      <c r="B75" s="135" t="s">
        <v>544</v>
      </c>
      <c r="C75" s="136">
        <f t="shared" si="4"/>
        <v>649.44000000000005</v>
      </c>
      <c r="D75" s="136"/>
      <c r="E75" s="135"/>
      <c r="F75" s="136"/>
      <c r="H75" s="303"/>
      <c r="I75" s="135" t="str">
        <f t="shared" si="5"/>
        <v>VSD 2.2kW</v>
      </c>
      <c r="J75" s="297" t="s">
        <v>794</v>
      </c>
      <c r="K75" s="297"/>
      <c r="L75" s="301">
        <v>541.20000000000005</v>
      </c>
      <c r="M75" s="300">
        <f t="shared" si="6"/>
        <v>649.44000000000005</v>
      </c>
      <c r="N75" s="136">
        <v>750</v>
      </c>
      <c r="O75" s="295">
        <f t="shared" si="7"/>
        <v>0.38580931263858081</v>
      </c>
      <c r="P75" s="114" t="s">
        <v>779</v>
      </c>
      <c r="R75" s="114">
        <f t="shared" si="2"/>
        <v>0</v>
      </c>
      <c r="S75" s="114">
        <f t="shared" si="3"/>
        <v>0</v>
      </c>
    </row>
    <row r="76" spans="2:19" s="114" customFormat="1" x14ac:dyDescent="0.4">
      <c r="B76" s="135" t="s">
        <v>545</v>
      </c>
      <c r="C76" s="136">
        <f t="shared" si="4"/>
        <v>751.07999999999993</v>
      </c>
      <c r="D76" s="136"/>
      <c r="E76" s="135"/>
      <c r="F76" s="136"/>
      <c r="H76" s="303"/>
      <c r="I76" s="135" t="str">
        <f t="shared" si="5"/>
        <v>VSD 3kW</v>
      </c>
      <c r="J76" s="297" t="s">
        <v>796</v>
      </c>
      <c r="K76" s="297"/>
      <c r="L76" s="301">
        <v>625.9</v>
      </c>
      <c r="M76" s="300">
        <f t="shared" si="6"/>
        <v>751.07999999999993</v>
      </c>
      <c r="N76" s="136">
        <v>750</v>
      </c>
      <c r="O76" s="295">
        <f t="shared" si="7"/>
        <v>0.1982744847419716</v>
      </c>
      <c r="P76" s="114" t="s">
        <v>779</v>
      </c>
      <c r="R76" s="114">
        <f t="shared" si="2"/>
        <v>0</v>
      </c>
      <c r="S76" s="114">
        <f t="shared" si="3"/>
        <v>0</v>
      </c>
    </row>
    <row r="77" spans="2:19" s="114" customFormat="1" x14ac:dyDescent="0.4">
      <c r="B77" s="135" t="s">
        <v>547</v>
      </c>
      <c r="C77" s="136">
        <f t="shared" si="4"/>
        <v>865.92</v>
      </c>
      <c r="D77" s="136"/>
      <c r="E77" s="135"/>
      <c r="F77" s="136"/>
      <c r="H77" s="303"/>
      <c r="I77" s="135" t="str">
        <f t="shared" si="5"/>
        <v>VSD 5.5kW</v>
      </c>
      <c r="J77" s="297" t="s">
        <v>798</v>
      </c>
      <c r="K77" s="297"/>
      <c r="L77" s="301">
        <v>721.6</v>
      </c>
      <c r="M77" s="300">
        <f t="shared" si="6"/>
        <v>865.92</v>
      </c>
      <c r="N77" s="136">
        <v>750</v>
      </c>
      <c r="O77" s="295">
        <f t="shared" si="7"/>
        <v>3.9356984478935667E-2</v>
      </c>
      <c r="P77" s="114" t="s">
        <v>779</v>
      </c>
      <c r="R77" s="114">
        <f t="shared" si="2"/>
        <v>0</v>
      </c>
      <c r="S77" s="114">
        <f t="shared" si="3"/>
        <v>0</v>
      </c>
    </row>
    <row r="78" spans="2:19" s="114" customFormat="1" x14ac:dyDescent="0.4">
      <c r="B78" s="135" t="s">
        <v>546</v>
      </c>
      <c r="C78" s="136">
        <f t="shared" si="4"/>
        <v>971.52</v>
      </c>
      <c r="D78" s="136"/>
      <c r="E78" s="135"/>
      <c r="F78" s="136"/>
      <c r="H78" s="303"/>
      <c r="I78" s="135" t="str">
        <f t="shared" si="5"/>
        <v>VSD 7.5kW</v>
      </c>
      <c r="J78" s="297" t="s">
        <v>795</v>
      </c>
      <c r="K78" s="297"/>
      <c r="L78" s="301">
        <v>809.6</v>
      </c>
      <c r="M78" s="300">
        <f t="shared" si="6"/>
        <v>971.52</v>
      </c>
      <c r="N78" s="136">
        <v>750</v>
      </c>
      <c r="O78" s="295">
        <f t="shared" si="7"/>
        <v>7.3616600790513853E-2</v>
      </c>
      <c r="P78" s="114" t="s">
        <v>779</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782</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782</v>
      </c>
      <c r="R80" s="114">
        <f t="shared" si="2"/>
        <v>0</v>
      </c>
      <c r="S80" s="114">
        <f t="shared" si="3"/>
        <v>0</v>
      </c>
    </row>
    <row r="81" spans="2:19" s="32" customFormat="1" x14ac:dyDescent="0.4">
      <c r="B81" s="52" t="s">
        <v>419</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782</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782</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782</v>
      </c>
      <c r="R83" s="114">
        <f t="shared" si="8"/>
        <v>0</v>
      </c>
      <c r="S83" s="114">
        <f t="shared" si="9"/>
        <v>0</v>
      </c>
    </row>
    <row r="84" spans="2:19" s="32" customFormat="1" x14ac:dyDescent="0.4">
      <c r="B84" s="95" t="s">
        <v>374</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782</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782</v>
      </c>
      <c r="R86" s="114">
        <f t="shared" si="8"/>
        <v>0</v>
      </c>
      <c r="S86" s="114">
        <f t="shared" si="9"/>
        <v>0</v>
      </c>
    </row>
    <row r="87" spans="2:19" s="32" customFormat="1" x14ac:dyDescent="0.4">
      <c r="B87" s="43" t="s">
        <v>361</v>
      </c>
      <c r="C87" s="136">
        <f t="shared" si="4"/>
        <v>2.4</v>
      </c>
      <c r="D87" s="44"/>
      <c r="E87" s="43"/>
      <c r="F87" s="44"/>
      <c r="H87" s="303"/>
      <c r="I87" s="135" t="str">
        <f t="shared" si="5"/>
        <v>Network cable</v>
      </c>
      <c r="J87" s="297"/>
      <c r="K87" s="297"/>
      <c r="L87" s="301"/>
      <c r="M87" s="300">
        <f t="shared" si="6"/>
        <v>2.4</v>
      </c>
      <c r="N87" s="151">
        <v>2</v>
      </c>
      <c r="O87" s="295"/>
      <c r="P87" s="114" t="s">
        <v>782</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783</v>
      </c>
      <c r="R88" s="114">
        <f t="shared" si="8"/>
        <v>0</v>
      </c>
      <c r="S88" s="114">
        <f t="shared" si="9"/>
        <v>0</v>
      </c>
    </row>
    <row r="89" spans="2:19" x14ac:dyDescent="0.4">
      <c r="B89" s="43" t="s">
        <v>440</v>
      </c>
      <c r="C89" s="136">
        <f t="shared" si="4"/>
        <v>0.6</v>
      </c>
      <c r="D89" s="44"/>
      <c r="E89" s="43"/>
      <c r="F89" s="44"/>
      <c r="G89" s="32"/>
      <c r="H89" s="303" t="s">
        <v>786</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772</v>
      </c>
      <c r="L90" s="301"/>
      <c r="M90" s="300">
        <f t="shared" si="6"/>
        <v>307.2</v>
      </c>
      <c r="N90" s="151">
        <v>256</v>
      </c>
      <c r="O90" s="295"/>
      <c r="P90" s="114" t="s">
        <v>779</v>
      </c>
      <c r="R90" s="114">
        <f t="shared" si="8"/>
        <v>0</v>
      </c>
      <c r="S90" s="114">
        <f t="shared" si="9"/>
        <v>0</v>
      </c>
    </row>
    <row r="91" spans="2:19" s="32" customFormat="1" x14ac:dyDescent="0.4">
      <c r="B91" s="95" t="s">
        <v>420</v>
      </c>
      <c r="C91" s="136">
        <f t="shared" si="4"/>
        <v>960</v>
      </c>
      <c r="D91" s="44"/>
      <c r="E91" s="43"/>
      <c r="F91" s="44"/>
      <c r="H91" s="303"/>
      <c r="I91" s="135" t="str">
        <f t="shared" si="5"/>
        <v>Mech thermostat control relay, control relay, enclosure, terminals etc.</v>
      </c>
      <c r="J91" s="114" t="s">
        <v>772</v>
      </c>
      <c r="K91" s="297"/>
      <c r="L91" s="301"/>
      <c r="M91" s="300">
        <f t="shared" si="6"/>
        <v>960</v>
      </c>
      <c r="N91" s="151">
        <v>800</v>
      </c>
      <c r="O91" s="295"/>
      <c r="P91" s="114" t="s">
        <v>779</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786</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786</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774</v>
      </c>
      <c r="K95" s="297" t="s">
        <v>769</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786</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783</v>
      </c>
      <c r="R97" s="114">
        <f t="shared" si="8"/>
        <v>0</v>
      </c>
      <c r="S97" s="114">
        <f t="shared" si="9"/>
        <v>0</v>
      </c>
    </row>
    <row r="98" spans="2:19" s="32" customFormat="1" x14ac:dyDescent="0.4">
      <c r="B98" s="49" t="s">
        <v>431</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783</v>
      </c>
      <c r="R98" s="114">
        <f t="shared" si="8"/>
        <v>0</v>
      </c>
      <c r="S98" s="114">
        <f t="shared" si="9"/>
        <v>0</v>
      </c>
    </row>
    <row r="99" spans="2:19" s="32" customFormat="1" x14ac:dyDescent="0.4">
      <c r="B99" s="49" t="s">
        <v>436</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783</v>
      </c>
      <c r="R99" s="114">
        <f t="shared" si="8"/>
        <v>0</v>
      </c>
      <c r="S99" s="114">
        <f t="shared" si="9"/>
        <v>0</v>
      </c>
    </row>
    <row r="100" spans="2:19" s="32" customFormat="1" x14ac:dyDescent="0.4">
      <c r="B100" s="49" t="s">
        <v>432</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783</v>
      </c>
      <c r="R100" s="114">
        <f t="shared" si="8"/>
        <v>0</v>
      </c>
      <c r="S100" s="114">
        <f t="shared" si="9"/>
        <v>0</v>
      </c>
    </row>
    <row r="101" spans="2:19" s="32" customFormat="1" x14ac:dyDescent="0.4">
      <c r="B101" s="49" t="s">
        <v>433</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783</v>
      </c>
      <c r="R101" s="114">
        <f t="shared" si="8"/>
        <v>0</v>
      </c>
      <c r="S101" s="114">
        <f t="shared" si="9"/>
        <v>0</v>
      </c>
    </row>
    <row r="102" spans="2:19" s="32" customFormat="1" x14ac:dyDescent="0.4">
      <c r="B102" s="49" t="s">
        <v>437</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783</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763</v>
      </c>
      <c r="K103" s="298" t="s">
        <v>762</v>
      </c>
      <c r="L103" s="302">
        <f>2*8</f>
        <v>16</v>
      </c>
      <c r="M103" s="300">
        <f t="shared" si="6"/>
        <v>19.2</v>
      </c>
      <c r="N103" s="151">
        <v>30</v>
      </c>
      <c r="O103" s="295">
        <f t="shared" si="7"/>
        <v>0.875</v>
      </c>
      <c r="R103" s="114">
        <f t="shared" si="8"/>
        <v>0</v>
      </c>
      <c r="S103" s="114">
        <f t="shared" si="9"/>
        <v>0</v>
      </c>
    </row>
    <row r="104" spans="2:19" s="32" customFormat="1" x14ac:dyDescent="0.4">
      <c r="B104" s="43" t="s">
        <v>320</v>
      </c>
      <c r="C104" s="136">
        <f t="shared" si="4"/>
        <v>120</v>
      </c>
      <c r="D104" s="44"/>
      <c r="E104" s="43"/>
      <c r="F104" s="44"/>
      <c r="H104" s="303" t="s">
        <v>786</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321</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322</v>
      </c>
      <c r="C106" s="136">
        <f t="shared" si="4"/>
        <v>60</v>
      </c>
      <c r="D106" s="44"/>
      <c r="E106" s="43"/>
      <c r="F106" s="44"/>
      <c r="H106" s="303" t="s">
        <v>786</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333</v>
      </c>
      <c r="C107" s="136">
        <f t="shared" si="4"/>
        <v>127.19999999999999</v>
      </c>
      <c r="D107" s="44"/>
      <c r="E107" s="43"/>
      <c r="F107" s="44"/>
      <c r="H107" s="303"/>
      <c r="I107" s="135" t="str">
        <f t="shared" si="5"/>
        <v>Strobe-alarm</v>
      </c>
      <c r="J107" s="297" t="s">
        <v>785</v>
      </c>
      <c r="K107" s="297" t="s">
        <v>784</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323</v>
      </c>
      <c r="C108" s="136">
        <f t="shared" si="4"/>
        <v>48</v>
      </c>
      <c r="D108" s="44"/>
      <c r="E108" s="43"/>
      <c r="F108" s="44"/>
      <c r="H108" s="303" t="s">
        <v>786</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327</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698</v>
      </c>
      <c r="C110" s="136">
        <f t="shared" si="4"/>
        <v>29.04</v>
      </c>
      <c r="D110" s="136"/>
      <c r="E110" s="135"/>
      <c r="F110" s="136"/>
      <c r="H110" s="303"/>
      <c r="I110" s="135" t="str">
        <f t="shared" si="5"/>
        <v>General Relay</v>
      </c>
      <c r="J110" s="297" t="s">
        <v>777</v>
      </c>
      <c r="K110" s="297" t="s">
        <v>776</v>
      </c>
      <c r="L110" s="300">
        <v>24.2</v>
      </c>
      <c r="M110" s="300">
        <f t="shared" si="6"/>
        <v>29.04</v>
      </c>
      <c r="N110" s="151">
        <v>30</v>
      </c>
      <c r="O110" s="295">
        <f t="shared" si="7"/>
        <v>0.23966942148760334</v>
      </c>
      <c r="R110" s="114">
        <f t="shared" si="8"/>
        <v>0</v>
      </c>
      <c r="S110" s="114">
        <f t="shared" si="9"/>
        <v>0</v>
      </c>
    </row>
    <row r="111" spans="2:19" s="32" customFormat="1" x14ac:dyDescent="0.4">
      <c r="B111" s="43" t="s">
        <v>334</v>
      </c>
      <c r="C111" s="136">
        <f t="shared" si="4"/>
        <v>60</v>
      </c>
      <c r="D111" s="44"/>
      <c r="E111" s="43"/>
      <c r="F111" s="44"/>
      <c r="H111" s="303" t="s">
        <v>786</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670</v>
      </c>
      <c r="C112" s="136">
        <f t="shared" ref="C112:C123" si="11">M112</f>
        <v>60</v>
      </c>
      <c r="D112" s="136"/>
      <c r="E112" s="135"/>
      <c r="F112" s="136"/>
      <c r="H112" s="303" t="s">
        <v>786</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335</v>
      </c>
      <c r="C113" s="136">
        <f t="shared" si="11"/>
        <v>56.4</v>
      </c>
      <c r="D113" s="44"/>
      <c r="E113" s="43"/>
      <c r="F113" s="44"/>
      <c r="G113" s="32">
        <f>400*1.35</f>
        <v>540</v>
      </c>
      <c r="H113" s="303"/>
      <c r="I113" s="135" t="str">
        <f t="shared" ref="I113:I124" si="12">B113</f>
        <v>Controls transformer</v>
      </c>
      <c r="J113" s="297" t="s">
        <v>760</v>
      </c>
      <c r="K113" s="297" t="s">
        <v>761</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462</v>
      </c>
      <c r="C114" s="136">
        <f t="shared" si="11"/>
        <v>420</v>
      </c>
      <c r="D114" s="136"/>
      <c r="E114" s="135"/>
      <c r="F114" s="136"/>
      <c r="G114" s="114">
        <f>G113/4</f>
        <v>135</v>
      </c>
      <c r="H114" s="303" t="s">
        <v>786</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460</v>
      </c>
      <c r="C115" s="136">
        <f t="shared" si="11"/>
        <v>11.46</v>
      </c>
      <c r="D115" s="136"/>
      <c r="E115" s="135"/>
      <c r="F115" s="136"/>
      <c r="H115" s="303"/>
      <c r="I115" s="135" t="str">
        <f t="shared" si="12"/>
        <v>push button switch</v>
      </c>
      <c r="J115" s="297" t="s">
        <v>773</v>
      </c>
      <c r="K115" s="297" t="s">
        <v>775</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461</v>
      </c>
      <c r="C116" s="136">
        <f t="shared" si="11"/>
        <v>36</v>
      </c>
      <c r="D116" s="136"/>
      <c r="E116" s="135"/>
      <c r="F116" s="136"/>
      <c r="H116" s="303" t="s">
        <v>786</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476</v>
      </c>
      <c r="C117" s="136">
        <f t="shared" si="11"/>
        <v>60</v>
      </c>
      <c r="D117" s="136"/>
      <c r="E117" s="135"/>
      <c r="F117" s="136"/>
      <c r="H117" s="303" t="s">
        <v>786</v>
      </c>
      <c r="I117" s="135" t="str">
        <f t="shared" si="12"/>
        <v>SSR ( 1 phase)</v>
      </c>
      <c r="J117" s="297"/>
      <c r="K117" s="297"/>
      <c r="L117" s="300"/>
      <c r="M117" s="300">
        <f t="shared" si="13"/>
        <v>60</v>
      </c>
      <c r="N117" s="136">
        <v>50</v>
      </c>
      <c r="O117" s="295"/>
      <c r="P117" s="114" t="s">
        <v>757</v>
      </c>
      <c r="R117" s="114" t="str">
        <f t="shared" si="8"/>
        <v>SSR ( 1 phase)</v>
      </c>
      <c r="S117" s="114">
        <f t="shared" si="9"/>
        <v>50</v>
      </c>
    </row>
    <row r="118" spans="2:19" s="114" customFormat="1" x14ac:dyDescent="0.4">
      <c r="B118" s="135" t="s">
        <v>477</v>
      </c>
      <c r="C118" s="136">
        <f t="shared" si="11"/>
        <v>324</v>
      </c>
      <c r="D118" s="136"/>
      <c r="E118" s="135"/>
      <c r="F118" s="136"/>
      <c r="H118" s="303" t="s">
        <v>786</v>
      </c>
      <c r="I118" s="135" t="str">
        <f t="shared" si="12"/>
        <v>SSR (3 phase)</v>
      </c>
      <c r="J118" s="297"/>
      <c r="K118" s="297"/>
      <c r="L118" s="300"/>
      <c r="M118" s="300">
        <f t="shared" si="13"/>
        <v>324</v>
      </c>
      <c r="N118" s="136">
        <v>270</v>
      </c>
      <c r="O118" s="295"/>
      <c r="P118" s="114" t="s">
        <v>757</v>
      </c>
      <c r="R118" s="114" t="str">
        <f t="shared" si="8"/>
        <v>SSR (3 phase)</v>
      </c>
      <c r="S118" s="114">
        <f t="shared" si="9"/>
        <v>270</v>
      </c>
    </row>
    <row r="119" spans="2:19" s="114" customFormat="1" x14ac:dyDescent="0.4">
      <c r="B119" s="135" t="s">
        <v>589</v>
      </c>
      <c r="C119" s="136">
        <f t="shared" si="11"/>
        <v>96</v>
      </c>
      <c r="D119" s="136"/>
      <c r="E119" s="135"/>
      <c r="F119" s="136"/>
      <c r="H119" s="303" t="s">
        <v>786</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701</v>
      </c>
      <c r="C120" s="136">
        <f t="shared" si="11"/>
        <v>60</v>
      </c>
      <c r="D120" s="136"/>
      <c r="E120" s="135"/>
      <c r="F120" s="136"/>
      <c r="H120" s="303" t="s">
        <v>786</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705</v>
      </c>
      <c r="C121" s="136">
        <f t="shared" si="11"/>
        <v>240</v>
      </c>
      <c r="D121" s="136"/>
      <c r="E121" s="135"/>
      <c r="F121" s="136"/>
      <c r="H121" s="303" t="s">
        <v>786</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478</v>
      </c>
      <c r="C122" s="136">
        <f t="shared" si="11"/>
        <v>180</v>
      </c>
      <c r="D122" s="136"/>
      <c r="E122" s="135"/>
      <c r="F122" s="136"/>
      <c r="H122" s="303" t="s">
        <v>786</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326</v>
      </c>
      <c r="C123" s="136">
        <f t="shared" si="11"/>
        <v>240</v>
      </c>
      <c r="D123" s="44"/>
      <c r="E123" s="43"/>
      <c r="F123" s="44"/>
      <c r="H123" s="303" t="s">
        <v>786</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281</v>
      </c>
      <c r="C124" s="136">
        <f>M124</f>
        <v>109.25999999999999</v>
      </c>
      <c r="D124" s="44"/>
      <c r="E124" s="43"/>
      <c r="F124" s="44"/>
      <c r="G124" s="32"/>
      <c r="H124" s="303" t="s">
        <v>786</v>
      </c>
      <c r="I124" s="135" t="str">
        <f t="shared" si="12"/>
        <v xml:space="preserve">Contactors  + OL </v>
      </c>
      <c r="J124" s="297" t="s">
        <v>787</v>
      </c>
      <c r="L124" s="300">
        <f>37.8 +
53.25</f>
        <v>91.05</v>
      </c>
      <c r="M124" s="300">
        <f t="shared" si="13"/>
        <v>109.25999999999999</v>
      </c>
      <c r="N124" s="136">
        <v>120</v>
      </c>
      <c r="O124" s="295">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475"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40" zoomScaleNormal="40" zoomScaleSheetLayoutView="30" workbookViewId="0">
      <pane ySplit="1" topLeftCell="A8" activePane="bottomLeft" state="frozen"/>
      <selection activeCell="D39" sqref="D39"/>
      <selection pane="bottomLeft" activeCell="D39" sqref="D39"/>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152343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15234375" style="32" hidden="1" customWidth="1"/>
    <col min="28" max="28" width="51.69140625" style="32" hidden="1" customWidth="1"/>
    <col min="29" max="30" width="21.152343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5">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467" t="str">
        <f ca="1">C14</f>
        <v>XXX-Mech Elec.xlsx</v>
      </c>
      <c r="D5" s="467"/>
      <c r="E5" s="467"/>
      <c r="F5" s="467"/>
      <c r="G5" s="467"/>
      <c r="H5" s="467"/>
      <c r="I5" s="468"/>
      <c r="J5" s="467"/>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467"/>
      <c r="D6" s="467"/>
      <c r="E6" s="467"/>
      <c r="F6" s="467"/>
      <c r="G6" s="467"/>
      <c r="H6" s="467"/>
      <c r="I6" s="468"/>
      <c r="J6" s="467"/>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467"/>
      <c r="D7" s="467"/>
      <c r="E7" s="467"/>
      <c r="F7" s="467"/>
      <c r="G7" s="467"/>
      <c r="H7" s="467"/>
      <c r="I7" s="468"/>
      <c r="J7" s="467"/>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492</v>
      </c>
      <c r="C8" s="209" t="s">
        <v>354</v>
      </c>
      <c r="D8" s="225" t="s">
        <v>370</v>
      </c>
      <c r="E8" s="209"/>
      <c r="F8" s="209"/>
      <c r="G8" s="209"/>
      <c r="H8" s="209"/>
      <c r="I8" s="294"/>
      <c r="J8" s="209" t="s">
        <v>369</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492</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492</v>
      </c>
      <c r="C11" s="208" t="s">
        <v>788</v>
      </c>
      <c r="D11" s="224" t="s">
        <v>583</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customHeight="1" x14ac:dyDescent="1.55">
      <c r="A14" s="262">
        <f>ROW()</f>
        <v>14</v>
      </c>
      <c r="B14" s="170" t="s">
        <v>492</v>
      </c>
      <c r="C14" s="469" t="str">
        <f ca="1">MID(CELL("filename",A1),FIND("[",CELL("filename",A1))+1,FIND("]", CELL("filename",A1))-FIND("[",CELL("filename",A1))-1)</f>
        <v>XXX-Mech Elec.xlsx</v>
      </c>
      <c r="D14" s="470"/>
      <c r="E14" s="471"/>
      <c r="F14" s="471"/>
      <c r="G14" s="471"/>
      <c r="H14" s="471"/>
      <c r="I14" s="472"/>
      <c r="J14" s="473"/>
      <c r="K14" s="243"/>
      <c r="Z14" s="68"/>
      <c r="AA14" s="68"/>
      <c r="AG14" s="68"/>
      <c r="AH14" s="68"/>
      <c r="AM14" s="256"/>
      <c r="AN14" s="222" t="s">
        <v>606</v>
      </c>
    </row>
    <row r="15" spans="1:97" s="255" customFormat="1" ht="61.3" x14ac:dyDescent="0.9">
      <c r="A15" s="262">
        <f>ROW()</f>
        <v>15</v>
      </c>
      <c r="B15" s="170" t="s">
        <v>492</v>
      </c>
      <c r="C15" s="254"/>
      <c r="D15" s="259"/>
      <c r="E15" s="200"/>
      <c r="F15" s="200"/>
      <c r="G15" s="200"/>
      <c r="H15" s="200"/>
      <c r="I15" s="274" t="s">
        <v>696</v>
      </c>
      <c r="J15" s="275">
        <f ca="1">NOW()</f>
        <v>43299.412668518518</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492</v>
      </c>
      <c r="C16" s="222" t="s">
        <v>493</v>
      </c>
      <c r="D16" s="222" t="s">
        <v>677</v>
      </c>
      <c r="I16" s="293" t="s">
        <v>0</v>
      </c>
      <c r="J16" s="222" t="s">
        <v>387</v>
      </c>
      <c r="K16" s="222" t="s">
        <v>608</v>
      </c>
      <c r="L16" s="222" t="s">
        <v>376</v>
      </c>
      <c r="M16" s="222" t="s">
        <v>107</v>
      </c>
      <c r="N16" s="222" t="s">
        <v>108</v>
      </c>
      <c r="O16" s="222" t="s">
        <v>387</v>
      </c>
      <c r="P16" s="222" t="s">
        <v>534</v>
      </c>
      <c r="R16" s="222" t="s">
        <v>453</v>
      </c>
      <c r="S16" s="222" t="s">
        <v>0</v>
      </c>
      <c r="U16" s="222" t="s">
        <v>288</v>
      </c>
      <c r="V16" s="222" t="s">
        <v>289</v>
      </c>
      <c r="W16" s="222" t="s">
        <v>292</v>
      </c>
      <c r="Y16" s="222" t="s">
        <v>290</v>
      </c>
      <c r="Z16" s="222" t="s">
        <v>355</v>
      </c>
      <c r="AA16" s="222" t="s">
        <v>356</v>
      </c>
      <c r="AB16" s="222" t="s">
        <v>318</v>
      </c>
      <c r="AC16" s="222" t="s">
        <v>319</v>
      </c>
      <c r="AD16" s="222" t="s">
        <v>317</v>
      </c>
      <c r="AF16" s="222" t="s">
        <v>294</v>
      </c>
      <c r="AG16" s="222" t="s">
        <v>355</v>
      </c>
      <c r="AH16" s="222" t="s">
        <v>356</v>
      </c>
      <c r="AI16" s="222" t="s">
        <v>297</v>
      </c>
      <c r="AJ16" s="222" t="s">
        <v>295</v>
      </c>
      <c r="AK16" s="222" t="s">
        <v>296</v>
      </c>
      <c r="AO16" s="288"/>
      <c r="AP16" s="285" t="s">
        <v>716</v>
      </c>
      <c r="AQ16" s="285" t="s">
        <v>717</v>
      </c>
      <c r="AR16" s="285" t="s">
        <v>718</v>
      </c>
      <c r="AS16" s="285" t="s">
        <v>719</v>
      </c>
      <c r="AT16" s="285" t="s">
        <v>681</v>
      </c>
      <c r="AU16" s="285" t="s">
        <v>720</v>
      </c>
      <c r="AV16" s="285" t="s">
        <v>721</v>
      </c>
    </row>
    <row r="17" spans="1:46" s="261" customFormat="1" ht="92.6" x14ac:dyDescent="1.2">
      <c r="A17" s="262">
        <f>ROW()</f>
        <v>17</v>
      </c>
      <c r="B17" s="261" t="s">
        <v>492</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453</v>
      </c>
      <c r="M18" s="116" t="s">
        <v>107</v>
      </c>
      <c r="N18" s="116" t="s">
        <v>108</v>
      </c>
      <c r="O18" s="170" t="s">
        <v>387</v>
      </c>
      <c r="P18" s="464" t="s">
        <v>376</v>
      </c>
      <c r="Q18" s="464"/>
      <c r="R18" s="101" t="s">
        <v>453</v>
      </c>
      <c r="S18" s="116" t="s">
        <v>0</v>
      </c>
      <c r="T18" s="118"/>
      <c r="U18" s="116" t="s">
        <v>288</v>
      </c>
      <c r="V18" s="116" t="s">
        <v>289</v>
      </c>
      <c r="W18" s="116" t="s">
        <v>292</v>
      </c>
      <c r="X18" s="140"/>
      <c r="Y18" s="116" t="s">
        <v>290</v>
      </c>
      <c r="Z18" s="116" t="s">
        <v>355</v>
      </c>
      <c r="AA18" s="116" t="s">
        <v>356</v>
      </c>
      <c r="AB18" s="116" t="s">
        <v>318</v>
      </c>
      <c r="AC18" s="116" t="s">
        <v>319</v>
      </c>
      <c r="AD18" s="116" t="s">
        <v>317</v>
      </c>
      <c r="AE18" s="140"/>
      <c r="AF18" s="116" t="s">
        <v>294</v>
      </c>
      <c r="AG18" s="116" t="s">
        <v>355</v>
      </c>
      <c r="AH18" s="116" t="s">
        <v>356</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527</v>
      </c>
      <c r="O19" s="121" t="s">
        <v>195</v>
      </c>
      <c r="P19" s="173" t="s">
        <v>380</v>
      </c>
      <c r="Q19" s="173" t="s">
        <v>376</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535</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400</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401</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402</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403</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404</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405</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510</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441</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533</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378</v>
      </c>
      <c r="L40" s="128" t="s">
        <v>379</v>
      </c>
      <c r="N40" s="129"/>
      <c r="O40" s="130" t="s">
        <v>358</v>
      </c>
      <c r="P40" s="172">
        <f>P41*M19</f>
        <v>0</v>
      </c>
      <c r="Q40" s="172"/>
      <c r="R40" s="172"/>
      <c r="S40" s="175"/>
      <c r="T40" s="172"/>
      <c r="U40" s="175" t="s">
        <v>352</v>
      </c>
      <c r="V40" s="172">
        <f>W40*80</f>
        <v>0</v>
      </c>
      <c r="W40" s="177">
        <f>SUM(W19:W39)</f>
        <v>0</v>
      </c>
      <c r="X40" s="178"/>
      <c r="Y40" s="172" t="s">
        <v>353</v>
      </c>
      <c r="Z40" s="168"/>
      <c r="AA40" s="168">
        <f>SUM(AA19:AA39)</f>
        <v>0</v>
      </c>
      <c r="AB40" s="179"/>
      <c r="AC40" s="179"/>
      <c r="AD40" s="179"/>
      <c r="AE40" s="179"/>
      <c r="AF40" s="172" t="s">
        <v>357</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492</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368</v>
      </c>
      <c r="N41" s="160" t="str">
        <f>N19</f>
        <v>large-sized weatherproof CHILLER MSSB</v>
      </c>
      <c r="O41" s="160" t="s">
        <v>366</v>
      </c>
      <c r="P41" s="64">
        <f>15000+500</f>
        <v>15500</v>
      </c>
      <c r="Q41" s="161"/>
      <c r="R41" s="161"/>
      <c r="S41" s="160"/>
      <c r="T41" s="161"/>
      <c r="U41" s="463" t="s">
        <v>367</v>
      </c>
      <c r="V41" s="463"/>
      <c r="W41" s="162" t="e">
        <f>W40/M19</f>
        <v>#DIV/0!</v>
      </c>
      <c r="X41" s="163"/>
      <c r="Y41" s="461" t="s">
        <v>366</v>
      </c>
      <c r="Z41" s="461"/>
      <c r="AA41" s="164" t="e">
        <f>AA40/M19</f>
        <v>#DIV/0!</v>
      </c>
      <c r="AB41" s="161"/>
      <c r="AC41" s="161"/>
      <c r="AD41" s="161"/>
      <c r="AE41" s="161"/>
      <c r="AF41" s="461" t="s">
        <v>366</v>
      </c>
      <c r="AG41" s="461"/>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453</v>
      </c>
      <c r="M42" s="116" t="s">
        <v>107</v>
      </c>
      <c r="N42" s="116" t="s">
        <v>108</v>
      </c>
      <c r="O42" s="170" t="s">
        <v>387</v>
      </c>
      <c r="P42" s="462" t="s">
        <v>376</v>
      </c>
      <c r="Q42" s="462"/>
      <c r="R42" s="101" t="s">
        <v>453</v>
      </c>
      <c r="S42" s="116" t="s">
        <v>0</v>
      </c>
      <c r="T42" s="118"/>
      <c r="U42" s="116" t="s">
        <v>288</v>
      </c>
      <c r="V42" s="116" t="s">
        <v>289</v>
      </c>
      <c r="W42" s="116" t="s">
        <v>292</v>
      </c>
      <c r="X42" s="140"/>
      <c r="Y42" s="116" t="s">
        <v>290</v>
      </c>
      <c r="Z42" s="116" t="s">
        <v>355</v>
      </c>
      <c r="AA42" s="116" t="s">
        <v>356</v>
      </c>
      <c r="AB42" s="116" t="s">
        <v>318</v>
      </c>
      <c r="AC42" s="116" t="s">
        <v>319</v>
      </c>
      <c r="AD42" s="116" t="s">
        <v>317</v>
      </c>
      <c r="AE42" s="140"/>
      <c r="AF42" s="116" t="s">
        <v>294</v>
      </c>
      <c r="AG42" s="116" t="s">
        <v>355</v>
      </c>
      <c r="AH42" s="116" t="s">
        <v>356</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526</v>
      </c>
      <c r="O43" s="121" t="s">
        <v>195</v>
      </c>
      <c r="P43" s="173" t="s">
        <v>380</v>
      </c>
      <c r="Q43" s="173" t="s">
        <v>376</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535</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400</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401</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402</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403</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404</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405</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510</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441</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406</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378</v>
      </c>
      <c r="L64" s="128" t="s">
        <v>379</v>
      </c>
      <c r="N64" s="129"/>
      <c r="O64" s="130" t="s">
        <v>358</v>
      </c>
      <c r="P64" s="172">
        <f>P65*M43</f>
        <v>0</v>
      </c>
      <c r="Q64" s="172"/>
      <c r="R64" s="172"/>
      <c r="S64" s="175"/>
      <c r="T64" s="172"/>
      <c r="U64" s="175" t="s">
        <v>352</v>
      </c>
      <c r="V64" s="172">
        <f>W64*80</f>
        <v>0</v>
      </c>
      <c r="W64" s="177">
        <f>SUM(W43:W63)</f>
        <v>0</v>
      </c>
      <c r="X64" s="178"/>
      <c r="Y64" s="172" t="s">
        <v>353</v>
      </c>
      <c r="Z64" s="168"/>
      <c r="AA64" s="168">
        <f>SUM(AA43:AA63)</f>
        <v>0</v>
      </c>
      <c r="AB64" s="179"/>
      <c r="AC64" s="179"/>
      <c r="AD64" s="179"/>
      <c r="AE64" s="179"/>
      <c r="AF64" s="172" t="s">
        <v>357</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492</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368</v>
      </c>
      <c r="N65" s="160" t="str">
        <f>N43</f>
        <v>large-sized weatherproof MSSB</v>
      </c>
      <c r="O65" s="160" t="s">
        <v>366</v>
      </c>
      <c r="P65" s="64">
        <f>6200+500</f>
        <v>6700</v>
      </c>
      <c r="Q65" s="161"/>
      <c r="R65" s="161"/>
      <c r="S65" s="160"/>
      <c r="T65" s="161"/>
      <c r="U65" s="463" t="s">
        <v>367</v>
      </c>
      <c r="V65" s="463"/>
      <c r="W65" s="162" t="e">
        <f>W64/M43</f>
        <v>#DIV/0!</v>
      </c>
      <c r="X65" s="163"/>
      <c r="Y65" s="461" t="s">
        <v>366</v>
      </c>
      <c r="Z65" s="461"/>
      <c r="AA65" s="164" t="e">
        <f>AA64/M43</f>
        <v>#DIV/0!</v>
      </c>
      <c r="AB65" s="161"/>
      <c r="AC65" s="161"/>
      <c r="AD65" s="161"/>
      <c r="AE65" s="161"/>
      <c r="AF65" s="461" t="s">
        <v>366</v>
      </c>
      <c r="AG65" s="461"/>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453</v>
      </c>
      <c r="M66" s="116" t="s">
        <v>107</v>
      </c>
      <c r="N66" s="116" t="s">
        <v>108</v>
      </c>
      <c r="O66" s="170" t="s">
        <v>387</v>
      </c>
      <c r="P66" s="462" t="s">
        <v>376</v>
      </c>
      <c r="Q66" s="462"/>
      <c r="R66" s="101" t="s">
        <v>453</v>
      </c>
      <c r="S66" s="116" t="s">
        <v>0</v>
      </c>
      <c r="T66" s="118"/>
      <c r="U66" s="116" t="s">
        <v>288</v>
      </c>
      <c r="V66" s="116" t="s">
        <v>289</v>
      </c>
      <c r="W66" s="116" t="s">
        <v>292</v>
      </c>
      <c r="X66" s="140"/>
      <c r="Y66" s="116" t="s">
        <v>290</v>
      </c>
      <c r="Z66" s="116" t="s">
        <v>355</v>
      </c>
      <c r="AA66" s="116" t="s">
        <v>356</v>
      </c>
      <c r="AB66" s="116" t="s">
        <v>318</v>
      </c>
      <c r="AC66" s="116" t="s">
        <v>319</v>
      </c>
      <c r="AD66" s="116" t="s">
        <v>317</v>
      </c>
      <c r="AE66" s="140"/>
      <c r="AF66" s="116" t="s">
        <v>294</v>
      </c>
      <c r="AG66" s="116" t="s">
        <v>355</v>
      </c>
      <c r="AH66" s="116" t="s">
        <v>356</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565</v>
      </c>
      <c r="O67" s="121" t="s">
        <v>195</v>
      </c>
      <c r="P67" s="173" t="s">
        <v>380</v>
      </c>
      <c r="Q67" s="173" t="s">
        <v>376</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535</v>
      </c>
      <c r="P68" s="175"/>
      <c r="Q68" s="175"/>
      <c r="R68" s="175"/>
      <c r="S68" s="174">
        <f>M67</f>
        <v>0</v>
      </c>
      <c r="T68" s="172"/>
      <c r="U68" s="175" t="s">
        <v>293</v>
      </c>
      <c r="V68" s="174">
        <f t="shared" ref="V68:V87" si="22">S68</f>
        <v>0</v>
      </c>
      <c r="W68" s="174">
        <f>VLOOKUP(U68,Sheet1!$B$6:$C$45,2,FALSE)*V68</f>
        <v>0</v>
      </c>
      <c r="X68" s="174"/>
      <c r="Y68" s="180" t="s">
        <v>418</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400</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401</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402</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403</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404</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405</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510</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441</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406</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378</v>
      </c>
      <c r="L88" s="128" t="s">
        <v>379</v>
      </c>
      <c r="N88" s="129"/>
      <c r="O88" s="130" t="s">
        <v>358</v>
      </c>
      <c r="P88" s="192">
        <f>M67*P89</f>
        <v>0</v>
      </c>
      <c r="Q88" s="192"/>
      <c r="R88" s="172"/>
      <c r="S88" s="175"/>
      <c r="T88" s="172"/>
      <c r="U88" s="175" t="s">
        <v>352</v>
      </c>
      <c r="V88" s="172">
        <f>W88*80</f>
        <v>0</v>
      </c>
      <c r="W88" s="177">
        <f>SUM(W67:W87)</f>
        <v>0</v>
      </c>
      <c r="X88" s="178"/>
      <c r="Y88" s="172" t="s">
        <v>353</v>
      </c>
      <c r="Z88" s="168"/>
      <c r="AA88" s="168">
        <f>SUM(AA67:AA87)</f>
        <v>0</v>
      </c>
      <c r="AB88" s="179"/>
      <c r="AC88" s="179"/>
      <c r="AD88" s="179"/>
      <c r="AE88" s="179"/>
      <c r="AF88" s="172" t="s">
        <v>357</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492</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368</v>
      </c>
      <c r="N89" s="160" t="str">
        <f>N67</f>
        <v>medium-sized Form 3  MSSB</v>
      </c>
      <c r="O89" s="185" t="s">
        <v>366</v>
      </c>
      <c r="P89" s="203">
        <f>3800+500</f>
        <v>4300</v>
      </c>
      <c r="Q89" s="195"/>
      <c r="R89" s="188"/>
      <c r="S89" s="160"/>
      <c r="T89" s="161"/>
      <c r="U89" s="463" t="s">
        <v>367</v>
      </c>
      <c r="V89" s="463"/>
      <c r="W89" s="162" t="e">
        <f>W88/M67</f>
        <v>#DIV/0!</v>
      </c>
      <c r="X89" s="163"/>
      <c r="Y89" s="461" t="s">
        <v>366</v>
      </c>
      <c r="Z89" s="461"/>
      <c r="AA89" s="164" t="e">
        <f>AA88/M67</f>
        <v>#DIV/0!</v>
      </c>
      <c r="AB89" s="161"/>
      <c r="AC89" s="161"/>
      <c r="AD89" s="161"/>
      <c r="AE89" s="161"/>
      <c r="AF89" s="461" t="s">
        <v>366</v>
      </c>
      <c r="AG89" s="461"/>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453</v>
      </c>
      <c r="M90" s="116" t="s">
        <v>107</v>
      </c>
      <c r="N90" s="116" t="s">
        <v>108</v>
      </c>
      <c r="O90" s="170" t="s">
        <v>387</v>
      </c>
      <c r="P90" s="462" t="s">
        <v>376</v>
      </c>
      <c r="Q90" s="462"/>
      <c r="R90" s="101" t="s">
        <v>453</v>
      </c>
      <c r="S90" s="116" t="s">
        <v>0</v>
      </c>
      <c r="T90" s="118"/>
      <c r="U90" s="116" t="s">
        <v>288</v>
      </c>
      <c r="V90" s="116" t="s">
        <v>289</v>
      </c>
      <c r="W90" s="116" t="s">
        <v>292</v>
      </c>
      <c r="X90" s="140"/>
      <c r="Y90" s="116" t="s">
        <v>290</v>
      </c>
      <c r="Z90" s="116" t="s">
        <v>355</v>
      </c>
      <c r="AA90" s="116" t="s">
        <v>356</v>
      </c>
      <c r="AB90" s="116" t="s">
        <v>318</v>
      </c>
      <c r="AC90" s="116" t="s">
        <v>319</v>
      </c>
      <c r="AD90" s="116" t="s">
        <v>317</v>
      </c>
      <c r="AE90" s="140"/>
      <c r="AF90" s="116" t="s">
        <v>294</v>
      </c>
      <c r="AG90" s="116" t="s">
        <v>355</v>
      </c>
      <c r="AH90" s="116" t="s">
        <v>356</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689</v>
      </c>
      <c r="O91" s="121" t="s">
        <v>195</v>
      </c>
      <c r="P91" s="173" t="s">
        <v>380</v>
      </c>
      <c r="Q91" s="173" t="s">
        <v>376</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607</v>
      </c>
      <c r="P92" s="175"/>
      <c r="Q92" s="175"/>
      <c r="R92" s="175"/>
      <c r="S92" s="174">
        <f>M91</f>
        <v>0</v>
      </c>
      <c r="T92" s="172"/>
      <c r="U92" s="175" t="s">
        <v>293</v>
      </c>
      <c r="V92" s="174">
        <f t="shared" ref="V92:V111" si="35">S92</f>
        <v>0</v>
      </c>
      <c r="W92" s="174">
        <f>VLOOKUP(U92,Sheet1!$B$6:$C$45,2,FALSE)*V92</f>
        <v>0</v>
      </c>
      <c r="X92" s="174"/>
      <c r="Y92" s="180" t="s">
        <v>418</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400</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401</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402</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403</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404</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405</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510</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441</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406</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378</v>
      </c>
      <c r="L112" s="128" t="s">
        <v>379</v>
      </c>
      <c r="N112" s="129"/>
      <c r="O112" s="130" t="s">
        <v>358</v>
      </c>
      <c r="P112" s="192">
        <f>M91*P113</f>
        <v>0</v>
      </c>
      <c r="Q112" s="192"/>
      <c r="R112" s="172"/>
      <c r="S112" s="175"/>
      <c r="T112" s="172"/>
      <c r="U112" s="175" t="s">
        <v>352</v>
      </c>
      <c r="V112" s="172">
        <f>W112*80</f>
        <v>0</v>
      </c>
      <c r="W112" s="177">
        <f>SUM(W91:W111)</f>
        <v>0</v>
      </c>
      <c r="X112" s="178"/>
      <c r="Y112" s="172" t="s">
        <v>353</v>
      </c>
      <c r="Z112" s="168"/>
      <c r="AA112" s="168">
        <f>SUM(AA91:AA111)</f>
        <v>0</v>
      </c>
      <c r="AB112" s="179"/>
      <c r="AC112" s="179"/>
      <c r="AD112" s="179"/>
      <c r="AE112" s="179"/>
      <c r="AF112" s="172" t="s">
        <v>357</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492</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368</v>
      </c>
      <c r="N113" s="160" t="str">
        <f>N91</f>
        <v>medium-sized 316 S/S Form 2  MSSB</v>
      </c>
      <c r="O113" s="185" t="s">
        <v>366</v>
      </c>
      <c r="P113" s="203">
        <f>2*(3800+500)</f>
        <v>8600</v>
      </c>
      <c r="Q113" s="195"/>
      <c r="R113" s="188"/>
      <c r="S113" s="160"/>
      <c r="T113" s="161"/>
      <c r="U113" s="463" t="s">
        <v>367</v>
      </c>
      <c r="V113" s="463"/>
      <c r="W113" s="162" t="e">
        <f>W112/M91</f>
        <v>#DIV/0!</v>
      </c>
      <c r="X113" s="163"/>
      <c r="Y113" s="461" t="s">
        <v>366</v>
      </c>
      <c r="Z113" s="461"/>
      <c r="AA113" s="164" t="e">
        <f>AA112/M91</f>
        <v>#DIV/0!</v>
      </c>
      <c r="AB113" s="161"/>
      <c r="AC113" s="161"/>
      <c r="AD113" s="161"/>
      <c r="AE113" s="161"/>
      <c r="AF113" s="461" t="s">
        <v>366</v>
      </c>
      <c r="AG113" s="461"/>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453</v>
      </c>
      <c r="M114" s="116" t="s">
        <v>107</v>
      </c>
      <c r="N114" s="116" t="s">
        <v>108</v>
      </c>
      <c r="O114" s="170" t="s">
        <v>387</v>
      </c>
      <c r="P114" s="462" t="s">
        <v>376</v>
      </c>
      <c r="Q114" s="462"/>
      <c r="R114" s="101" t="s">
        <v>453</v>
      </c>
      <c r="S114" s="116" t="s">
        <v>0</v>
      </c>
      <c r="T114" s="118"/>
      <c r="U114" s="116" t="s">
        <v>288</v>
      </c>
      <c r="V114" s="116" t="s">
        <v>289</v>
      </c>
      <c r="W114" s="116" t="s">
        <v>292</v>
      </c>
      <c r="X114" s="140"/>
      <c r="Y114" s="116" t="s">
        <v>290</v>
      </c>
      <c r="Z114" s="116" t="s">
        <v>355</v>
      </c>
      <c r="AA114" s="116" t="s">
        <v>356</v>
      </c>
      <c r="AB114" s="116" t="s">
        <v>318</v>
      </c>
      <c r="AC114" s="116" t="s">
        <v>319</v>
      </c>
      <c r="AD114" s="116" t="s">
        <v>317</v>
      </c>
      <c r="AE114" s="140"/>
      <c r="AF114" s="116" t="s">
        <v>294</v>
      </c>
      <c r="AG114" s="116" t="s">
        <v>355</v>
      </c>
      <c r="AH114" s="116" t="s">
        <v>356</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530</v>
      </c>
      <c r="O115" s="121" t="s">
        <v>195</v>
      </c>
      <c r="P115" s="173" t="s">
        <v>380</v>
      </c>
      <c r="Q115" s="173" t="s">
        <v>376</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607</v>
      </c>
      <c r="P116" s="175"/>
      <c r="Q116" s="175"/>
      <c r="R116" s="175"/>
      <c r="S116" s="174">
        <f>M115</f>
        <v>0</v>
      </c>
      <c r="T116" s="172"/>
      <c r="U116" s="175" t="s">
        <v>293</v>
      </c>
      <c r="V116" s="174">
        <f t="shared" ref="V116:V135" si="43">S116</f>
        <v>0</v>
      </c>
      <c r="W116" s="174">
        <f>VLOOKUP(U116,Sheet1!$B$6:$C$45,2,FALSE)*V116</f>
        <v>0</v>
      </c>
      <c r="X116" s="174"/>
      <c r="Y116" s="180" t="s">
        <v>418</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400</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401</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402</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403</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404</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405</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510</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441</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406</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378</v>
      </c>
      <c r="L136" s="128" t="s">
        <v>379</v>
      </c>
      <c r="N136" s="129"/>
      <c r="O136" s="130" t="s">
        <v>358</v>
      </c>
      <c r="P136" s="192">
        <f>M115*P137</f>
        <v>0</v>
      </c>
      <c r="Q136" s="192"/>
      <c r="R136" s="172"/>
      <c r="S136" s="175"/>
      <c r="T136" s="172"/>
      <c r="U136" s="175" t="s">
        <v>352</v>
      </c>
      <c r="V136" s="172">
        <f>W136*80</f>
        <v>0</v>
      </c>
      <c r="W136" s="177">
        <f>SUM(W115:W135)</f>
        <v>0</v>
      </c>
      <c r="X136" s="178"/>
      <c r="Y136" s="172" t="s">
        <v>353</v>
      </c>
      <c r="Z136" s="168"/>
      <c r="AA136" s="168">
        <f>SUM(AA115:AA135)</f>
        <v>0</v>
      </c>
      <c r="AB136" s="179"/>
      <c r="AC136" s="179"/>
      <c r="AD136" s="179"/>
      <c r="AE136" s="179"/>
      <c r="AF136" s="172" t="s">
        <v>357</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492</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368</v>
      </c>
      <c r="N137" s="160" t="str">
        <f>N115</f>
        <v>medium-sized Form 2  MSSB</v>
      </c>
      <c r="O137" s="185" t="s">
        <v>366</v>
      </c>
      <c r="P137" s="203">
        <f>3800+500</f>
        <v>4300</v>
      </c>
      <c r="Q137" s="195"/>
      <c r="R137" s="188"/>
      <c r="S137" s="160"/>
      <c r="T137" s="161"/>
      <c r="U137" s="463" t="s">
        <v>367</v>
      </c>
      <c r="V137" s="463"/>
      <c r="W137" s="162" t="e">
        <f>W136/M115</f>
        <v>#DIV/0!</v>
      </c>
      <c r="X137" s="163"/>
      <c r="Y137" s="461" t="s">
        <v>366</v>
      </c>
      <c r="Z137" s="461"/>
      <c r="AA137" s="164" t="e">
        <f>AA136/M115</f>
        <v>#DIV/0!</v>
      </c>
      <c r="AB137" s="161"/>
      <c r="AC137" s="161"/>
      <c r="AD137" s="161"/>
      <c r="AE137" s="161"/>
      <c r="AF137" s="461" t="s">
        <v>366</v>
      </c>
      <c r="AG137" s="461"/>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453</v>
      </c>
      <c r="M138" s="2" t="s">
        <v>107</v>
      </c>
      <c r="N138" s="2" t="s">
        <v>108</v>
      </c>
      <c r="O138" s="97" t="s">
        <v>387</v>
      </c>
      <c r="P138" s="464" t="s">
        <v>376</v>
      </c>
      <c r="Q138" s="464"/>
      <c r="R138" s="101" t="s">
        <v>453</v>
      </c>
      <c r="S138" s="2" t="s">
        <v>0</v>
      </c>
      <c r="T138" s="9"/>
      <c r="U138" s="2" t="s">
        <v>288</v>
      </c>
      <c r="V138" s="2" t="s">
        <v>289</v>
      </c>
      <c r="W138" s="2" t="s">
        <v>292</v>
      </c>
      <c r="X138" s="58"/>
      <c r="Y138" s="2" t="s">
        <v>290</v>
      </c>
      <c r="Z138" s="2" t="s">
        <v>355</v>
      </c>
      <c r="AA138" s="2" t="s">
        <v>356</v>
      </c>
      <c r="AB138" s="2" t="s">
        <v>318</v>
      </c>
      <c r="AC138" s="2" t="s">
        <v>319</v>
      </c>
      <c r="AD138" s="2" t="s">
        <v>317</v>
      </c>
      <c r="AE138" s="58"/>
      <c r="AF138" s="2" t="s">
        <v>294</v>
      </c>
      <c r="AG138" s="2" t="s">
        <v>355</v>
      </c>
      <c r="AH138" s="2" t="s">
        <v>356</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528</v>
      </c>
      <c r="O139" s="12" t="s">
        <v>195</v>
      </c>
      <c r="P139" s="96" t="s">
        <v>380</v>
      </c>
      <c r="Q139" s="96" t="s">
        <v>376</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399</v>
      </c>
      <c r="P140" s="12"/>
      <c r="Q140" s="12"/>
      <c r="R140" s="12"/>
      <c r="S140" s="28">
        <f>M139</f>
        <v>0</v>
      </c>
      <c r="T140" s="11"/>
      <c r="U140" s="12" t="s">
        <v>293</v>
      </c>
      <c r="V140" s="28">
        <f t="shared" ref="V140:V159" si="51">S140</f>
        <v>0</v>
      </c>
      <c r="W140" s="28">
        <f>VLOOKUP(U140,Sheet1!$B$6:$C$45,2,FALSE)*V140</f>
        <v>0</v>
      </c>
      <c r="X140" s="59"/>
      <c r="Y140" s="73" t="s">
        <v>418</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400</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401</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402</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403</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404</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405</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510</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441</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406</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378</v>
      </c>
      <c r="L160" s="21" t="s">
        <v>379</v>
      </c>
      <c r="N160" s="22"/>
      <c r="O160" s="23" t="s">
        <v>358</v>
      </c>
      <c r="P160" s="98">
        <f>V160+AA160+AH160</f>
        <v>0</v>
      </c>
      <c r="Q160" s="65"/>
      <c r="R160" s="65"/>
      <c r="S160" s="23"/>
      <c r="T160" s="20"/>
      <c r="U160" s="19" t="s">
        <v>352</v>
      </c>
      <c r="V160" s="20">
        <f>W160*80</f>
        <v>0</v>
      </c>
      <c r="W160" s="69">
        <f>SUM(W139:W159)</f>
        <v>0</v>
      </c>
      <c r="X160" s="70"/>
      <c r="Y160" s="20" t="s">
        <v>353</v>
      </c>
      <c r="Z160" s="2"/>
      <c r="AA160" s="2">
        <f>SUM(AA139:AA159)</f>
        <v>0</v>
      </c>
      <c r="AB160" s="71"/>
      <c r="AC160" s="71"/>
      <c r="AD160" s="71"/>
      <c r="AE160" s="71"/>
      <c r="AF160" s="20" t="s">
        <v>357</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492</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368</v>
      </c>
      <c r="N161" s="83" t="str">
        <f>N139</f>
        <v>medium-sized weatherproof Form 1 MSSB</v>
      </c>
      <c r="O161" s="83" t="s">
        <v>366</v>
      </c>
      <c r="P161" s="84" t="e">
        <f>P160/M139</f>
        <v>#DIV/0!</v>
      </c>
      <c r="Q161" s="84"/>
      <c r="R161" s="84"/>
      <c r="S161" s="83"/>
      <c r="T161" s="84"/>
      <c r="U161" s="463" t="s">
        <v>367</v>
      </c>
      <c r="V161" s="463"/>
      <c r="W161" s="85" t="e">
        <f>W160/M139</f>
        <v>#DIV/0!</v>
      </c>
      <c r="X161" s="86"/>
      <c r="Y161" s="461" t="s">
        <v>366</v>
      </c>
      <c r="Z161" s="461"/>
      <c r="AA161" s="87" t="e">
        <f>AA160/M139</f>
        <v>#DIV/0!</v>
      </c>
      <c r="AB161" s="84"/>
      <c r="AC161" s="84"/>
      <c r="AD161" s="84"/>
      <c r="AE161" s="84"/>
      <c r="AF161" s="461" t="s">
        <v>366</v>
      </c>
      <c r="AG161" s="461"/>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453</v>
      </c>
      <c r="M162" s="2" t="s">
        <v>107</v>
      </c>
      <c r="N162" s="2" t="s">
        <v>108</v>
      </c>
      <c r="O162" s="97" t="s">
        <v>387</v>
      </c>
      <c r="P162" s="462" t="s">
        <v>376</v>
      </c>
      <c r="Q162" s="462"/>
      <c r="R162" s="101" t="s">
        <v>453</v>
      </c>
      <c r="S162" s="2" t="s">
        <v>0</v>
      </c>
      <c r="T162" s="9"/>
      <c r="U162" s="2" t="s">
        <v>288</v>
      </c>
      <c r="V162" s="2" t="s">
        <v>289</v>
      </c>
      <c r="W162" s="2" t="s">
        <v>292</v>
      </c>
      <c r="X162" s="58"/>
      <c r="Y162" s="2" t="s">
        <v>290</v>
      </c>
      <c r="Z162" s="2" t="s">
        <v>355</v>
      </c>
      <c r="AA162" s="2" t="s">
        <v>356</v>
      </c>
      <c r="AB162" s="2" t="s">
        <v>318</v>
      </c>
      <c r="AC162" s="2" t="s">
        <v>319</v>
      </c>
      <c r="AD162" s="2" t="s">
        <v>317</v>
      </c>
      <c r="AE162" s="58"/>
      <c r="AF162" s="2" t="s">
        <v>294</v>
      </c>
      <c r="AG162" s="2" t="s">
        <v>355</v>
      </c>
      <c r="AH162" s="2" t="s">
        <v>356</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529</v>
      </c>
      <c r="O163" s="12" t="s">
        <v>195</v>
      </c>
      <c r="P163" s="96" t="s">
        <v>380</v>
      </c>
      <c r="Q163" s="96" t="s">
        <v>376</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399</v>
      </c>
      <c r="P164" s="12"/>
      <c r="Q164" s="12"/>
      <c r="R164" s="12"/>
      <c r="S164" s="28">
        <f>M163</f>
        <v>0</v>
      </c>
      <c r="T164" s="11"/>
      <c r="U164" s="12" t="s">
        <v>293</v>
      </c>
      <c r="V164" s="28">
        <f t="shared" ref="V164:V183" si="64">S164</f>
        <v>0</v>
      </c>
      <c r="W164" s="28">
        <f>VLOOKUP(U164,Sheet1!$B$6:$C$45,2,FALSE)*V164</f>
        <v>0</v>
      </c>
      <c r="X164" s="59"/>
      <c r="Y164" s="73" t="s">
        <v>418</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400</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401</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402</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403</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404</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405</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441</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378</v>
      </c>
      <c r="L184" s="21" t="s">
        <v>379</v>
      </c>
      <c r="N184" s="22"/>
      <c r="O184" s="23" t="s">
        <v>358</v>
      </c>
      <c r="P184" s="98">
        <f>V184+AA184+AH184</f>
        <v>0</v>
      </c>
      <c r="Q184" s="65"/>
      <c r="R184" s="65"/>
      <c r="S184" s="23"/>
      <c r="T184" s="20"/>
      <c r="U184" s="19" t="s">
        <v>352</v>
      </c>
      <c r="V184" s="20">
        <f>W184*80</f>
        <v>0</v>
      </c>
      <c r="W184" s="69">
        <f>SUM(W163:W183)</f>
        <v>0</v>
      </c>
      <c r="X184" s="70"/>
      <c r="Y184" s="20" t="s">
        <v>353</v>
      </c>
      <c r="Z184" s="2"/>
      <c r="AA184" s="2">
        <f>SUM(AA163:AA183)</f>
        <v>0</v>
      </c>
      <c r="AB184" s="71"/>
      <c r="AC184" s="71"/>
      <c r="AD184" s="71"/>
      <c r="AE184" s="71"/>
      <c r="AF184" s="20" t="s">
        <v>357</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492</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368</v>
      </c>
      <c r="N185" s="83" t="str">
        <f>N163</f>
        <v>medium-sized Form 1 MSSBs</v>
      </c>
      <c r="O185" s="83" t="s">
        <v>366</v>
      </c>
      <c r="P185" s="64" t="e">
        <f>P184/M163</f>
        <v>#DIV/0!</v>
      </c>
      <c r="Q185" s="84"/>
      <c r="R185" s="84"/>
      <c r="S185" s="83"/>
      <c r="T185" s="84"/>
      <c r="U185" s="463" t="s">
        <v>367</v>
      </c>
      <c r="V185" s="463"/>
      <c r="W185" s="85" t="e">
        <f>W184/M163</f>
        <v>#DIV/0!</v>
      </c>
      <c r="X185" s="86"/>
      <c r="Y185" s="461" t="s">
        <v>366</v>
      </c>
      <c r="Z185" s="461"/>
      <c r="AA185" s="87" t="e">
        <f>AA184/M163</f>
        <v>#DIV/0!</v>
      </c>
      <c r="AB185" s="84"/>
      <c r="AC185" s="84"/>
      <c r="AD185" s="84"/>
      <c r="AE185" s="84"/>
      <c r="AF185" s="461" t="s">
        <v>366</v>
      </c>
      <c r="AG185" s="461"/>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453</v>
      </c>
      <c r="M186" s="2" t="s">
        <v>107</v>
      </c>
      <c r="N186" s="2" t="s">
        <v>108</v>
      </c>
      <c r="O186" s="97" t="s">
        <v>387</v>
      </c>
      <c r="P186" s="462" t="s">
        <v>376</v>
      </c>
      <c r="Q186" s="462"/>
      <c r="R186" s="101" t="s">
        <v>453</v>
      </c>
      <c r="S186" s="2" t="s">
        <v>0</v>
      </c>
      <c r="T186" s="9"/>
      <c r="U186" s="2" t="s">
        <v>288</v>
      </c>
      <c r="V186" s="2" t="s">
        <v>289</v>
      </c>
      <c r="W186" s="2" t="s">
        <v>292</v>
      </c>
      <c r="X186" s="58"/>
      <c r="Y186" s="2" t="s">
        <v>290</v>
      </c>
      <c r="Z186" s="2" t="s">
        <v>355</v>
      </c>
      <c r="AA186" s="2" t="s">
        <v>356</v>
      </c>
      <c r="AB186" s="2" t="s">
        <v>318</v>
      </c>
      <c r="AC186" s="2" t="s">
        <v>319</v>
      </c>
      <c r="AD186" s="2" t="s">
        <v>317</v>
      </c>
      <c r="AE186" s="58"/>
      <c r="AF186" s="2" t="s">
        <v>294</v>
      </c>
      <c r="AG186" s="2" t="s">
        <v>355</v>
      </c>
      <c r="AH186" s="2" t="s">
        <v>356</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349</v>
      </c>
      <c r="O187" s="12" t="s">
        <v>195</v>
      </c>
      <c r="P187" s="96" t="s">
        <v>380</v>
      </c>
      <c r="Q187" s="96" t="s">
        <v>376</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399</v>
      </c>
      <c r="P188" s="12"/>
      <c r="Q188" s="12"/>
      <c r="R188" s="12"/>
      <c r="S188" s="28">
        <f>M187</f>
        <v>0</v>
      </c>
      <c r="T188" s="11"/>
      <c r="U188" s="12" t="s">
        <v>293</v>
      </c>
      <c r="V188" s="28">
        <f t="shared" ref="V188:V207" si="72">S188</f>
        <v>0</v>
      </c>
      <c r="W188" s="28">
        <f>VLOOKUP(U188,Sheet1!$B$6:$C$45,2,FALSE)*V188</f>
        <v>0</v>
      </c>
      <c r="X188" s="59"/>
      <c r="Y188" s="73" t="s">
        <v>418</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400</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401</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402</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403</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404</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405</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441</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378</v>
      </c>
      <c r="L208" s="21" t="s">
        <v>379</v>
      </c>
      <c r="N208" s="22"/>
      <c r="O208" s="23" t="s">
        <v>358</v>
      </c>
      <c r="P208" s="98">
        <f>V208+AA208+AH208</f>
        <v>0</v>
      </c>
      <c r="Q208" s="65"/>
      <c r="R208" s="65"/>
      <c r="S208" s="23"/>
      <c r="T208" s="20"/>
      <c r="U208" s="19" t="s">
        <v>352</v>
      </c>
      <c r="V208" s="20">
        <f>W208*80</f>
        <v>0</v>
      </c>
      <c r="W208" s="69">
        <f>SUM(W187:W207)</f>
        <v>0</v>
      </c>
      <c r="X208" s="70"/>
      <c r="Y208" s="20" t="s">
        <v>353</v>
      </c>
      <c r="Z208" s="2"/>
      <c r="AA208" s="2">
        <f>SUM(AA187:AA207)</f>
        <v>0</v>
      </c>
      <c r="AB208" s="71"/>
      <c r="AC208" s="71"/>
      <c r="AD208" s="71"/>
      <c r="AE208" s="71"/>
      <c r="AF208" s="20" t="s">
        <v>357</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492</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368</v>
      </c>
      <c r="N209" s="83" t="str">
        <f>N187</f>
        <v>small MSSBs</v>
      </c>
      <c r="O209" s="83" t="s">
        <v>366</v>
      </c>
      <c r="P209" s="84" t="e">
        <f>P208/M187</f>
        <v>#DIV/0!</v>
      </c>
      <c r="Q209" s="84"/>
      <c r="R209" s="84"/>
      <c r="S209" s="83"/>
      <c r="T209" s="84"/>
      <c r="U209" s="463" t="s">
        <v>367</v>
      </c>
      <c r="V209" s="463"/>
      <c r="W209" s="85" t="e">
        <f>W208/M187</f>
        <v>#DIV/0!</v>
      </c>
      <c r="X209" s="86"/>
      <c r="Y209" s="461" t="s">
        <v>366</v>
      </c>
      <c r="Z209" s="461"/>
      <c r="AA209" s="87" t="e">
        <f>AA208/M187</f>
        <v>#DIV/0!</v>
      </c>
      <c r="AB209" s="84"/>
      <c r="AC209" s="84"/>
      <c r="AD209" s="84"/>
      <c r="AE209" s="84"/>
      <c r="AF209" s="461" t="s">
        <v>366</v>
      </c>
      <c r="AG209" s="461"/>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492</v>
      </c>
      <c r="I210" s="269">
        <f>SUM(I234:I954)</f>
        <v>0</v>
      </c>
      <c r="J210" s="261" t="s">
        <v>494</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453</v>
      </c>
      <c r="M211" s="2" t="s">
        <v>107</v>
      </c>
      <c r="N211" s="2" t="s">
        <v>108</v>
      </c>
      <c r="O211" s="97" t="s">
        <v>387</v>
      </c>
      <c r="P211" s="464" t="s">
        <v>376</v>
      </c>
      <c r="Q211" s="464"/>
      <c r="R211" s="101" t="s">
        <v>453</v>
      </c>
      <c r="S211" s="2" t="s">
        <v>0</v>
      </c>
      <c r="T211" s="9"/>
      <c r="U211" s="2" t="s">
        <v>288</v>
      </c>
      <c r="V211" s="2" t="s">
        <v>289</v>
      </c>
      <c r="W211" s="2" t="s">
        <v>292</v>
      </c>
      <c r="X211" s="58"/>
      <c r="Y211" s="2" t="s">
        <v>290</v>
      </c>
      <c r="Z211" s="2" t="s">
        <v>355</v>
      </c>
      <c r="AA211" s="2" t="s">
        <v>356</v>
      </c>
      <c r="AB211" s="2" t="s">
        <v>318</v>
      </c>
      <c r="AC211" s="2" t="s">
        <v>319</v>
      </c>
      <c r="AD211" s="2" t="s">
        <v>317</v>
      </c>
      <c r="AE211" s="58"/>
      <c r="AF211" s="2" t="s">
        <v>294</v>
      </c>
      <c r="AG211" s="2" t="s">
        <v>355</v>
      </c>
      <c r="AH211" s="2" t="s">
        <v>356</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345</v>
      </c>
      <c r="O212" s="12" t="s">
        <v>348</v>
      </c>
      <c r="P212" s="96" t="s">
        <v>380</v>
      </c>
      <c r="Q212" s="96" t="s">
        <v>376</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341</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442</v>
      </c>
      <c r="P214" s="12" t="s">
        <v>540</v>
      </c>
      <c r="Q214" s="66" t="s">
        <v>688</v>
      </c>
      <c r="R214" s="12"/>
      <c r="S214" s="28">
        <f>M212</f>
        <v>0</v>
      </c>
      <c r="T214" s="11"/>
      <c r="U214" s="12" t="s">
        <v>362</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407</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329</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337</v>
      </c>
      <c r="P222" s="12"/>
      <c r="Q222" s="66"/>
      <c r="R222" s="12" t="s">
        <v>455</v>
      </c>
      <c r="S222" s="28">
        <f>M212</f>
        <v>0</v>
      </c>
      <c r="T222" s="11"/>
      <c r="U222" s="12" t="s">
        <v>364</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499</v>
      </c>
      <c r="P223" s="12"/>
      <c r="Q223" s="66"/>
      <c r="R223" s="12"/>
      <c r="S223" s="28">
        <f>M212</f>
        <v>0</v>
      </c>
      <c r="T223" s="11"/>
      <c r="U223" s="12" t="s">
        <v>364</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346</v>
      </c>
      <c r="P226" s="12" t="s">
        <v>381</v>
      </c>
      <c r="Q226" s="66" t="s">
        <v>422</v>
      </c>
      <c r="R226" s="12"/>
      <c r="S226" s="28">
        <f>M212</f>
        <v>0</v>
      </c>
      <c r="T226" s="11"/>
      <c r="U226" s="12" t="s">
        <v>293</v>
      </c>
      <c r="V226" s="28">
        <f t="shared" si="85"/>
        <v>0</v>
      </c>
      <c r="W226" s="28">
        <f>VLOOKUP(U226,Sheet1!$B$6:$C$45,2,FALSE)*V226</f>
        <v>0</v>
      </c>
      <c r="X226" s="59"/>
      <c r="Y226" s="13" t="s">
        <v>327</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338</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330</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339</v>
      </c>
      <c r="P230" s="12"/>
      <c r="Q230" s="66"/>
      <c r="R230" s="12"/>
      <c r="S230" s="28">
        <f>M212</f>
        <v>0</v>
      </c>
      <c r="T230" s="11"/>
      <c r="U230" s="12" t="s">
        <v>293</v>
      </c>
      <c r="V230" s="28">
        <f t="shared" si="85"/>
        <v>0</v>
      </c>
      <c r="W230" s="28">
        <f>VLOOKUP(U230,Sheet1!$B$6:$C$45,2,FALSE)*V230</f>
        <v>0</v>
      </c>
      <c r="X230" s="59"/>
      <c r="Y230" s="13" t="s">
        <v>334</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403</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409</v>
      </c>
      <c r="P232" s="12"/>
      <c r="Q232" s="66"/>
      <c r="R232" s="12"/>
      <c r="S232" s="28">
        <f>M212</f>
        <v>0</v>
      </c>
      <c r="T232" s="11"/>
      <c r="U232" s="12" t="s">
        <v>363</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378</v>
      </c>
      <c r="L233" s="21" t="s">
        <v>379</v>
      </c>
      <c r="N233" s="22"/>
      <c r="O233" s="23" t="s">
        <v>358</v>
      </c>
      <c r="P233" s="24">
        <f>V233+AA233+AH233</f>
        <v>0</v>
      </c>
      <c r="Q233" s="24"/>
      <c r="R233" s="24"/>
      <c r="S233" s="23"/>
      <c r="T233" s="20"/>
      <c r="U233" s="19" t="s">
        <v>352</v>
      </c>
      <c r="V233" s="20">
        <f>W233*80</f>
        <v>0</v>
      </c>
      <c r="W233" s="69">
        <f>SUM(W212:W232)</f>
        <v>0</v>
      </c>
      <c r="X233" s="70"/>
      <c r="Y233" s="20" t="s">
        <v>353</v>
      </c>
      <c r="Z233" s="2"/>
      <c r="AA233" s="2">
        <f>SUM(AA212:AA232)</f>
        <v>0</v>
      </c>
      <c r="AB233" s="71"/>
      <c r="AC233" s="71"/>
      <c r="AD233" s="71"/>
      <c r="AE233" s="71"/>
      <c r="AF233" s="20" t="s">
        <v>357</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492</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368</v>
      </c>
      <c r="N234" s="83" t="str">
        <f>N212</f>
        <v>fire pump room fan - from local power supply</v>
      </c>
      <c r="O234" s="83" t="s">
        <v>366</v>
      </c>
      <c r="P234" s="98" t="e">
        <f>P233/M212</f>
        <v>#DIV/0!</v>
      </c>
      <c r="Q234" s="84"/>
      <c r="R234" s="84"/>
      <c r="S234" s="83"/>
      <c r="T234" s="84"/>
      <c r="U234" s="463" t="s">
        <v>367</v>
      </c>
      <c r="V234" s="463"/>
      <c r="W234" s="85" t="e">
        <f>W233/M212</f>
        <v>#DIV/0!</v>
      </c>
      <c r="X234" s="86"/>
      <c r="Y234" s="461" t="s">
        <v>366</v>
      </c>
      <c r="Z234" s="461"/>
      <c r="AA234" s="87" t="e">
        <f>AA233/M212</f>
        <v>#DIV/0!</v>
      </c>
      <c r="AB234" s="84"/>
      <c r="AC234" s="84"/>
      <c r="AD234" s="84"/>
      <c r="AE234" s="84"/>
      <c r="AF234" s="461" t="s">
        <v>366</v>
      </c>
      <c r="AG234" s="461"/>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453</v>
      </c>
      <c r="M235" s="116" t="s">
        <v>107</v>
      </c>
      <c r="N235" s="116" t="s">
        <v>108</v>
      </c>
      <c r="O235" s="170" t="s">
        <v>387</v>
      </c>
      <c r="P235" s="462" t="s">
        <v>376</v>
      </c>
      <c r="Q235" s="462"/>
      <c r="R235" s="101" t="s">
        <v>453</v>
      </c>
      <c r="S235" s="116" t="s">
        <v>0</v>
      </c>
      <c r="T235" s="118"/>
      <c r="U235" s="116" t="s">
        <v>288</v>
      </c>
      <c r="V235" s="116" t="s">
        <v>289</v>
      </c>
      <c r="W235" s="116" t="s">
        <v>292</v>
      </c>
      <c r="X235" s="140"/>
      <c r="Y235" s="116" t="s">
        <v>290</v>
      </c>
      <c r="Z235" s="116" t="s">
        <v>355</v>
      </c>
      <c r="AA235" s="116" t="s">
        <v>356</v>
      </c>
      <c r="AB235" s="116" t="s">
        <v>318</v>
      </c>
      <c r="AC235" s="116" t="s">
        <v>319</v>
      </c>
      <c r="AD235" s="116" t="s">
        <v>317</v>
      </c>
      <c r="AE235" s="140"/>
      <c r="AF235" s="116" t="s">
        <v>294</v>
      </c>
      <c r="AG235" s="116" t="s">
        <v>355</v>
      </c>
      <c r="AH235" s="116" t="s">
        <v>356</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634</v>
      </c>
      <c r="O236" s="121" t="s">
        <v>348</v>
      </c>
      <c r="P236" s="169" t="s">
        <v>380</v>
      </c>
      <c r="Q236" s="169" t="s">
        <v>376</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341</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442</v>
      </c>
      <c r="P238" s="121" t="s">
        <v>540</v>
      </c>
      <c r="Q238" s="66" t="s">
        <v>688</v>
      </c>
      <c r="R238" s="121"/>
      <c r="S238" s="133">
        <f>M236</f>
        <v>0</v>
      </c>
      <c r="T238" s="120"/>
      <c r="U238" s="121" t="s">
        <v>362</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407</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329</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635</v>
      </c>
      <c r="P246" s="121"/>
      <c r="Q246" s="66"/>
      <c r="R246" s="121"/>
      <c r="S246" s="133">
        <f>M236</f>
        <v>0</v>
      </c>
      <c r="T246" s="120"/>
      <c r="U246" s="121" t="s">
        <v>364</v>
      </c>
      <c r="V246" s="133">
        <f t="shared" si="96"/>
        <v>0</v>
      </c>
      <c r="W246" s="133">
        <f>VLOOKUP(U246,Sheet1!$B$6:$C$45,2,FALSE)*V246</f>
        <v>0</v>
      </c>
      <c r="X246" s="141"/>
      <c r="Y246" s="135" t="s">
        <v>589</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338</v>
      </c>
      <c r="P251" s="121"/>
      <c r="Q251" s="66"/>
      <c r="R251" s="121" t="s">
        <v>332</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330</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339</v>
      </c>
      <c r="P254" s="121"/>
      <c r="Q254" s="66"/>
      <c r="R254" s="121"/>
      <c r="S254" s="133">
        <f>M236</f>
        <v>0</v>
      </c>
      <c r="T254" s="120"/>
      <c r="U254" s="121" t="s">
        <v>293</v>
      </c>
      <c r="V254" s="133">
        <f t="shared" si="96"/>
        <v>0</v>
      </c>
      <c r="W254" s="133">
        <f>VLOOKUP(U254,Sheet1!$B$6:$C$45,2,FALSE)*V254</f>
        <v>0</v>
      </c>
      <c r="X254" s="141"/>
      <c r="Y254" s="122" t="s">
        <v>334</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403</v>
      </c>
      <c r="P255" s="121"/>
      <c r="Q255" s="66"/>
      <c r="R255" s="121"/>
      <c r="S255" s="133">
        <f>M236</f>
        <v>0</v>
      </c>
      <c r="T255" s="120"/>
      <c r="U255" s="121" t="s">
        <v>293</v>
      </c>
      <c r="V255" s="133">
        <f t="shared" si="96"/>
        <v>0</v>
      </c>
      <c r="W255" s="133">
        <f>VLOOKUP(U255,Sheet1!$B$6:$C$45,2,FALSE)*V255</f>
        <v>0</v>
      </c>
      <c r="X255" s="141"/>
      <c r="Y255" s="122" t="s">
        <v>335</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409</v>
      </c>
      <c r="P256" s="121"/>
      <c r="Q256" s="66"/>
      <c r="R256" s="121"/>
      <c r="S256" s="133">
        <f>M236</f>
        <v>0</v>
      </c>
      <c r="T256" s="120"/>
      <c r="U256" s="121" t="s">
        <v>363</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378</v>
      </c>
      <c r="L257" s="128" t="s">
        <v>379</v>
      </c>
      <c r="N257" s="129"/>
      <c r="O257" s="130" t="s">
        <v>358</v>
      </c>
      <c r="P257" s="171">
        <f>V257+AA257+AH257</f>
        <v>0</v>
      </c>
      <c r="Q257" s="131"/>
      <c r="R257" s="131"/>
      <c r="S257" s="130"/>
      <c r="T257" s="127"/>
      <c r="U257" s="126" t="s">
        <v>352</v>
      </c>
      <c r="V257" s="127">
        <f>W257*80</f>
        <v>0</v>
      </c>
      <c r="W257" s="147">
        <f>SUM(W236:W256)</f>
        <v>0</v>
      </c>
      <c r="X257" s="148"/>
      <c r="Y257" s="127" t="s">
        <v>353</v>
      </c>
      <c r="Z257" s="116"/>
      <c r="AA257" s="116">
        <f>SUM(AA236:AA256)</f>
        <v>0</v>
      </c>
      <c r="AB257" s="149"/>
      <c r="AC257" s="149"/>
      <c r="AD257" s="149"/>
      <c r="AE257" s="149"/>
      <c r="AF257" s="127" t="s">
        <v>357</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492</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368</v>
      </c>
      <c r="N258" s="160" t="str">
        <f>N236</f>
        <v>timeclock controlled DOL fan - from local power supply</v>
      </c>
      <c r="O258" s="160" t="s">
        <v>366</v>
      </c>
      <c r="P258" s="171" t="e">
        <f>P257/M236</f>
        <v>#DIV/0!</v>
      </c>
      <c r="Q258" s="161"/>
      <c r="R258" s="161"/>
      <c r="S258" s="160"/>
      <c r="T258" s="161"/>
      <c r="U258" s="463" t="s">
        <v>367</v>
      </c>
      <c r="V258" s="463"/>
      <c r="W258" s="162" t="e">
        <f>W257/M236</f>
        <v>#DIV/0!</v>
      </c>
      <c r="X258" s="163"/>
      <c r="Y258" s="461" t="s">
        <v>366</v>
      </c>
      <c r="Z258" s="461"/>
      <c r="AA258" s="164" t="e">
        <f>AA257/M236</f>
        <v>#DIV/0!</v>
      </c>
      <c r="AB258" s="161"/>
      <c r="AC258" s="161"/>
      <c r="AD258" s="161"/>
      <c r="AE258" s="161"/>
      <c r="AF258" s="461" t="s">
        <v>366</v>
      </c>
      <c r="AG258" s="461"/>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453</v>
      </c>
      <c r="M259" s="2" t="s">
        <v>107</v>
      </c>
      <c r="N259" s="2" t="s">
        <v>108</v>
      </c>
      <c r="O259" s="97" t="s">
        <v>387</v>
      </c>
      <c r="P259" s="462" t="s">
        <v>376</v>
      </c>
      <c r="Q259" s="462"/>
      <c r="R259" s="101" t="s">
        <v>453</v>
      </c>
      <c r="S259" s="2" t="s">
        <v>0</v>
      </c>
      <c r="T259" s="9"/>
      <c r="U259" s="2" t="s">
        <v>288</v>
      </c>
      <c r="V259" s="2" t="s">
        <v>289</v>
      </c>
      <c r="W259" s="2" t="s">
        <v>292</v>
      </c>
      <c r="X259" s="58"/>
      <c r="Y259" s="2" t="s">
        <v>290</v>
      </c>
      <c r="Z259" s="2" t="s">
        <v>355</v>
      </c>
      <c r="AA259" s="2" t="s">
        <v>356</v>
      </c>
      <c r="AB259" s="2" t="s">
        <v>318</v>
      </c>
      <c r="AC259" s="2" t="s">
        <v>319</v>
      </c>
      <c r="AD259" s="2" t="s">
        <v>317</v>
      </c>
      <c r="AE259" s="58"/>
      <c r="AF259" s="2" t="s">
        <v>294</v>
      </c>
      <c r="AG259" s="2" t="s">
        <v>355</v>
      </c>
      <c r="AH259" s="2" t="s">
        <v>356</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336</v>
      </c>
      <c r="O260" s="12" t="s">
        <v>348</v>
      </c>
      <c r="P260" s="96" t="s">
        <v>380</v>
      </c>
      <c r="Q260" s="96" t="s">
        <v>376</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341</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442</v>
      </c>
      <c r="P262" s="121" t="s">
        <v>540</v>
      </c>
      <c r="Q262" s="66" t="s">
        <v>688</v>
      </c>
      <c r="R262" s="12"/>
      <c r="S262" s="28">
        <f>M260</f>
        <v>0</v>
      </c>
      <c r="T262" s="11"/>
      <c r="U262" s="12" t="s">
        <v>362</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407</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329</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337</v>
      </c>
      <c r="P270" s="12"/>
      <c r="Q270" s="66"/>
      <c r="R270" s="12"/>
      <c r="S270" s="28">
        <f>M260</f>
        <v>0</v>
      </c>
      <c r="T270" s="11"/>
      <c r="U270" s="12" t="s">
        <v>364</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338</v>
      </c>
      <c r="P275" s="12"/>
      <c r="Q275" s="66"/>
      <c r="R275" s="12" t="s">
        <v>332</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330</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339</v>
      </c>
      <c r="P278" s="12"/>
      <c r="Q278" s="66"/>
      <c r="R278" s="12"/>
      <c r="S278" s="28">
        <f>M260</f>
        <v>0</v>
      </c>
      <c r="T278" s="11"/>
      <c r="U278" s="12" t="s">
        <v>293</v>
      </c>
      <c r="V278" s="28">
        <f t="shared" si="106"/>
        <v>0</v>
      </c>
      <c r="W278" s="28">
        <f>VLOOKUP(U278,Sheet1!$B$6:$C$45,2,FALSE)*V278</f>
        <v>0</v>
      </c>
      <c r="X278" s="59"/>
      <c r="Y278" s="13" t="s">
        <v>334</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403</v>
      </c>
      <c r="P279" s="12"/>
      <c r="Q279" s="66"/>
      <c r="R279" s="12"/>
      <c r="S279" s="28">
        <f>M260</f>
        <v>0</v>
      </c>
      <c r="T279" s="11"/>
      <c r="U279" s="12" t="s">
        <v>293</v>
      </c>
      <c r="V279" s="28">
        <f t="shared" si="106"/>
        <v>0</v>
      </c>
      <c r="W279" s="28">
        <f>VLOOKUP(U279,Sheet1!$B$6:$C$45,2,FALSE)*V279</f>
        <v>0</v>
      </c>
      <c r="X279" s="59"/>
      <c r="Y279" s="13" t="s">
        <v>335</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409</v>
      </c>
      <c r="P280" s="12"/>
      <c r="Q280" s="66"/>
      <c r="R280" s="12"/>
      <c r="S280" s="28">
        <f>M260</f>
        <v>0</v>
      </c>
      <c r="T280" s="11"/>
      <c r="U280" s="12" t="s">
        <v>363</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378</v>
      </c>
      <c r="L281" s="21" t="s">
        <v>379</v>
      </c>
      <c r="N281" s="22"/>
      <c r="O281" s="23" t="s">
        <v>358</v>
      </c>
      <c r="P281" s="98">
        <f>V281+AA281+AH281</f>
        <v>0</v>
      </c>
      <c r="Q281" s="24"/>
      <c r="R281" s="24"/>
      <c r="S281" s="23"/>
      <c r="T281" s="20"/>
      <c r="U281" s="19" t="s">
        <v>352</v>
      </c>
      <c r="V281" s="20">
        <f>W281*80</f>
        <v>0</v>
      </c>
      <c r="W281" s="69">
        <f>SUM(W260:W280)</f>
        <v>0</v>
      </c>
      <c r="X281" s="70"/>
      <c r="Y281" s="20" t="s">
        <v>353</v>
      </c>
      <c r="Z281" s="2"/>
      <c r="AA281" s="2">
        <f>SUM(AA260:AA280)</f>
        <v>0</v>
      </c>
      <c r="AB281" s="71"/>
      <c r="AC281" s="71"/>
      <c r="AD281" s="71"/>
      <c r="AE281" s="71"/>
      <c r="AF281" s="20" t="s">
        <v>357</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492</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368</v>
      </c>
      <c r="N282" s="83" t="str">
        <f>N260</f>
        <v>temperature controlled fan - from local power supply</v>
      </c>
      <c r="O282" s="83" t="s">
        <v>366</v>
      </c>
      <c r="P282" s="84" t="e">
        <f>P281/M260</f>
        <v>#DIV/0!</v>
      </c>
      <c r="Q282" s="84"/>
      <c r="R282" s="84"/>
      <c r="S282" s="83"/>
      <c r="T282" s="84"/>
      <c r="U282" s="463" t="s">
        <v>367</v>
      </c>
      <c r="V282" s="463"/>
      <c r="W282" s="85" t="e">
        <f>W281/M260</f>
        <v>#DIV/0!</v>
      </c>
      <c r="X282" s="86"/>
      <c r="Y282" s="461" t="s">
        <v>366</v>
      </c>
      <c r="Z282" s="461"/>
      <c r="AA282" s="87" t="e">
        <f>AA281/M260</f>
        <v>#DIV/0!</v>
      </c>
      <c r="AB282" s="84"/>
      <c r="AC282" s="84"/>
      <c r="AD282" s="84"/>
      <c r="AE282" s="84"/>
      <c r="AF282" s="461" t="s">
        <v>366</v>
      </c>
      <c r="AG282" s="461"/>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453</v>
      </c>
      <c r="M283" s="116" t="s">
        <v>107</v>
      </c>
      <c r="N283" s="116" t="s">
        <v>108</v>
      </c>
      <c r="O283" s="170" t="s">
        <v>387</v>
      </c>
      <c r="P283" s="462" t="s">
        <v>376</v>
      </c>
      <c r="Q283" s="462"/>
      <c r="R283" s="101" t="s">
        <v>453</v>
      </c>
      <c r="S283" s="116" t="s">
        <v>0</v>
      </c>
      <c r="T283" s="118"/>
      <c r="U283" s="116" t="s">
        <v>288</v>
      </c>
      <c r="V283" s="116" t="s">
        <v>289</v>
      </c>
      <c r="W283" s="116" t="s">
        <v>292</v>
      </c>
      <c r="X283" s="140"/>
      <c r="Y283" s="116" t="s">
        <v>290</v>
      </c>
      <c r="Z283" s="116" t="s">
        <v>355</v>
      </c>
      <c r="AA283" s="116" t="s">
        <v>356</v>
      </c>
      <c r="AB283" s="116" t="s">
        <v>318</v>
      </c>
      <c r="AC283" s="116" t="s">
        <v>319</v>
      </c>
      <c r="AD283" s="116" t="s">
        <v>317</v>
      </c>
      <c r="AE283" s="140"/>
      <c r="AF283" s="116" t="s">
        <v>294</v>
      </c>
      <c r="AG283" s="116" t="s">
        <v>355</v>
      </c>
      <c r="AH283" s="116" t="s">
        <v>356</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571</v>
      </c>
      <c r="O284" s="121" t="s">
        <v>348</v>
      </c>
      <c r="P284" s="169" t="s">
        <v>380</v>
      </c>
      <c r="Q284" s="169" t="s">
        <v>376</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412</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362</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392</v>
      </c>
      <c r="P288" s="121"/>
      <c r="Q288" s="121"/>
      <c r="R288" s="121"/>
      <c r="S288" s="133">
        <f>M284</f>
        <v>0</v>
      </c>
      <c r="T288" s="120"/>
      <c r="U288" s="121" t="s">
        <v>293</v>
      </c>
      <c r="V288" s="133">
        <f t="shared" si="121"/>
        <v>0</v>
      </c>
      <c r="W288" s="133">
        <f>VLOOKUP(U288,Sheet1!$B$6:$C$45,2,FALSE)*V288</f>
        <v>0</v>
      </c>
      <c r="X288" s="141"/>
      <c r="Y288" s="135" t="s">
        <v>546</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391</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710</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365</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365</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364</v>
      </c>
      <c r="V298" s="133">
        <f t="shared" si="121"/>
        <v>0</v>
      </c>
      <c r="W298" s="133">
        <f>VLOOKUP(U298,Sheet1!$B$6:$C$45,2,FALSE)*V298</f>
        <v>0</v>
      </c>
      <c r="X298" s="141"/>
      <c r="Y298" s="122" t="s">
        <v>322</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456</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330</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709</v>
      </c>
      <c r="P303" s="121" t="s">
        <v>381</v>
      </c>
      <c r="Q303" s="121" t="s">
        <v>385</v>
      </c>
      <c r="R303" s="121"/>
      <c r="S303" s="133">
        <f>M284</f>
        <v>0</v>
      </c>
      <c r="T303" s="120"/>
      <c r="U303" s="121" t="s">
        <v>293</v>
      </c>
      <c r="V303" s="133">
        <f t="shared" si="121"/>
        <v>0</v>
      </c>
      <c r="W303" s="133">
        <f>VLOOKUP(U303,Sheet1!$B$6:$C$45,2,FALSE)*V303</f>
        <v>0</v>
      </c>
      <c r="X303" s="141"/>
      <c r="Y303" s="122" t="s">
        <v>323</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409</v>
      </c>
      <c r="P304" s="121"/>
      <c r="Q304" s="121"/>
      <c r="R304" s="121"/>
      <c r="S304" s="133">
        <f>M284</f>
        <v>0</v>
      </c>
      <c r="T304" s="120"/>
      <c r="U304" s="121" t="s">
        <v>365</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378</v>
      </c>
      <c r="L305" s="128" t="s">
        <v>379</v>
      </c>
      <c r="N305" s="129"/>
      <c r="O305" s="130" t="s">
        <v>358</v>
      </c>
      <c r="P305" s="131">
        <f>V305+AA305+AH305</f>
        <v>0</v>
      </c>
      <c r="Q305" s="131"/>
      <c r="R305" s="131"/>
      <c r="S305" s="130"/>
      <c r="T305" s="127"/>
      <c r="U305" s="126" t="s">
        <v>352</v>
      </c>
      <c r="V305" s="127">
        <f>W305*80</f>
        <v>0</v>
      </c>
      <c r="W305" s="147">
        <f>SUM(W284:W304)</f>
        <v>0</v>
      </c>
      <c r="X305" s="148"/>
      <c r="Y305" s="127" t="s">
        <v>353</v>
      </c>
      <c r="Z305" s="116"/>
      <c r="AA305" s="116">
        <f>SUM(AA284:AA304)</f>
        <v>0</v>
      </c>
      <c r="AB305" s="149"/>
      <c r="AC305" s="149"/>
      <c r="AD305" s="149"/>
      <c r="AE305" s="149"/>
      <c r="AF305" s="127" t="s">
        <v>357</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492</v>
      </c>
      <c r="C306" s="217" t="str">
        <f>N284</f>
        <v>carpark fan ( excluding controls)</v>
      </c>
      <c r="D306" s="260" t="s">
        <v>678</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368</v>
      </c>
      <c r="N306" s="160" t="str">
        <f>N284</f>
        <v>carpark fan ( excluding controls)</v>
      </c>
      <c r="O306" s="160" t="s">
        <v>366</v>
      </c>
      <c r="P306" s="64" t="e">
        <f>P305/M284</f>
        <v>#DIV/0!</v>
      </c>
      <c r="Q306" s="161"/>
      <c r="R306" s="161"/>
      <c r="S306" s="160"/>
      <c r="T306" s="161"/>
      <c r="U306" s="463" t="s">
        <v>367</v>
      </c>
      <c r="V306" s="463"/>
      <c r="W306" s="162" t="e">
        <f>W305/M284</f>
        <v>#DIV/0!</v>
      </c>
      <c r="X306" s="163"/>
      <c r="Y306" s="461" t="s">
        <v>366</v>
      </c>
      <c r="Z306" s="461"/>
      <c r="AA306" s="164" t="e">
        <f>AA305/M284</f>
        <v>#DIV/0!</v>
      </c>
      <c r="AB306" s="161"/>
      <c r="AC306" s="161"/>
      <c r="AD306" s="161"/>
      <c r="AE306" s="161"/>
      <c r="AF306" s="461" t="s">
        <v>366</v>
      </c>
      <c r="AG306" s="461"/>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453</v>
      </c>
      <c r="M307" s="2" t="s">
        <v>107</v>
      </c>
      <c r="N307" s="2" t="s">
        <v>108</v>
      </c>
      <c r="O307" s="97" t="s">
        <v>387</v>
      </c>
      <c r="P307" s="462" t="s">
        <v>376</v>
      </c>
      <c r="Q307" s="462"/>
      <c r="R307" s="101" t="s">
        <v>453</v>
      </c>
      <c r="S307" s="2" t="s">
        <v>0</v>
      </c>
      <c r="T307" s="9"/>
      <c r="U307" s="2" t="s">
        <v>288</v>
      </c>
      <c r="V307" s="2" t="s">
        <v>289</v>
      </c>
      <c r="W307" s="2" t="s">
        <v>292</v>
      </c>
      <c r="X307" s="58"/>
      <c r="Y307" s="2" t="s">
        <v>290</v>
      </c>
      <c r="Z307" s="2" t="s">
        <v>355</v>
      </c>
      <c r="AA307" s="2" t="s">
        <v>356</v>
      </c>
      <c r="AB307" s="2" t="s">
        <v>318</v>
      </c>
      <c r="AC307" s="2" t="s">
        <v>319</v>
      </c>
      <c r="AD307" s="2" t="s">
        <v>317</v>
      </c>
      <c r="AE307" s="58"/>
      <c r="AF307" s="2" t="s">
        <v>294</v>
      </c>
      <c r="AG307" s="2" t="s">
        <v>355</v>
      </c>
      <c r="AH307" s="2" t="s">
        <v>356</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443</v>
      </c>
      <c r="O308" s="12" t="s">
        <v>348</v>
      </c>
      <c r="P308" s="96" t="s">
        <v>380</v>
      </c>
      <c r="Q308" s="96" t="s">
        <v>376</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341</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442</v>
      </c>
      <c r="P310" s="12" t="s">
        <v>421</v>
      </c>
      <c r="Q310" s="66" t="s">
        <v>444</v>
      </c>
      <c r="R310" s="12"/>
      <c r="S310" s="28">
        <f>M308</f>
        <v>0</v>
      </c>
      <c r="T310" s="11"/>
      <c r="U310" s="12" t="s">
        <v>362</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407</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329</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342</v>
      </c>
      <c r="P317" s="12"/>
      <c r="Q317" s="66"/>
      <c r="R317" s="12" t="s">
        <v>454</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337</v>
      </c>
      <c r="P318" s="12"/>
      <c r="Q318" s="66"/>
      <c r="R318" s="12"/>
      <c r="S318" s="28">
        <f>M308</f>
        <v>0</v>
      </c>
      <c r="T318" s="11"/>
      <c r="U318" s="12" t="s">
        <v>364</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343</v>
      </c>
      <c r="P319" s="12"/>
      <c r="Q319" s="66"/>
      <c r="R319" s="12"/>
      <c r="S319" s="28">
        <f>M308</f>
        <v>0</v>
      </c>
      <c r="T319" s="11"/>
      <c r="U319" s="12" t="s">
        <v>364</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331</v>
      </c>
      <c r="P322" s="12"/>
      <c r="Q322" s="66"/>
      <c r="R322" s="12"/>
      <c r="S322" s="28">
        <f>M308</f>
        <v>0</v>
      </c>
      <c r="T322" s="11"/>
      <c r="U322" s="12" t="s">
        <v>293</v>
      </c>
      <c r="V322" s="28">
        <f t="shared" si="130"/>
        <v>0</v>
      </c>
      <c r="W322" s="28">
        <f>VLOOKUP(U322,Sheet1!$B$6:$C$45,2,FALSE)*V322</f>
        <v>0</v>
      </c>
      <c r="X322" s="59"/>
      <c r="Y322" s="13" t="s">
        <v>322</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338</v>
      </c>
      <c r="P323" s="12"/>
      <c r="Q323" s="66"/>
      <c r="R323" s="12" t="s">
        <v>332</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344</v>
      </c>
      <c r="P324" s="12"/>
      <c r="Q324" s="66"/>
      <c r="R324" s="12"/>
      <c r="S324" s="28">
        <f>M308</f>
        <v>0</v>
      </c>
      <c r="T324" s="11"/>
      <c r="U324" s="12" t="s">
        <v>364</v>
      </c>
      <c r="V324" s="28">
        <f t="shared" si="130"/>
        <v>0</v>
      </c>
      <c r="W324" s="28">
        <f>3*M308</f>
        <v>0</v>
      </c>
      <c r="X324" s="59"/>
      <c r="Y324" s="13" t="s">
        <v>333</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330</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339</v>
      </c>
      <c r="P326" s="12"/>
      <c r="Q326" s="66"/>
      <c r="R326" s="12"/>
      <c r="S326" s="28">
        <f>M308</f>
        <v>0</v>
      </c>
      <c r="T326" s="11"/>
      <c r="U326" s="12" t="s">
        <v>293</v>
      </c>
      <c r="V326" s="28">
        <f t="shared" si="130"/>
        <v>0</v>
      </c>
      <c r="W326" s="28">
        <f>VLOOKUP(U326,Sheet1!$B$6:$C$45,2,FALSE)*V326</f>
        <v>0</v>
      </c>
      <c r="X326" s="59"/>
      <c r="Y326" s="13" t="s">
        <v>334</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340</v>
      </c>
      <c r="P327" s="12"/>
      <c r="Q327" s="66"/>
      <c r="R327" s="12"/>
      <c r="S327" s="28">
        <f>M308</f>
        <v>0</v>
      </c>
      <c r="T327" s="11"/>
      <c r="U327" s="12" t="s">
        <v>293</v>
      </c>
      <c r="V327" s="28">
        <f t="shared" si="130"/>
        <v>0</v>
      </c>
      <c r="W327" s="28">
        <f>VLOOKUP(U327,Sheet1!$B$6:$C$45,2,FALSE)*V327</f>
        <v>0</v>
      </c>
      <c r="X327" s="59"/>
      <c r="Y327" s="13" t="s">
        <v>335</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409</v>
      </c>
      <c r="P328" s="12"/>
      <c r="Q328" s="66"/>
      <c r="R328" s="12"/>
      <c r="S328" s="28">
        <f>M308</f>
        <v>0</v>
      </c>
      <c r="T328" s="11"/>
      <c r="U328" s="12" t="s">
        <v>363</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378</v>
      </c>
      <c r="L329" s="21" t="s">
        <v>379</v>
      </c>
      <c r="N329" s="22"/>
      <c r="O329" s="23" t="s">
        <v>358</v>
      </c>
      <c r="P329" s="98">
        <f>V329+AA329+AH329</f>
        <v>0</v>
      </c>
      <c r="Q329" s="65"/>
      <c r="R329" s="65"/>
      <c r="S329" s="23"/>
      <c r="T329" s="20"/>
      <c r="U329" s="19" t="s">
        <v>352</v>
      </c>
      <c r="V329" s="20">
        <f>W329*80</f>
        <v>0</v>
      </c>
      <c r="W329" s="69">
        <f>SUM(W308:W328)</f>
        <v>0</v>
      </c>
      <c r="X329" s="70"/>
      <c r="Y329" s="20" t="s">
        <v>353</v>
      </c>
      <c r="Z329" s="2"/>
      <c r="AA329" s="2">
        <f>SUM(AA308:AA328)</f>
        <v>0</v>
      </c>
      <c r="AB329" s="71"/>
      <c r="AC329" s="71"/>
      <c r="AD329" s="71"/>
      <c r="AE329" s="71"/>
      <c r="AF329" s="20" t="s">
        <v>357</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492</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368</v>
      </c>
      <c r="N330" s="83" t="str">
        <f>N308</f>
        <v>substation ventilation system (Including temperature control and alarm) - From local power supply</v>
      </c>
      <c r="O330" s="83" t="s">
        <v>366</v>
      </c>
      <c r="P330" s="84" t="e">
        <f>P329/M308</f>
        <v>#DIV/0!</v>
      </c>
      <c r="Q330" s="84"/>
      <c r="R330" s="84"/>
      <c r="S330" s="83"/>
      <c r="T330" s="84"/>
      <c r="U330" s="463" t="s">
        <v>367</v>
      </c>
      <c r="V330" s="463"/>
      <c r="W330" s="85" t="e">
        <f>W329/M308</f>
        <v>#DIV/0!</v>
      </c>
      <c r="X330" s="86"/>
      <c r="Y330" s="461" t="s">
        <v>366</v>
      </c>
      <c r="Z330" s="461"/>
      <c r="AA330" s="87" t="e">
        <f>AA329/M308</f>
        <v>#DIV/0!</v>
      </c>
      <c r="AB330" s="84"/>
      <c r="AC330" s="84"/>
      <c r="AD330" s="84"/>
      <c r="AE330" s="84"/>
      <c r="AF330" s="461" t="s">
        <v>366</v>
      </c>
      <c r="AG330" s="461"/>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453</v>
      </c>
      <c r="M331" s="116" t="s">
        <v>107</v>
      </c>
      <c r="N331" s="116" t="s">
        <v>108</v>
      </c>
      <c r="O331" s="170" t="s">
        <v>387</v>
      </c>
      <c r="P331" s="462" t="s">
        <v>376</v>
      </c>
      <c r="Q331" s="462"/>
      <c r="R331" s="101" t="s">
        <v>453</v>
      </c>
      <c r="S331" s="116" t="s">
        <v>0</v>
      </c>
      <c r="T331" s="118"/>
      <c r="U331" s="116" t="s">
        <v>288</v>
      </c>
      <c r="V331" s="116" t="s">
        <v>289</v>
      </c>
      <c r="W331" s="116" t="s">
        <v>292</v>
      </c>
      <c r="X331" s="140"/>
      <c r="Y331" s="116" t="s">
        <v>290</v>
      </c>
      <c r="Z331" s="116" t="s">
        <v>355</v>
      </c>
      <c r="AA331" s="116" t="s">
        <v>356</v>
      </c>
      <c r="AB331" s="116" t="s">
        <v>318</v>
      </c>
      <c r="AC331" s="116" t="s">
        <v>319</v>
      </c>
      <c r="AD331" s="116" t="s">
        <v>317</v>
      </c>
      <c r="AE331" s="140"/>
      <c r="AF331" s="116" t="s">
        <v>294</v>
      </c>
      <c r="AG331" s="116" t="s">
        <v>355</v>
      </c>
      <c r="AH331" s="116" t="s">
        <v>356</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662</v>
      </c>
      <c r="O332" s="121" t="s">
        <v>348</v>
      </c>
      <c r="P332" s="169" t="s">
        <v>380</v>
      </c>
      <c r="Q332" s="169" t="s">
        <v>376</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341</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591</v>
      </c>
      <c r="P334" s="121"/>
      <c r="Q334" s="66"/>
      <c r="R334" s="121"/>
      <c r="S334" s="133">
        <f>M332</f>
        <v>0</v>
      </c>
      <c r="T334" s="120"/>
      <c r="U334" s="117" t="s">
        <v>479</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407</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329</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419</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663</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338</v>
      </c>
      <c r="P347" s="121"/>
      <c r="Q347" s="66"/>
      <c r="R347" s="121" t="s">
        <v>332</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330</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408</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409</v>
      </c>
      <c r="P352" s="121"/>
      <c r="Q352" s="66"/>
      <c r="R352" s="121"/>
      <c r="S352" s="133">
        <f>M332</f>
        <v>0</v>
      </c>
      <c r="T352" s="120"/>
      <c r="U352" s="121" t="s">
        <v>363</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378</v>
      </c>
      <c r="L353" s="128" t="s">
        <v>379</v>
      </c>
      <c r="N353" s="129"/>
      <c r="O353" s="130" t="s">
        <v>358</v>
      </c>
      <c r="P353" s="131">
        <f>V353+AA353+AH353</f>
        <v>0</v>
      </c>
      <c r="Q353" s="131"/>
      <c r="R353" s="131"/>
      <c r="S353" s="130"/>
      <c r="T353" s="127"/>
      <c r="U353" s="126" t="s">
        <v>352</v>
      </c>
      <c r="V353" s="127">
        <f>W353*80</f>
        <v>0</v>
      </c>
      <c r="W353" s="147">
        <f>SUM(W332:W352)</f>
        <v>0</v>
      </c>
      <c r="X353" s="148"/>
      <c r="Y353" s="127" t="s">
        <v>353</v>
      </c>
      <c r="Z353" s="116"/>
      <c r="AA353" s="116">
        <f>SUM(AA332:AA352)</f>
        <v>0</v>
      </c>
      <c r="AB353" s="149"/>
      <c r="AC353" s="149"/>
      <c r="AD353" s="149"/>
      <c r="AE353" s="149"/>
      <c r="AF353" s="127" t="s">
        <v>357</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492</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368</v>
      </c>
      <c r="N354" s="160" t="str">
        <f>N332</f>
        <v>DOL fan with interlock with mechanical thermostat - from MSSB power supply</v>
      </c>
      <c r="O354" s="160" t="s">
        <v>366</v>
      </c>
      <c r="P354" s="82" t="e">
        <f>P353/M332</f>
        <v>#DIV/0!</v>
      </c>
      <c r="Q354" s="161"/>
      <c r="R354" s="161"/>
      <c r="S354" s="160"/>
      <c r="T354" s="161"/>
      <c r="U354" s="463" t="s">
        <v>367</v>
      </c>
      <c r="V354" s="463"/>
      <c r="W354" s="162" t="e">
        <f>W353/M332</f>
        <v>#DIV/0!</v>
      </c>
      <c r="X354" s="163"/>
      <c r="Y354" s="461" t="s">
        <v>366</v>
      </c>
      <c r="Z354" s="461"/>
      <c r="AA354" s="164" t="e">
        <f>AA353/M332</f>
        <v>#DIV/0!</v>
      </c>
      <c r="AB354" s="161"/>
      <c r="AC354" s="161"/>
      <c r="AD354" s="161"/>
      <c r="AE354" s="161"/>
      <c r="AF354" s="461" t="s">
        <v>366</v>
      </c>
      <c r="AG354" s="461"/>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453</v>
      </c>
      <c r="M355" s="116" t="s">
        <v>107</v>
      </c>
      <c r="N355" s="116" t="s">
        <v>108</v>
      </c>
      <c r="O355" s="170" t="s">
        <v>387</v>
      </c>
      <c r="P355" s="462" t="s">
        <v>376</v>
      </c>
      <c r="Q355" s="462"/>
      <c r="R355" s="101" t="s">
        <v>453</v>
      </c>
      <c r="S355" s="116" t="s">
        <v>0</v>
      </c>
      <c r="T355" s="118"/>
      <c r="U355" s="116" t="s">
        <v>288</v>
      </c>
      <c r="V355" s="116" t="s">
        <v>289</v>
      </c>
      <c r="W355" s="116" t="s">
        <v>292</v>
      </c>
      <c r="X355" s="140"/>
      <c r="Y355" s="116" t="s">
        <v>290</v>
      </c>
      <c r="Z355" s="116" t="s">
        <v>355</v>
      </c>
      <c r="AA355" s="116" t="s">
        <v>356</v>
      </c>
      <c r="AB355" s="116" t="s">
        <v>318</v>
      </c>
      <c r="AC355" s="116" t="s">
        <v>319</v>
      </c>
      <c r="AD355" s="116" t="s">
        <v>317</v>
      </c>
      <c r="AE355" s="140"/>
      <c r="AF355" s="116" t="s">
        <v>294</v>
      </c>
      <c r="AG355" s="116" t="s">
        <v>355</v>
      </c>
      <c r="AH355" s="116" t="s">
        <v>356</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664</v>
      </c>
      <c r="O356" s="121" t="s">
        <v>348</v>
      </c>
      <c r="P356" s="169" t="s">
        <v>380</v>
      </c>
      <c r="Q356" s="169" t="s">
        <v>376</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341</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591</v>
      </c>
      <c r="P358" s="121"/>
      <c r="Q358" s="66"/>
      <c r="R358" s="121"/>
      <c r="S358" s="133">
        <f>M356</f>
        <v>0</v>
      </c>
      <c r="T358" s="120"/>
      <c r="U358" s="117" t="s">
        <v>479</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407</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329</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665</v>
      </c>
      <c r="P367" s="121" t="s">
        <v>667</v>
      </c>
      <c r="Q367" s="66" t="s">
        <v>666</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419</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542</v>
      </c>
      <c r="P370" s="121"/>
      <c r="Q370" s="66"/>
      <c r="R370" s="121"/>
      <c r="S370" s="133">
        <f>M356</f>
        <v>0</v>
      </c>
      <c r="T370" s="120"/>
      <c r="U370" s="121" t="s">
        <v>293</v>
      </c>
      <c r="V370" s="133">
        <f t="shared" si="154"/>
        <v>0</v>
      </c>
      <c r="W370" s="133">
        <f>VLOOKUP(U370,Sheet1!$B$6:$C$45,2,FALSE)*V370</f>
        <v>0</v>
      </c>
      <c r="X370" s="141"/>
      <c r="Y370" s="122" t="s">
        <v>327</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338</v>
      </c>
      <c r="P371" s="121"/>
      <c r="Q371" s="66"/>
      <c r="R371" s="121" t="s">
        <v>332</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330</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408</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409</v>
      </c>
      <c r="P376" s="121"/>
      <c r="Q376" s="66"/>
      <c r="R376" s="121"/>
      <c r="S376" s="133">
        <f>M356</f>
        <v>0</v>
      </c>
      <c r="T376" s="120"/>
      <c r="U376" s="121" t="s">
        <v>363</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378</v>
      </c>
      <c r="L377" s="128" t="s">
        <v>379</v>
      </c>
      <c r="N377" s="129"/>
      <c r="O377" s="130" t="s">
        <v>358</v>
      </c>
      <c r="P377" s="131">
        <f>V377+AA377+AH377</f>
        <v>0</v>
      </c>
      <c r="Q377" s="131"/>
      <c r="R377" s="131"/>
      <c r="S377" s="130"/>
      <c r="T377" s="127"/>
      <c r="U377" s="126" t="s">
        <v>352</v>
      </c>
      <c r="V377" s="127">
        <f>W377*80</f>
        <v>0</v>
      </c>
      <c r="W377" s="147">
        <f>SUM(W356:W376)</f>
        <v>0</v>
      </c>
      <c r="X377" s="148"/>
      <c r="Y377" s="127" t="s">
        <v>353</v>
      </c>
      <c r="Z377" s="116"/>
      <c r="AA377" s="116">
        <f>SUM(AA356:AA376)</f>
        <v>0</v>
      </c>
      <c r="AB377" s="149"/>
      <c r="AC377" s="149"/>
      <c r="AD377" s="149"/>
      <c r="AE377" s="149"/>
      <c r="AF377" s="127" t="s">
        <v>357</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492</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368</v>
      </c>
      <c r="N378" s="160" t="str">
        <f>N356</f>
        <v>Proprietary DOL fan with interlock with Proprietary controller- from MSSB power supply</v>
      </c>
      <c r="O378" s="160" t="s">
        <v>366</v>
      </c>
      <c r="P378" s="82" t="e">
        <f>P377/M356</f>
        <v>#DIV/0!</v>
      </c>
      <c r="Q378" s="161"/>
      <c r="R378" s="161"/>
      <c r="S378" s="160"/>
      <c r="T378" s="161"/>
      <c r="U378" s="463" t="s">
        <v>367</v>
      </c>
      <c r="V378" s="463"/>
      <c r="W378" s="162" t="e">
        <f>W377/M356</f>
        <v>#DIV/0!</v>
      </c>
      <c r="X378" s="163"/>
      <c r="Y378" s="461" t="s">
        <v>366</v>
      </c>
      <c r="Z378" s="461"/>
      <c r="AA378" s="164" t="e">
        <f>AA377/M356</f>
        <v>#DIV/0!</v>
      </c>
      <c r="AB378" s="161"/>
      <c r="AC378" s="161"/>
      <c r="AD378" s="161"/>
      <c r="AE378" s="161"/>
      <c r="AF378" s="461" t="s">
        <v>366</v>
      </c>
      <c r="AG378" s="461"/>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453</v>
      </c>
      <c r="M379" s="116" t="s">
        <v>107</v>
      </c>
      <c r="N379" s="116" t="s">
        <v>108</v>
      </c>
      <c r="O379" s="170" t="s">
        <v>387</v>
      </c>
      <c r="P379" s="462" t="s">
        <v>376</v>
      </c>
      <c r="Q379" s="462"/>
      <c r="R379" s="101" t="s">
        <v>453</v>
      </c>
      <c r="S379" s="116" t="s">
        <v>0</v>
      </c>
      <c r="T379" s="118"/>
      <c r="U379" s="116" t="s">
        <v>288</v>
      </c>
      <c r="V379" s="116" t="s">
        <v>289</v>
      </c>
      <c r="W379" s="116" t="s">
        <v>292</v>
      </c>
      <c r="X379" s="140"/>
      <c r="Y379" s="116" t="s">
        <v>290</v>
      </c>
      <c r="Z379" s="116" t="s">
        <v>355</v>
      </c>
      <c r="AA379" s="116" t="s">
        <v>356</v>
      </c>
      <c r="AB379" s="116" t="s">
        <v>318</v>
      </c>
      <c r="AC379" s="116" t="s">
        <v>319</v>
      </c>
      <c r="AD379" s="116" t="s">
        <v>317</v>
      </c>
      <c r="AE379" s="140"/>
      <c r="AF379" s="116" t="s">
        <v>294</v>
      </c>
      <c r="AG379" s="116" t="s">
        <v>355</v>
      </c>
      <c r="AH379" s="116" t="s">
        <v>356</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685</v>
      </c>
      <c r="O380" s="121" t="s">
        <v>348</v>
      </c>
      <c r="P380" s="169" t="s">
        <v>380</v>
      </c>
      <c r="Q380" s="169" t="s">
        <v>376</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341</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591</v>
      </c>
      <c r="P382" s="121"/>
      <c r="Q382" s="66"/>
      <c r="R382" s="121"/>
      <c r="S382" s="133">
        <f>M380</f>
        <v>0</v>
      </c>
      <c r="T382" s="120"/>
      <c r="U382" s="117" t="s">
        <v>479</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407</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329</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419</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686</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338</v>
      </c>
      <c r="P395" s="121"/>
      <c r="Q395" s="66"/>
      <c r="R395" s="121" t="s">
        <v>332</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330</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408</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409</v>
      </c>
      <c r="P400" s="121"/>
      <c r="Q400" s="66"/>
      <c r="R400" s="121"/>
      <c r="S400" s="133">
        <f>M380</f>
        <v>0</v>
      </c>
      <c r="T400" s="120"/>
      <c r="U400" s="121" t="s">
        <v>363</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378</v>
      </c>
      <c r="L401" s="128" t="s">
        <v>379</v>
      </c>
      <c r="N401" s="129"/>
      <c r="O401" s="130" t="s">
        <v>358</v>
      </c>
      <c r="P401" s="131">
        <f>V401+AA401+AH401</f>
        <v>0</v>
      </c>
      <c r="Q401" s="131"/>
      <c r="R401" s="131"/>
      <c r="S401" s="130"/>
      <c r="T401" s="127"/>
      <c r="U401" s="126" t="s">
        <v>352</v>
      </c>
      <c r="V401" s="127">
        <f>W401*80</f>
        <v>0</v>
      </c>
      <c r="W401" s="147">
        <f>SUM(W380:W400)</f>
        <v>0</v>
      </c>
      <c r="X401" s="148"/>
      <c r="Y401" s="127" t="s">
        <v>353</v>
      </c>
      <c r="Z401" s="116"/>
      <c r="AA401" s="116">
        <f>SUM(AA380:AA400)</f>
        <v>0</v>
      </c>
      <c r="AB401" s="149"/>
      <c r="AC401" s="149"/>
      <c r="AD401" s="149"/>
      <c r="AE401" s="149"/>
      <c r="AF401" s="127" t="s">
        <v>357</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23.45" x14ac:dyDescent="0.8">
      <c r="A402" s="262">
        <f>ROW()</f>
        <v>402</v>
      </c>
      <c r="B402" s="234" t="s">
        <v>492</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368</v>
      </c>
      <c r="N402" s="160" t="str">
        <f>N380</f>
        <v>DOL fan with interlock with local switch - from MSSB power supply</v>
      </c>
      <c r="O402" s="160" t="s">
        <v>366</v>
      </c>
      <c r="P402" s="82" t="e">
        <f>P401/M380</f>
        <v>#DIV/0!</v>
      </c>
      <c r="Q402" s="161"/>
      <c r="R402" s="161"/>
      <c r="S402" s="160"/>
      <c r="T402" s="161"/>
      <c r="U402" s="463" t="s">
        <v>367</v>
      </c>
      <c r="V402" s="463"/>
      <c r="W402" s="162" t="e">
        <f>W401/M380</f>
        <v>#DIV/0!</v>
      </c>
      <c r="X402" s="163"/>
      <c r="Y402" s="461" t="s">
        <v>366</v>
      </c>
      <c r="Z402" s="461"/>
      <c r="AA402" s="164" t="e">
        <f>AA401/M380</f>
        <v>#DIV/0!</v>
      </c>
      <c r="AB402" s="161"/>
      <c r="AC402" s="161"/>
      <c r="AD402" s="161"/>
      <c r="AE402" s="161"/>
      <c r="AF402" s="461" t="s">
        <v>366</v>
      </c>
      <c r="AG402" s="461"/>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453</v>
      </c>
      <c r="M403" s="116" t="s">
        <v>107</v>
      </c>
      <c r="N403" s="116" t="s">
        <v>108</v>
      </c>
      <c r="O403" s="170" t="s">
        <v>387</v>
      </c>
      <c r="P403" s="462" t="s">
        <v>376</v>
      </c>
      <c r="Q403" s="462"/>
      <c r="R403" s="101" t="s">
        <v>453</v>
      </c>
      <c r="S403" s="116" t="s">
        <v>0</v>
      </c>
      <c r="T403" s="118"/>
      <c r="U403" s="116" t="s">
        <v>288</v>
      </c>
      <c r="V403" s="116" t="s">
        <v>289</v>
      </c>
      <c r="W403" s="116" t="s">
        <v>292</v>
      </c>
      <c r="X403" s="140"/>
      <c r="Y403" s="116" t="s">
        <v>290</v>
      </c>
      <c r="Z403" s="116" t="s">
        <v>355</v>
      </c>
      <c r="AA403" s="116" t="s">
        <v>356</v>
      </c>
      <c r="AB403" s="116" t="s">
        <v>318</v>
      </c>
      <c r="AC403" s="116" t="s">
        <v>319</v>
      </c>
      <c r="AD403" s="116" t="s">
        <v>317</v>
      </c>
      <c r="AE403" s="140"/>
      <c r="AF403" s="116" t="s">
        <v>294</v>
      </c>
      <c r="AG403" s="116" t="s">
        <v>355</v>
      </c>
      <c r="AH403" s="116" t="s">
        <v>356</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668</v>
      </c>
      <c r="O404" s="121" t="s">
        <v>348</v>
      </c>
      <c r="P404" s="169" t="s">
        <v>380</v>
      </c>
      <c r="Q404" s="169" t="s">
        <v>376</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341</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591</v>
      </c>
      <c r="P406" s="121"/>
      <c r="Q406" s="66"/>
      <c r="R406" s="121"/>
      <c r="S406" s="133">
        <f>M404</f>
        <v>0</v>
      </c>
      <c r="T406" s="120"/>
      <c r="U406" s="117" t="s">
        <v>479</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407</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329</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419</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542</v>
      </c>
      <c r="P418" s="121"/>
      <c r="Q418" s="66"/>
      <c r="R418" s="121"/>
      <c r="S418" s="133">
        <f>M404</f>
        <v>0</v>
      </c>
      <c r="T418" s="120"/>
      <c r="U418" s="121" t="s">
        <v>293</v>
      </c>
      <c r="V418" s="133">
        <f t="shared" si="179"/>
        <v>0</v>
      </c>
      <c r="W418" s="133">
        <f>VLOOKUP(U418,Sheet1!$B$6:$C$45,2,FALSE)*V418</f>
        <v>0</v>
      </c>
      <c r="X418" s="141"/>
      <c r="Y418" s="122" t="s">
        <v>327</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338</v>
      </c>
      <c r="P419" s="121"/>
      <c r="Q419" s="66"/>
      <c r="R419" s="121" t="s">
        <v>332</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669</v>
      </c>
      <c r="P420" s="121"/>
      <c r="Q420" s="66"/>
      <c r="R420" s="121"/>
      <c r="S420" s="133">
        <f>M404</f>
        <v>0</v>
      </c>
      <c r="T420" s="120"/>
      <c r="U420" s="121" t="s">
        <v>293</v>
      </c>
      <c r="V420" s="133">
        <f t="shared" si="179"/>
        <v>0</v>
      </c>
      <c r="W420" s="133">
        <f>VLOOKUP(U420,Sheet1!$B$6:$C$45,2,FALSE)*V420</f>
        <v>0</v>
      </c>
      <c r="X420" s="141"/>
      <c r="Y420" s="121" t="s">
        <v>670</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330</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408</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409</v>
      </c>
      <c r="P424" s="121"/>
      <c r="Q424" s="66"/>
      <c r="R424" s="121"/>
      <c r="S424" s="133">
        <f>M404</f>
        <v>0</v>
      </c>
      <c r="T424" s="120"/>
      <c r="U424" s="121" t="s">
        <v>363</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378</v>
      </c>
      <c r="L425" s="128" t="s">
        <v>379</v>
      </c>
      <c r="N425" s="129"/>
      <c r="O425" s="130" t="s">
        <v>358</v>
      </c>
      <c r="P425" s="131">
        <f>V425+AA425+AH425</f>
        <v>0</v>
      </c>
      <c r="Q425" s="131"/>
      <c r="R425" s="131"/>
      <c r="S425" s="130"/>
      <c r="T425" s="127"/>
      <c r="U425" s="126" t="s">
        <v>352</v>
      </c>
      <c r="V425" s="127">
        <f>W425*80</f>
        <v>0</v>
      </c>
      <c r="W425" s="147">
        <f>SUM(W404:W424)</f>
        <v>0</v>
      </c>
      <c r="X425" s="148"/>
      <c r="Y425" s="127" t="s">
        <v>353</v>
      </c>
      <c r="Z425" s="116"/>
      <c r="AA425" s="116">
        <f>SUM(AA404:AA424)</f>
        <v>0</v>
      </c>
      <c r="AB425" s="149"/>
      <c r="AC425" s="149"/>
      <c r="AD425" s="149"/>
      <c r="AE425" s="149"/>
      <c r="AF425" s="127" t="s">
        <v>357</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23.45" x14ac:dyDescent="0.8">
      <c r="A426" s="262">
        <f>ROW()</f>
        <v>426</v>
      </c>
      <c r="B426" s="234" t="s">
        <v>492</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368</v>
      </c>
      <c r="N426" s="160" t="str">
        <f>N404</f>
        <v>DOL fan with interlock with reed switch - from MSSB power supply</v>
      </c>
      <c r="O426" s="160" t="s">
        <v>366</v>
      </c>
      <c r="P426" s="82" t="e">
        <f>P425/M404</f>
        <v>#DIV/0!</v>
      </c>
      <c r="Q426" s="161"/>
      <c r="R426" s="161"/>
      <c r="S426" s="160"/>
      <c r="T426" s="161"/>
      <c r="U426" s="463" t="s">
        <v>367</v>
      </c>
      <c r="V426" s="463"/>
      <c r="W426" s="162" t="e">
        <f>W425/M404</f>
        <v>#DIV/0!</v>
      </c>
      <c r="X426" s="163"/>
      <c r="Y426" s="461" t="s">
        <v>366</v>
      </c>
      <c r="Z426" s="461"/>
      <c r="AA426" s="164" t="e">
        <f>AA425/M404</f>
        <v>#DIV/0!</v>
      </c>
      <c r="AB426" s="161"/>
      <c r="AC426" s="161"/>
      <c r="AD426" s="161"/>
      <c r="AE426" s="161"/>
      <c r="AF426" s="461" t="s">
        <v>366</v>
      </c>
      <c r="AG426" s="461"/>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453</v>
      </c>
      <c r="M427" s="116" t="s">
        <v>107</v>
      </c>
      <c r="N427" s="116" t="s">
        <v>108</v>
      </c>
      <c r="O427" s="170" t="s">
        <v>387</v>
      </c>
      <c r="P427" s="462" t="s">
        <v>376</v>
      </c>
      <c r="Q427" s="462"/>
      <c r="R427" s="101" t="s">
        <v>453</v>
      </c>
      <c r="S427" s="116" t="s">
        <v>0</v>
      </c>
      <c r="T427" s="118"/>
      <c r="U427" s="116" t="s">
        <v>288</v>
      </c>
      <c r="V427" s="116" t="s">
        <v>289</v>
      </c>
      <c r="W427" s="116" t="s">
        <v>292</v>
      </c>
      <c r="X427" s="140"/>
      <c r="Y427" s="116" t="s">
        <v>290</v>
      </c>
      <c r="Z427" s="116" t="s">
        <v>355</v>
      </c>
      <c r="AA427" s="116" t="s">
        <v>356</v>
      </c>
      <c r="AB427" s="116" t="s">
        <v>318</v>
      </c>
      <c r="AC427" s="116" t="s">
        <v>319</v>
      </c>
      <c r="AD427" s="116" t="s">
        <v>317</v>
      </c>
      <c r="AE427" s="140"/>
      <c r="AF427" s="116" t="s">
        <v>294</v>
      </c>
      <c r="AG427" s="116" t="s">
        <v>355</v>
      </c>
      <c r="AH427" s="116" t="s">
        <v>356</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652</v>
      </c>
      <c r="O428" s="121" t="s">
        <v>348</v>
      </c>
      <c r="P428" s="169" t="s">
        <v>380</v>
      </c>
      <c r="Q428" s="169" t="s">
        <v>376</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341</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591</v>
      </c>
      <c r="P430" s="121"/>
      <c r="Q430" s="66"/>
      <c r="R430" s="121"/>
      <c r="S430" s="133">
        <f>M428</f>
        <v>0</v>
      </c>
      <c r="T430" s="120"/>
      <c r="U430" s="117" t="s">
        <v>479</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407</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329</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419</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542</v>
      </c>
      <c r="P442" s="121"/>
      <c r="Q442" s="66"/>
      <c r="R442" s="121"/>
      <c r="S442" s="133">
        <f>M428</f>
        <v>0</v>
      </c>
      <c r="T442" s="120"/>
      <c r="U442" s="121" t="s">
        <v>293</v>
      </c>
      <c r="V442" s="133">
        <f t="shared" si="189"/>
        <v>0</v>
      </c>
      <c r="W442" s="133">
        <f>VLOOKUP(U442,Sheet1!$B$6:$C$45,2,FALSE)*V442</f>
        <v>0</v>
      </c>
      <c r="X442" s="141"/>
      <c r="Y442" s="122" t="s">
        <v>327</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338</v>
      </c>
      <c r="P443" s="121"/>
      <c r="Q443" s="66"/>
      <c r="R443" s="121" t="s">
        <v>332</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330</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408</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409</v>
      </c>
      <c r="P448" s="121"/>
      <c r="Q448" s="66"/>
      <c r="R448" s="121"/>
      <c r="S448" s="133">
        <f>M428</f>
        <v>0</v>
      </c>
      <c r="T448" s="120"/>
      <c r="U448" s="121" t="s">
        <v>363</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378</v>
      </c>
      <c r="L449" s="128" t="s">
        <v>379</v>
      </c>
      <c r="N449" s="129"/>
      <c r="O449" s="130" t="s">
        <v>358</v>
      </c>
      <c r="P449" s="131">
        <f>V449+AA449+AH449</f>
        <v>0</v>
      </c>
      <c r="Q449" s="131"/>
      <c r="R449" s="131"/>
      <c r="S449" s="130"/>
      <c r="T449" s="127"/>
      <c r="U449" s="126" t="s">
        <v>352</v>
      </c>
      <c r="V449" s="127">
        <f>W449*80</f>
        <v>0</v>
      </c>
      <c r="W449" s="147">
        <f>SUM(W428:W448)</f>
        <v>0</v>
      </c>
      <c r="X449" s="148"/>
      <c r="Y449" s="127" t="s">
        <v>353</v>
      </c>
      <c r="Z449" s="116"/>
      <c r="AA449" s="116">
        <f>SUM(AA428:AA448)</f>
        <v>0</v>
      </c>
      <c r="AB449" s="149"/>
      <c r="AC449" s="149"/>
      <c r="AD449" s="149"/>
      <c r="AE449" s="149"/>
      <c r="AF449" s="127" t="s">
        <v>357</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492</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368</v>
      </c>
      <c r="N450" s="160" t="str">
        <f>N428</f>
        <v>DOL fan with interlock - from MSSB power supply</v>
      </c>
      <c r="O450" s="160" t="s">
        <v>366</v>
      </c>
      <c r="P450" s="82" t="e">
        <f>P449/M428</f>
        <v>#DIV/0!</v>
      </c>
      <c r="Q450" s="161"/>
      <c r="R450" s="161"/>
      <c r="S450" s="160"/>
      <c r="T450" s="161"/>
      <c r="U450" s="463" t="s">
        <v>367</v>
      </c>
      <c r="V450" s="463"/>
      <c r="W450" s="162" t="e">
        <f>W449/M428</f>
        <v>#DIV/0!</v>
      </c>
      <c r="X450" s="163"/>
      <c r="Y450" s="461" t="s">
        <v>366</v>
      </c>
      <c r="Z450" s="461"/>
      <c r="AA450" s="164" t="e">
        <f>AA449/M428</f>
        <v>#DIV/0!</v>
      </c>
      <c r="AB450" s="161"/>
      <c r="AC450" s="161"/>
      <c r="AD450" s="161"/>
      <c r="AE450" s="161"/>
      <c r="AF450" s="461" t="s">
        <v>366</v>
      </c>
      <c r="AG450" s="461"/>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453</v>
      </c>
      <c r="M451" s="116" t="s">
        <v>107</v>
      </c>
      <c r="N451" s="116" t="s">
        <v>108</v>
      </c>
      <c r="O451" s="170" t="s">
        <v>387</v>
      </c>
      <c r="P451" s="462" t="s">
        <v>376</v>
      </c>
      <c r="Q451" s="462"/>
      <c r="R451" s="101" t="s">
        <v>453</v>
      </c>
      <c r="S451" s="116" t="s">
        <v>0</v>
      </c>
      <c r="T451" s="118"/>
      <c r="U451" s="116" t="s">
        <v>288</v>
      </c>
      <c r="V451" s="116" t="s">
        <v>289</v>
      </c>
      <c r="W451" s="116" t="s">
        <v>292</v>
      </c>
      <c r="X451" s="140"/>
      <c r="Y451" s="116" t="s">
        <v>290</v>
      </c>
      <c r="Z451" s="116" t="s">
        <v>355</v>
      </c>
      <c r="AA451" s="116" t="s">
        <v>356</v>
      </c>
      <c r="AB451" s="116" t="s">
        <v>318</v>
      </c>
      <c r="AC451" s="116" t="s">
        <v>319</v>
      </c>
      <c r="AD451" s="116" t="s">
        <v>317</v>
      </c>
      <c r="AE451" s="140"/>
      <c r="AF451" s="116" t="s">
        <v>294</v>
      </c>
      <c r="AG451" s="116" t="s">
        <v>355</v>
      </c>
      <c r="AH451" s="116" t="s">
        <v>356</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609</v>
      </c>
      <c r="O452" s="121" t="s">
        <v>348</v>
      </c>
      <c r="P452" s="169" t="s">
        <v>380</v>
      </c>
      <c r="Q452" s="169" t="s">
        <v>376</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341</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594</v>
      </c>
      <c r="Q454" s="121" t="s">
        <v>610</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594</v>
      </c>
      <c r="Q455" s="66" t="s">
        <v>611</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594</v>
      </c>
      <c r="Q456" s="121" t="s">
        <v>595</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612</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597</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598</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329</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419</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542</v>
      </c>
      <c r="P466" s="121"/>
      <c r="Q466" s="121"/>
      <c r="R466" s="121"/>
      <c r="S466" s="133">
        <f>M452</f>
        <v>0</v>
      </c>
      <c r="T466" s="120"/>
      <c r="U466" s="121" t="s">
        <v>293</v>
      </c>
      <c r="V466" s="133">
        <f t="shared" si="199"/>
        <v>0</v>
      </c>
      <c r="W466" s="133">
        <f>VLOOKUP(U466,Sheet1!$B$6:$C$45,2,FALSE)*V466</f>
        <v>0</v>
      </c>
      <c r="X466" s="141"/>
      <c r="Y466" s="122" t="s">
        <v>327</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338</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330</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408</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409</v>
      </c>
      <c r="P472" s="121"/>
      <c r="Q472" s="121"/>
      <c r="R472" s="121"/>
      <c r="S472" s="133">
        <f>M452</f>
        <v>0</v>
      </c>
      <c r="T472" s="120"/>
      <c r="U472" s="121" t="s">
        <v>363</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378</v>
      </c>
      <c r="L473" s="128" t="s">
        <v>379</v>
      </c>
      <c r="N473" s="129"/>
      <c r="O473" s="130" t="s">
        <v>358</v>
      </c>
      <c r="P473" s="131">
        <f>V473+AA473+AH473</f>
        <v>0</v>
      </c>
      <c r="Q473" s="131"/>
      <c r="R473" s="131"/>
      <c r="S473" s="130"/>
      <c r="T473" s="127"/>
      <c r="U473" s="126" t="s">
        <v>352</v>
      </c>
      <c r="V473" s="127">
        <f>W473*80</f>
        <v>0</v>
      </c>
      <c r="W473" s="147">
        <f>SUM(W452:W472)</f>
        <v>0</v>
      </c>
      <c r="X473" s="148"/>
      <c r="Y473" s="127" t="s">
        <v>353</v>
      </c>
      <c r="Z473" s="116"/>
      <c r="AA473" s="116">
        <f>SUM(AA452:AA472)</f>
        <v>0</v>
      </c>
      <c r="AB473" s="149"/>
      <c r="AC473" s="149"/>
      <c r="AD473" s="149"/>
      <c r="AE473" s="149"/>
      <c r="AF473" s="127" t="s">
        <v>357</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277.75" x14ac:dyDescent="0.8">
      <c r="A474" s="262">
        <f>ROW()</f>
        <v>474</v>
      </c>
      <c r="B474" s="234" t="s">
        <v>492</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368</v>
      </c>
      <c r="N474" s="160" t="str">
        <f>N452</f>
        <v>general fan with interlock - from MSSB power supply ( field wiring outside MSSB by customer)</v>
      </c>
      <c r="O474" s="160" t="s">
        <v>366</v>
      </c>
      <c r="P474" s="82" t="e">
        <f>P473/M452</f>
        <v>#DIV/0!</v>
      </c>
      <c r="Q474" s="161"/>
      <c r="R474" s="161"/>
      <c r="S474" s="160"/>
      <c r="T474" s="161"/>
      <c r="U474" s="463" t="s">
        <v>367</v>
      </c>
      <c r="V474" s="463"/>
      <c r="W474" s="162" t="e">
        <f>W473/M452</f>
        <v>#DIV/0!</v>
      </c>
      <c r="X474" s="163"/>
      <c r="Y474" s="461" t="s">
        <v>366</v>
      </c>
      <c r="Z474" s="461"/>
      <c r="AA474" s="164" t="e">
        <f>AA473/M452</f>
        <v>#DIV/0!</v>
      </c>
      <c r="AB474" s="161"/>
      <c r="AC474" s="161"/>
      <c r="AD474" s="161"/>
      <c r="AE474" s="161"/>
      <c r="AF474" s="461" t="s">
        <v>366</v>
      </c>
      <c r="AG474" s="461"/>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453</v>
      </c>
      <c r="M475" s="116" t="s">
        <v>107</v>
      </c>
      <c r="N475" s="116" t="s">
        <v>108</v>
      </c>
      <c r="O475" s="170" t="s">
        <v>387</v>
      </c>
      <c r="P475" s="462" t="s">
        <v>376</v>
      </c>
      <c r="Q475" s="462"/>
      <c r="R475" s="101" t="s">
        <v>453</v>
      </c>
      <c r="S475" s="116" t="s">
        <v>0</v>
      </c>
      <c r="T475" s="118"/>
      <c r="U475" s="116" t="s">
        <v>288</v>
      </c>
      <c r="V475" s="116" t="s">
        <v>289</v>
      </c>
      <c r="W475" s="116" t="s">
        <v>292</v>
      </c>
      <c r="X475" s="140"/>
      <c r="Y475" s="116" t="s">
        <v>290</v>
      </c>
      <c r="Z475" s="116" t="s">
        <v>355</v>
      </c>
      <c r="AA475" s="116" t="s">
        <v>356</v>
      </c>
      <c r="AB475" s="116" t="s">
        <v>318</v>
      </c>
      <c r="AC475" s="116" t="s">
        <v>319</v>
      </c>
      <c r="AD475" s="116" t="s">
        <v>317</v>
      </c>
      <c r="AE475" s="140"/>
      <c r="AF475" s="116" t="s">
        <v>294</v>
      </c>
      <c r="AG475" s="116" t="s">
        <v>355</v>
      </c>
      <c r="AH475" s="116" t="s">
        <v>356</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699</v>
      </c>
      <c r="O476" s="121" t="s">
        <v>348</v>
      </c>
      <c r="P476" s="169" t="s">
        <v>380</v>
      </c>
      <c r="Q476" s="169" t="s">
        <v>376</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341</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442</v>
      </c>
      <c r="P478" s="121" t="s">
        <v>540</v>
      </c>
      <c r="Q478" s="66" t="s">
        <v>688</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407</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329</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419</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423</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697</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332</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698</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339</v>
      </c>
      <c r="P494" s="121"/>
      <c r="Q494" s="66"/>
      <c r="R494" s="121"/>
      <c r="S494" s="133">
        <f>M476</f>
        <v>0</v>
      </c>
      <c r="T494" s="120"/>
      <c r="U494" s="121" t="s">
        <v>293</v>
      </c>
      <c r="V494" s="133">
        <f t="shared" si="214"/>
        <v>0</v>
      </c>
      <c r="W494" s="133">
        <f>VLOOKUP(U494,Sheet1!$B$6:$C$45,2,FALSE)*V494</f>
        <v>0</v>
      </c>
      <c r="X494" s="141"/>
      <c r="Y494" s="122" t="s">
        <v>334</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409</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378</v>
      </c>
      <c r="L497" s="128" t="s">
        <v>379</v>
      </c>
      <c r="N497" s="129"/>
      <c r="O497" s="130" t="s">
        <v>358</v>
      </c>
      <c r="P497" s="131">
        <f>V497+AA497+AH497</f>
        <v>0</v>
      </c>
      <c r="Q497" s="131"/>
      <c r="R497" s="131"/>
      <c r="S497" s="130"/>
      <c r="T497" s="127"/>
      <c r="U497" s="126" t="s">
        <v>352</v>
      </c>
      <c r="V497" s="127">
        <f>W497*80</f>
        <v>0</v>
      </c>
      <c r="W497" s="147">
        <f>SUM(W476:W496)</f>
        <v>0</v>
      </c>
      <c r="X497" s="148"/>
      <c r="Y497" s="127" t="s">
        <v>353</v>
      </c>
      <c r="Z497" s="116"/>
      <c r="AA497" s="116">
        <f>SUM(AA476:AA496)</f>
        <v>0</v>
      </c>
      <c r="AB497" s="149"/>
      <c r="AC497" s="149"/>
      <c r="AD497" s="149"/>
      <c r="AE497" s="149"/>
      <c r="AF497" s="127" t="s">
        <v>357</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492</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368</v>
      </c>
      <c r="N498" s="160" t="str">
        <f>N476</f>
        <v>DOL fan with current switch interlock to other circuit- from local power supply</v>
      </c>
      <c r="O498" s="160" t="s">
        <v>366</v>
      </c>
      <c r="P498" s="82" t="e">
        <f>P497/M476</f>
        <v>#DIV/0!</v>
      </c>
      <c r="Q498" s="161"/>
      <c r="R498" s="161"/>
      <c r="S498" s="160"/>
      <c r="T498" s="161"/>
      <c r="U498" s="463" t="s">
        <v>367</v>
      </c>
      <c r="V498" s="463"/>
      <c r="W498" s="162" t="e">
        <f>W497/M476</f>
        <v>#DIV/0!</v>
      </c>
      <c r="X498" s="163"/>
      <c r="Y498" s="461" t="s">
        <v>366</v>
      </c>
      <c r="Z498" s="461"/>
      <c r="AA498" s="164" t="e">
        <f>AA497/M476</f>
        <v>#DIV/0!</v>
      </c>
      <c r="AB498" s="161"/>
      <c r="AC498" s="161"/>
      <c r="AD498" s="161"/>
      <c r="AE498" s="161"/>
      <c r="AF498" s="461" t="s">
        <v>366</v>
      </c>
      <c r="AG498" s="461"/>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453</v>
      </c>
      <c r="M499" s="116" t="s">
        <v>107</v>
      </c>
      <c r="N499" s="116" t="s">
        <v>108</v>
      </c>
      <c r="O499" s="170" t="s">
        <v>387</v>
      </c>
      <c r="P499" s="462" t="s">
        <v>376</v>
      </c>
      <c r="Q499" s="462"/>
      <c r="R499" s="101" t="s">
        <v>453</v>
      </c>
      <c r="S499" s="116" t="s">
        <v>0</v>
      </c>
      <c r="T499" s="118"/>
      <c r="U499" s="116" t="s">
        <v>288</v>
      </c>
      <c r="V499" s="116" t="s">
        <v>289</v>
      </c>
      <c r="W499" s="116" t="s">
        <v>292</v>
      </c>
      <c r="X499" s="140"/>
      <c r="Y499" s="116" t="s">
        <v>290</v>
      </c>
      <c r="Z499" s="116" t="s">
        <v>355</v>
      </c>
      <c r="AA499" s="116" t="s">
        <v>356</v>
      </c>
      <c r="AB499" s="116" t="s">
        <v>318</v>
      </c>
      <c r="AC499" s="116" t="s">
        <v>319</v>
      </c>
      <c r="AD499" s="116" t="s">
        <v>317</v>
      </c>
      <c r="AE499" s="140"/>
      <c r="AF499" s="116" t="s">
        <v>294</v>
      </c>
      <c r="AG499" s="116" t="s">
        <v>355</v>
      </c>
      <c r="AH499" s="116" t="s">
        <v>356</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650</v>
      </c>
      <c r="O500" s="121" t="s">
        <v>348</v>
      </c>
      <c r="P500" s="169" t="s">
        <v>380</v>
      </c>
      <c r="Q500" s="169" t="s">
        <v>376</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341</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442</v>
      </c>
      <c r="P502" s="121" t="s">
        <v>540</v>
      </c>
      <c r="Q502" s="66" t="s">
        <v>688</v>
      </c>
      <c r="R502" s="121"/>
      <c r="S502" s="133">
        <f>M500</f>
        <v>0</v>
      </c>
      <c r="T502" s="120"/>
      <c r="U502" s="121" t="s">
        <v>362</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407</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329</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419</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651</v>
      </c>
      <c r="P514" s="121"/>
      <c r="Q514" s="66"/>
      <c r="R514" s="121"/>
      <c r="S514" s="133">
        <f>M500</f>
        <v>0</v>
      </c>
      <c r="T514" s="120"/>
      <c r="U514" s="121" t="s">
        <v>293</v>
      </c>
      <c r="V514" s="133">
        <f t="shared" si="224"/>
        <v>0</v>
      </c>
      <c r="W514" s="133">
        <f>VLOOKUP(U514,Sheet1!$B$6:$C$45,2,FALSE)*V514</f>
        <v>0</v>
      </c>
      <c r="X514" s="141"/>
      <c r="Y514" s="122" t="s">
        <v>327</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338</v>
      </c>
      <c r="P515" s="121"/>
      <c r="Q515" s="66"/>
      <c r="R515" s="121" t="s">
        <v>332</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330</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339</v>
      </c>
      <c r="P518" s="121"/>
      <c r="Q518" s="66"/>
      <c r="R518" s="121"/>
      <c r="S518" s="133">
        <f>M500</f>
        <v>0</v>
      </c>
      <c r="T518" s="120"/>
      <c r="U518" s="121" t="s">
        <v>293</v>
      </c>
      <c r="V518" s="133">
        <f t="shared" si="224"/>
        <v>0</v>
      </c>
      <c r="W518" s="133">
        <f>VLOOKUP(U518,Sheet1!$B$6:$C$45,2,FALSE)*V518</f>
        <v>0</v>
      </c>
      <c r="X518" s="141"/>
      <c r="Y518" s="122" t="s">
        <v>334</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408</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409</v>
      </c>
      <c r="P520" s="121"/>
      <c r="Q520" s="66"/>
      <c r="R520" s="121"/>
      <c r="S520" s="133">
        <f>M500</f>
        <v>0</v>
      </c>
      <c r="T520" s="120"/>
      <c r="U520" s="121" t="s">
        <v>363</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378</v>
      </c>
      <c r="L521" s="128" t="s">
        <v>379</v>
      </c>
      <c r="N521" s="129"/>
      <c r="O521" s="130" t="s">
        <v>358</v>
      </c>
      <c r="P521" s="131">
        <f>V521+AA521+AH521</f>
        <v>0</v>
      </c>
      <c r="Q521" s="131"/>
      <c r="R521" s="131"/>
      <c r="S521" s="130"/>
      <c r="T521" s="127"/>
      <c r="U521" s="126" t="s">
        <v>352</v>
      </c>
      <c r="V521" s="127">
        <f>W521*80</f>
        <v>0</v>
      </c>
      <c r="W521" s="147">
        <f>SUM(W500:W520)</f>
        <v>0</v>
      </c>
      <c r="X521" s="148"/>
      <c r="Y521" s="127" t="s">
        <v>353</v>
      </c>
      <c r="Z521" s="116"/>
      <c r="AA521" s="116">
        <f>SUM(AA500:AA520)</f>
        <v>0</v>
      </c>
      <c r="AB521" s="149"/>
      <c r="AC521" s="149"/>
      <c r="AD521" s="149"/>
      <c r="AE521" s="149"/>
      <c r="AF521" s="127" t="s">
        <v>357</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492</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368</v>
      </c>
      <c r="N522" s="160" t="str">
        <f>N500</f>
        <v>general fan with interlock to lighting circuit- from local power supply</v>
      </c>
      <c r="O522" s="160" t="s">
        <v>366</v>
      </c>
      <c r="P522" s="82" t="e">
        <f>P521/M500</f>
        <v>#DIV/0!</v>
      </c>
      <c r="Q522" s="161"/>
      <c r="R522" s="161"/>
      <c r="S522" s="160"/>
      <c r="T522" s="161"/>
      <c r="U522" s="463" t="s">
        <v>367</v>
      </c>
      <c r="V522" s="463"/>
      <c r="W522" s="162" t="e">
        <f>W521/M500</f>
        <v>#DIV/0!</v>
      </c>
      <c r="X522" s="163"/>
      <c r="Y522" s="461" t="s">
        <v>366</v>
      </c>
      <c r="Z522" s="461"/>
      <c r="AA522" s="164" t="e">
        <f>AA521/M500</f>
        <v>#DIV/0!</v>
      </c>
      <c r="AB522" s="161"/>
      <c r="AC522" s="161"/>
      <c r="AD522" s="161"/>
      <c r="AE522" s="161"/>
      <c r="AF522" s="461" t="s">
        <v>366</v>
      </c>
      <c r="AG522" s="461"/>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453</v>
      </c>
      <c r="M523" s="116" t="s">
        <v>107</v>
      </c>
      <c r="N523" s="116" t="s">
        <v>108</v>
      </c>
      <c r="O523" s="170" t="s">
        <v>387</v>
      </c>
      <c r="P523" s="462" t="s">
        <v>376</v>
      </c>
      <c r="Q523" s="462"/>
      <c r="R523" s="101" t="s">
        <v>453</v>
      </c>
      <c r="S523" s="116" t="s">
        <v>0</v>
      </c>
      <c r="T523" s="118"/>
      <c r="U523" s="116" t="s">
        <v>288</v>
      </c>
      <c r="V523" s="116" t="s">
        <v>289</v>
      </c>
      <c r="W523" s="116" t="s">
        <v>292</v>
      </c>
      <c r="X523" s="140"/>
      <c r="Y523" s="116" t="s">
        <v>290</v>
      </c>
      <c r="Z523" s="116" t="s">
        <v>355</v>
      </c>
      <c r="AA523" s="116" t="s">
        <v>356</v>
      </c>
      <c r="AB523" s="116" t="s">
        <v>318</v>
      </c>
      <c r="AC523" s="116" t="s">
        <v>319</v>
      </c>
      <c r="AD523" s="116" t="s">
        <v>317</v>
      </c>
      <c r="AE523" s="140"/>
      <c r="AF523" s="116" t="s">
        <v>294</v>
      </c>
      <c r="AG523" s="116" t="s">
        <v>355</v>
      </c>
      <c r="AH523" s="116" t="s">
        <v>356</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541</v>
      </c>
      <c r="O524" s="121" t="s">
        <v>348</v>
      </c>
      <c r="P524" s="169" t="s">
        <v>380</v>
      </c>
      <c r="Q524" s="169" t="s">
        <v>376</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341</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442</v>
      </c>
      <c r="P526" s="121" t="s">
        <v>540</v>
      </c>
      <c r="Q526" s="66" t="s">
        <v>688</v>
      </c>
      <c r="R526" s="121"/>
      <c r="S526" s="133">
        <f>M524</f>
        <v>0</v>
      </c>
      <c r="T526" s="120"/>
      <c r="U526" s="121" t="s">
        <v>362</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407</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329</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419</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542</v>
      </c>
      <c r="P538" s="121"/>
      <c r="Q538" s="66"/>
      <c r="R538" s="121"/>
      <c r="S538" s="133">
        <f>M524</f>
        <v>0</v>
      </c>
      <c r="T538" s="120"/>
      <c r="U538" s="121" t="s">
        <v>293</v>
      </c>
      <c r="V538" s="133">
        <f t="shared" si="234"/>
        <v>0</v>
      </c>
      <c r="W538" s="133">
        <f>VLOOKUP(U538,Sheet1!$B$6:$C$45,2,FALSE)*V538</f>
        <v>0</v>
      </c>
      <c r="X538" s="141"/>
      <c r="Y538" s="122" t="s">
        <v>327</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338</v>
      </c>
      <c r="P539" s="121"/>
      <c r="Q539" s="66"/>
      <c r="R539" s="121" t="s">
        <v>332</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330</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339</v>
      </c>
      <c r="P542" s="121"/>
      <c r="Q542" s="66"/>
      <c r="R542" s="121"/>
      <c r="S542" s="133">
        <f>M524</f>
        <v>0</v>
      </c>
      <c r="T542" s="120"/>
      <c r="U542" s="121" t="s">
        <v>293</v>
      </c>
      <c r="V542" s="133">
        <f t="shared" si="234"/>
        <v>0</v>
      </c>
      <c r="W542" s="133">
        <f>VLOOKUP(U542,Sheet1!$B$6:$C$45,2,FALSE)*V542</f>
        <v>0</v>
      </c>
      <c r="X542" s="141"/>
      <c r="Y542" s="122" t="s">
        <v>334</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408</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409</v>
      </c>
      <c r="P544" s="121"/>
      <c r="Q544" s="66"/>
      <c r="R544" s="121"/>
      <c r="S544" s="133">
        <f>M524</f>
        <v>0</v>
      </c>
      <c r="T544" s="120"/>
      <c r="U544" s="121" t="s">
        <v>363</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378</v>
      </c>
      <c r="L545" s="128" t="s">
        <v>379</v>
      </c>
      <c r="N545" s="129"/>
      <c r="O545" s="130" t="s">
        <v>358</v>
      </c>
      <c r="P545" s="131">
        <f>V545+AA545+AH545</f>
        <v>0</v>
      </c>
      <c r="Q545" s="131"/>
      <c r="R545" s="131"/>
      <c r="S545" s="130"/>
      <c r="T545" s="127"/>
      <c r="U545" s="126" t="s">
        <v>352</v>
      </c>
      <c r="V545" s="127">
        <f>W545*80</f>
        <v>0</v>
      </c>
      <c r="W545" s="147">
        <f>SUM(W524:W544)</f>
        <v>0</v>
      </c>
      <c r="X545" s="148"/>
      <c r="Y545" s="127" t="s">
        <v>353</v>
      </c>
      <c r="Z545" s="116"/>
      <c r="AA545" s="116">
        <f>SUM(AA524:AA544)</f>
        <v>0</v>
      </c>
      <c r="AB545" s="149"/>
      <c r="AC545" s="149"/>
      <c r="AD545" s="149"/>
      <c r="AE545" s="149"/>
      <c r="AF545" s="127" t="s">
        <v>357</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492</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368</v>
      </c>
      <c r="N546" s="160" t="str">
        <f>N524</f>
        <v>general fan with interlock - from local power supply</v>
      </c>
      <c r="O546" s="160" t="s">
        <v>366</v>
      </c>
      <c r="P546" s="82" t="e">
        <f>P545/M524</f>
        <v>#DIV/0!</v>
      </c>
      <c r="Q546" s="161"/>
      <c r="R546" s="161"/>
      <c r="S546" s="160"/>
      <c r="T546" s="161"/>
      <c r="U546" s="463" t="s">
        <v>367</v>
      </c>
      <c r="V546" s="463"/>
      <c r="W546" s="162" t="e">
        <f>W545/M524</f>
        <v>#DIV/0!</v>
      </c>
      <c r="X546" s="163"/>
      <c r="Y546" s="461" t="s">
        <v>366</v>
      </c>
      <c r="Z546" s="461"/>
      <c r="AA546" s="164" t="e">
        <f>AA545/M524</f>
        <v>#DIV/0!</v>
      </c>
      <c r="AB546" s="161"/>
      <c r="AC546" s="161"/>
      <c r="AD546" s="161"/>
      <c r="AE546" s="161"/>
      <c r="AF546" s="461" t="s">
        <v>366</v>
      </c>
      <c r="AG546" s="461"/>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453</v>
      </c>
      <c r="M547" s="2" t="s">
        <v>107</v>
      </c>
      <c r="N547" s="2" t="s">
        <v>108</v>
      </c>
      <c r="O547" s="97" t="s">
        <v>387</v>
      </c>
      <c r="P547" s="462" t="s">
        <v>376</v>
      </c>
      <c r="Q547" s="462"/>
      <c r="R547" s="101" t="s">
        <v>453</v>
      </c>
      <c r="S547" s="2" t="s">
        <v>0</v>
      </c>
      <c r="T547" s="9"/>
      <c r="U547" s="2" t="s">
        <v>288</v>
      </c>
      <c r="V547" s="2" t="s">
        <v>289</v>
      </c>
      <c r="W547" s="2" t="s">
        <v>292</v>
      </c>
      <c r="X547" s="58"/>
      <c r="Y547" s="2" t="s">
        <v>290</v>
      </c>
      <c r="Z547" s="2" t="s">
        <v>355</v>
      </c>
      <c r="AA547" s="2" t="s">
        <v>356</v>
      </c>
      <c r="AB547" s="2" t="s">
        <v>318</v>
      </c>
      <c r="AC547" s="2" t="s">
        <v>319</v>
      </c>
      <c r="AD547" s="2" t="s">
        <v>317</v>
      </c>
      <c r="AE547" s="58"/>
      <c r="AF547" s="2" t="s">
        <v>294</v>
      </c>
      <c r="AG547" s="2" t="s">
        <v>355</v>
      </c>
      <c r="AH547" s="2" t="s">
        <v>356</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347</v>
      </c>
      <c r="O548" s="12" t="s">
        <v>348</v>
      </c>
      <c r="P548" s="96" t="s">
        <v>380</v>
      </c>
      <c r="Q548" s="96" t="s">
        <v>376</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341</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442</v>
      </c>
      <c r="P550" s="121" t="s">
        <v>540</v>
      </c>
      <c r="Q550" s="66" t="s">
        <v>688</v>
      </c>
      <c r="R550" s="12"/>
      <c r="S550" s="28">
        <f>M548</f>
        <v>0</v>
      </c>
      <c r="T550" s="11"/>
      <c r="U550" s="12" t="s">
        <v>362</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407</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329</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419</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346</v>
      </c>
      <c r="P562" s="12" t="s">
        <v>381</v>
      </c>
      <c r="Q562" s="66" t="s">
        <v>385</v>
      </c>
      <c r="R562" s="12"/>
      <c r="S562" s="28">
        <f>M548</f>
        <v>0</v>
      </c>
      <c r="T562" s="11"/>
      <c r="U562" s="12" t="s">
        <v>293</v>
      </c>
      <c r="V562" s="28">
        <f t="shared" si="249"/>
        <v>0</v>
      </c>
      <c r="W562" s="28">
        <f>VLOOKUP(U562,Sheet1!$B$6:$C$45,2,FALSE)*V562</f>
        <v>0</v>
      </c>
      <c r="X562" s="59"/>
      <c r="Y562" s="13" t="s">
        <v>327</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338</v>
      </c>
      <c r="P563" s="12"/>
      <c r="Q563" s="66"/>
      <c r="R563" s="12" t="s">
        <v>332</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330</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339</v>
      </c>
      <c r="P566" s="12"/>
      <c r="Q566" s="66"/>
      <c r="R566" s="12"/>
      <c r="S566" s="28">
        <f>M548</f>
        <v>0</v>
      </c>
      <c r="T566" s="11"/>
      <c r="U566" s="12" t="s">
        <v>293</v>
      </c>
      <c r="V566" s="28">
        <f t="shared" si="249"/>
        <v>0</v>
      </c>
      <c r="W566" s="28">
        <f>VLOOKUP(U566,Sheet1!$B$6:$C$45,2,FALSE)*V566</f>
        <v>0</v>
      </c>
      <c r="X566" s="59"/>
      <c r="Y566" s="13" t="s">
        <v>334</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408</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409</v>
      </c>
      <c r="P568" s="12"/>
      <c r="Q568" s="66"/>
      <c r="R568" s="12"/>
      <c r="S568" s="28">
        <f>M548</f>
        <v>0</v>
      </c>
      <c r="T568" s="11"/>
      <c r="U568" s="12" t="s">
        <v>363</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378</v>
      </c>
      <c r="L569" s="21" t="s">
        <v>379</v>
      </c>
      <c r="N569" s="22"/>
      <c r="O569" s="23" t="s">
        <v>358</v>
      </c>
      <c r="P569" s="24">
        <f>V569+AA569+AH569</f>
        <v>0</v>
      </c>
      <c r="Q569" s="24"/>
      <c r="R569" s="24"/>
      <c r="S569" s="23"/>
      <c r="T569" s="20"/>
      <c r="U569" s="19" t="s">
        <v>352</v>
      </c>
      <c r="V569" s="20">
        <f>W569*80</f>
        <v>0</v>
      </c>
      <c r="W569" s="69">
        <f>SUM(W548:W568)</f>
        <v>0</v>
      </c>
      <c r="X569" s="70"/>
      <c r="Y569" s="20" t="s">
        <v>353</v>
      </c>
      <c r="Z569" s="2"/>
      <c r="AA569" s="2">
        <f>SUM(AA548:AA568)</f>
        <v>0</v>
      </c>
      <c r="AB569" s="71"/>
      <c r="AC569" s="71"/>
      <c r="AD569" s="71"/>
      <c r="AE569" s="71"/>
      <c r="AF569" s="20" t="s">
        <v>357</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54.75" thickBot="1" x14ac:dyDescent="0.85">
      <c r="A570" s="262">
        <f>ROW()</f>
        <v>570</v>
      </c>
      <c r="B570" s="234" t="s">
        <v>492</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368</v>
      </c>
      <c r="N570" s="83" t="str">
        <f>N548</f>
        <v>general fan with fire shutdown - from local power supply</v>
      </c>
      <c r="O570" s="83" t="s">
        <v>366</v>
      </c>
      <c r="P570" s="82" t="e">
        <f>P569/M548</f>
        <v>#DIV/0!</v>
      </c>
      <c r="Q570" s="84"/>
      <c r="R570" s="84"/>
      <c r="S570" s="83"/>
      <c r="T570" s="84"/>
      <c r="U570" s="463" t="s">
        <v>367</v>
      </c>
      <c r="V570" s="463"/>
      <c r="W570" s="85" t="e">
        <f>W569/M548</f>
        <v>#DIV/0!</v>
      </c>
      <c r="X570" s="86"/>
      <c r="Y570" s="461" t="s">
        <v>366</v>
      </c>
      <c r="Z570" s="461"/>
      <c r="AA570" s="87" t="e">
        <f>AA569/M548</f>
        <v>#DIV/0!</v>
      </c>
      <c r="AB570" s="84"/>
      <c r="AC570" s="84"/>
      <c r="AD570" s="84"/>
      <c r="AE570" s="84"/>
      <c r="AF570" s="461" t="s">
        <v>366</v>
      </c>
      <c r="AG570" s="461"/>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453</v>
      </c>
      <c r="M571" s="116" t="s">
        <v>107</v>
      </c>
      <c r="N571" s="116" t="s">
        <v>108</v>
      </c>
      <c r="O571" s="170" t="s">
        <v>387</v>
      </c>
      <c r="P571" s="462" t="s">
        <v>376</v>
      </c>
      <c r="Q571" s="462"/>
      <c r="R571" s="101" t="s">
        <v>453</v>
      </c>
      <c r="S571" s="116" t="s">
        <v>0</v>
      </c>
      <c r="T571" s="118"/>
      <c r="U571" s="116" t="s">
        <v>288</v>
      </c>
      <c r="V571" s="116" t="s">
        <v>289</v>
      </c>
      <c r="W571" s="116" t="s">
        <v>292</v>
      </c>
      <c r="X571" s="140"/>
      <c r="Y571" s="116" t="s">
        <v>290</v>
      </c>
      <c r="Z571" s="116" t="s">
        <v>355</v>
      </c>
      <c r="AA571" s="116" t="s">
        <v>356</v>
      </c>
      <c r="AB571" s="116" t="s">
        <v>318</v>
      </c>
      <c r="AC571" s="116" t="s">
        <v>319</v>
      </c>
      <c r="AD571" s="116" t="s">
        <v>317</v>
      </c>
      <c r="AE571" s="140"/>
      <c r="AF571" s="116" t="s">
        <v>294</v>
      </c>
      <c r="AG571" s="116" t="s">
        <v>355</v>
      </c>
      <c r="AH571" s="116" t="s">
        <v>356</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702</v>
      </c>
      <c r="O572" s="121" t="s">
        <v>133</v>
      </c>
      <c r="P572" s="169" t="s">
        <v>380</v>
      </c>
      <c r="Q572" s="169" t="s">
        <v>376</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538</v>
      </c>
      <c r="P575" s="121" t="s">
        <v>540</v>
      </c>
      <c r="Q575" s="66" t="s">
        <v>539</v>
      </c>
      <c r="R575" s="121"/>
      <c r="S575" s="133">
        <f>M572</f>
        <v>0</v>
      </c>
      <c r="T575" s="120"/>
      <c r="U575" s="121" t="s">
        <v>362</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646</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700</v>
      </c>
      <c r="P577" s="121"/>
      <c r="Q577" s="66"/>
      <c r="R577" s="121"/>
      <c r="S577" s="133">
        <f>M572</f>
        <v>0</v>
      </c>
      <c r="T577" s="120"/>
      <c r="U577" s="121" t="s">
        <v>363</v>
      </c>
      <c r="V577" s="133">
        <f t="shared" si="259"/>
        <v>0</v>
      </c>
      <c r="W577" s="133">
        <f>VLOOKUP(U577,Sheet1!$B$6:$C$45,2,FALSE)*V577</f>
        <v>0</v>
      </c>
      <c r="X577" s="141"/>
      <c r="Y577" s="135" t="s">
        <v>701</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676</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537</v>
      </c>
      <c r="P579" s="121"/>
      <c r="Q579" s="66"/>
      <c r="R579" s="121"/>
      <c r="S579" s="133">
        <f>M572</f>
        <v>0</v>
      </c>
      <c r="T579" s="120"/>
      <c r="U579" s="121" t="s">
        <v>293</v>
      </c>
      <c r="V579" s="133">
        <f t="shared" si="259"/>
        <v>0</v>
      </c>
      <c r="W579" s="133">
        <f>VLOOKUP(U579,Sheet1!$B$6:$C$45,2,FALSE)*V579</f>
        <v>0</v>
      </c>
      <c r="X579" s="141"/>
      <c r="Y579" s="122" t="s">
        <v>334</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409</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378</v>
      </c>
      <c r="L593" s="128" t="s">
        <v>379</v>
      </c>
      <c r="N593" s="129"/>
      <c r="O593" s="130" t="s">
        <v>358</v>
      </c>
      <c r="P593" s="155">
        <f>V593+AA593+AH593</f>
        <v>0</v>
      </c>
      <c r="Q593" s="155"/>
      <c r="R593" s="131"/>
      <c r="S593" s="130"/>
      <c r="T593" s="127"/>
      <c r="U593" s="126" t="s">
        <v>352</v>
      </c>
      <c r="V593" s="127">
        <f>W593*80</f>
        <v>0</v>
      </c>
      <c r="W593" s="147">
        <f>SUM(W572:W592)</f>
        <v>0</v>
      </c>
      <c r="X593" s="148"/>
      <c r="Y593" s="127" t="s">
        <v>353</v>
      </c>
      <c r="Z593" s="116"/>
      <c r="AA593" s="116">
        <f>SUM(AA572:AA592)</f>
        <v>0</v>
      </c>
      <c r="AB593" s="149"/>
      <c r="AC593" s="149"/>
      <c r="AD593" s="149"/>
      <c r="AE593" s="149"/>
      <c r="AF593" s="127" t="s">
        <v>357</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492</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368</v>
      </c>
      <c r="N594" s="160" t="str">
        <f>N572</f>
        <v>DOL fan from local power supply - With local switch and run on timer</v>
      </c>
      <c r="O594" s="185" t="s">
        <v>366</v>
      </c>
      <c r="P594" s="203" t="e">
        <f>P593/M572</f>
        <v>#DIV/0!</v>
      </c>
      <c r="Q594" s="195"/>
      <c r="R594" s="188"/>
      <c r="S594" s="160"/>
      <c r="T594" s="161"/>
      <c r="U594" s="463" t="s">
        <v>367</v>
      </c>
      <c r="V594" s="463"/>
      <c r="W594" s="162" t="e">
        <f>W593/M572</f>
        <v>#DIV/0!</v>
      </c>
      <c r="X594" s="163"/>
      <c r="Y594" s="461" t="s">
        <v>366</v>
      </c>
      <c r="Z594" s="461"/>
      <c r="AA594" s="164" t="e">
        <f>AA593/M572</f>
        <v>#DIV/0!</v>
      </c>
      <c r="AB594" s="161"/>
      <c r="AC594" s="161"/>
      <c r="AD594" s="161"/>
      <c r="AE594" s="161"/>
      <c r="AF594" s="461" t="s">
        <v>366</v>
      </c>
      <c r="AG594" s="461"/>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453</v>
      </c>
      <c r="M595" s="116" t="s">
        <v>107</v>
      </c>
      <c r="N595" s="116" t="s">
        <v>108</v>
      </c>
      <c r="O595" s="170" t="s">
        <v>387</v>
      </c>
      <c r="P595" s="462" t="s">
        <v>376</v>
      </c>
      <c r="Q595" s="462"/>
      <c r="R595" s="101" t="s">
        <v>453</v>
      </c>
      <c r="S595" s="116" t="s">
        <v>0</v>
      </c>
      <c r="T595" s="118"/>
      <c r="U595" s="116" t="s">
        <v>288</v>
      </c>
      <c r="V595" s="116" t="s">
        <v>289</v>
      </c>
      <c r="W595" s="116" t="s">
        <v>292</v>
      </c>
      <c r="X595" s="140"/>
      <c r="Y595" s="116" t="s">
        <v>290</v>
      </c>
      <c r="Z595" s="116" t="s">
        <v>355</v>
      </c>
      <c r="AA595" s="116" t="s">
        <v>356</v>
      </c>
      <c r="AB595" s="116" t="s">
        <v>318</v>
      </c>
      <c r="AC595" s="116" t="s">
        <v>319</v>
      </c>
      <c r="AD595" s="116" t="s">
        <v>317</v>
      </c>
      <c r="AE595" s="140"/>
      <c r="AF595" s="116" t="s">
        <v>294</v>
      </c>
      <c r="AG595" s="116" t="s">
        <v>355</v>
      </c>
      <c r="AH595" s="116" t="s">
        <v>356</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649</v>
      </c>
      <c r="O596" s="121" t="s">
        <v>133</v>
      </c>
      <c r="P596" s="169" t="s">
        <v>380</v>
      </c>
      <c r="Q596" s="169" t="s">
        <v>376</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538</v>
      </c>
      <c r="P599" s="121" t="s">
        <v>540</v>
      </c>
      <c r="Q599" s="66" t="s">
        <v>539</v>
      </c>
      <c r="R599" s="121"/>
      <c r="S599" s="133">
        <f>M596</f>
        <v>0</v>
      </c>
      <c r="T599" s="120"/>
      <c r="U599" s="121" t="s">
        <v>362</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646</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648</v>
      </c>
      <c r="P601" s="121"/>
      <c r="Q601" s="66"/>
      <c r="R601" s="121"/>
      <c r="S601" s="133">
        <f>M596</f>
        <v>0</v>
      </c>
      <c r="T601" s="120"/>
      <c r="U601" s="121" t="s">
        <v>363</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647</v>
      </c>
      <c r="P602" s="121"/>
      <c r="Q602" s="66"/>
      <c r="R602" s="121"/>
      <c r="S602" s="133">
        <f>M596</f>
        <v>0</v>
      </c>
      <c r="T602" s="120"/>
      <c r="U602" s="121" t="s">
        <v>293</v>
      </c>
      <c r="V602" s="133">
        <f t="shared" si="273"/>
        <v>0</v>
      </c>
      <c r="W602" s="133">
        <f>VLOOKUP(U602,Sheet1!$B$6:$C$45,2,FALSE)*V602</f>
        <v>0</v>
      </c>
      <c r="X602" s="141"/>
      <c r="Y602" s="135" t="s">
        <v>423</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537</v>
      </c>
      <c r="P603" s="121"/>
      <c r="Q603" s="66"/>
      <c r="R603" s="121"/>
      <c r="S603" s="133">
        <f>M596</f>
        <v>0</v>
      </c>
      <c r="T603" s="120"/>
      <c r="U603" s="121" t="s">
        <v>293</v>
      </c>
      <c r="V603" s="133">
        <f t="shared" si="273"/>
        <v>0</v>
      </c>
      <c r="W603" s="133">
        <f>VLOOKUP(U603,Sheet1!$B$6:$C$45,2,FALSE)*V603</f>
        <v>0</v>
      </c>
      <c r="X603" s="141"/>
      <c r="Y603" s="122" t="s">
        <v>334</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409</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378</v>
      </c>
      <c r="L617" s="128" t="s">
        <v>379</v>
      </c>
      <c r="N617" s="129"/>
      <c r="O617" s="130" t="s">
        <v>358</v>
      </c>
      <c r="P617" s="155">
        <f>V617+AA617+AH617</f>
        <v>0</v>
      </c>
      <c r="Q617" s="155"/>
      <c r="R617" s="131"/>
      <c r="S617" s="130"/>
      <c r="T617" s="127"/>
      <c r="U617" s="126" t="s">
        <v>352</v>
      </c>
      <c r="V617" s="127">
        <f>W617*80</f>
        <v>0</v>
      </c>
      <c r="W617" s="147">
        <f>SUM(W596:W616)</f>
        <v>0</v>
      </c>
      <c r="X617" s="148"/>
      <c r="Y617" s="127" t="s">
        <v>353</v>
      </c>
      <c r="Z617" s="116"/>
      <c r="AA617" s="116">
        <f>SUM(AA596:AA616)</f>
        <v>0</v>
      </c>
      <c r="AB617" s="149"/>
      <c r="AC617" s="149"/>
      <c r="AD617" s="149"/>
      <c r="AE617" s="149"/>
      <c r="AF617" s="127" t="s">
        <v>357</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27.3" thickBot="1" x14ac:dyDescent="1.25">
      <c r="A618" s="262">
        <f>ROW()</f>
        <v>618</v>
      </c>
      <c r="B618" s="234" t="s">
        <v>492</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368</v>
      </c>
      <c r="N618" s="160" t="str">
        <f>N596</f>
        <v>DOL fan from local power supply - With local switch and run status light</v>
      </c>
      <c r="O618" s="185" t="s">
        <v>366</v>
      </c>
      <c r="P618" s="203" t="e">
        <f>P617/M596</f>
        <v>#DIV/0!</v>
      </c>
      <c r="Q618" s="195"/>
      <c r="R618" s="188"/>
      <c r="S618" s="160"/>
      <c r="T618" s="161"/>
      <c r="U618" s="463" t="s">
        <v>367</v>
      </c>
      <c r="V618" s="463"/>
      <c r="W618" s="162" t="e">
        <f>W617/M596</f>
        <v>#DIV/0!</v>
      </c>
      <c r="X618" s="163"/>
      <c r="Y618" s="461" t="s">
        <v>366</v>
      </c>
      <c r="Z618" s="461"/>
      <c r="AA618" s="164" t="e">
        <f>AA617/M596</f>
        <v>#DIV/0!</v>
      </c>
      <c r="AB618" s="161"/>
      <c r="AC618" s="161"/>
      <c r="AD618" s="161"/>
      <c r="AE618" s="161"/>
      <c r="AF618" s="461" t="s">
        <v>366</v>
      </c>
      <c r="AG618" s="461"/>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453</v>
      </c>
      <c r="M619" s="116" t="s">
        <v>107</v>
      </c>
      <c r="N619" s="116" t="s">
        <v>108</v>
      </c>
      <c r="O619" s="170" t="s">
        <v>387</v>
      </c>
      <c r="P619" s="462" t="s">
        <v>376</v>
      </c>
      <c r="Q619" s="462"/>
      <c r="R619" s="101" t="s">
        <v>453</v>
      </c>
      <c r="S619" s="116" t="s">
        <v>0</v>
      </c>
      <c r="T619" s="118"/>
      <c r="U619" s="116" t="s">
        <v>288</v>
      </c>
      <c r="V619" s="116" t="s">
        <v>289</v>
      </c>
      <c r="W619" s="116" t="s">
        <v>292</v>
      </c>
      <c r="X619" s="140"/>
      <c r="Y619" s="116" t="s">
        <v>290</v>
      </c>
      <c r="Z619" s="116" t="s">
        <v>355</v>
      </c>
      <c r="AA619" s="116" t="s">
        <v>356</v>
      </c>
      <c r="AB619" s="116" t="s">
        <v>318</v>
      </c>
      <c r="AC619" s="116" t="s">
        <v>319</v>
      </c>
      <c r="AD619" s="116" t="s">
        <v>317</v>
      </c>
      <c r="AE619" s="140"/>
      <c r="AF619" s="116" t="s">
        <v>294</v>
      </c>
      <c r="AG619" s="116" t="s">
        <v>355</v>
      </c>
      <c r="AH619" s="116" t="s">
        <v>356</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536</v>
      </c>
      <c r="O620" s="121" t="s">
        <v>133</v>
      </c>
      <c r="P620" s="169" t="s">
        <v>380</v>
      </c>
      <c r="Q620" s="169" t="s">
        <v>376</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538</v>
      </c>
      <c r="P623" s="121" t="s">
        <v>540</v>
      </c>
      <c r="Q623" s="66" t="s">
        <v>539</v>
      </c>
      <c r="R623" s="121"/>
      <c r="S623" s="133">
        <f>M620</f>
        <v>0</v>
      </c>
      <c r="T623" s="120"/>
      <c r="U623" s="121" t="s">
        <v>362</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537</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409</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378</v>
      </c>
      <c r="L641" s="128" t="s">
        <v>379</v>
      </c>
      <c r="N641" s="129"/>
      <c r="O641" s="130" t="s">
        <v>358</v>
      </c>
      <c r="P641" s="155">
        <f>V641+AA641+AH641</f>
        <v>0</v>
      </c>
      <c r="Q641" s="155"/>
      <c r="R641" s="131"/>
      <c r="S641" s="130"/>
      <c r="T641" s="127"/>
      <c r="U641" s="126" t="s">
        <v>352</v>
      </c>
      <c r="V641" s="127">
        <f>W641*80</f>
        <v>0</v>
      </c>
      <c r="W641" s="147">
        <f>SUM(W620:W640)</f>
        <v>0</v>
      </c>
      <c r="X641" s="148"/>
      <c r="Y641" s="127" t="s">
        <v>353</v>
      </c>
      <c r="Z641" s="116"/>
      <c r="AA641" s="116">
        <f>SUM(AA620:AA640)</f>
        <v>0</v>
      </c>
      <c r="AB641" s="149"/>
      <c r="AC641" s="149"/>
      <c r="AD641" s="149"/>
      <c r="AE641" s="149"/>
      <c r="AF641" s="127" t="s">
        <v>357</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492</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368</v>
      </c>
      <c r="N642" s="160" t="str">
        <f>N620</f>
        <v>DOL fan from local power supply</v>
      </c>
      <c r="O642" s="185" t="s">
        <v>366</v>
      </c>
      <c r="P642" s="203" t="e">
        <f>P641/M620</f>
        <v>#DIV/0!</v>
      </c>
      <c r="Q642" s="195"/>
      <c r="R642" s="188"/>
      <c r="S642" s="160"/>
      <c r="T642" s="161"/>
      <c r="U642" s="463" t="s">
        <v>367</v>
      </c>
      <c r="V642" s="463"/>
      <c r="W642" s="162" t="e">
        <f>W641/M620</f>
        <v>#DIV/0!</v>
      </c>
      <c r="X642" s="163"/>
      <c r="Y642" s="461" t="s">
        <v>366</v>
      </c>
      <c r="Z642" s="461"/>
      <c r="AA642" s="164" t="e">
        <f>AA641/M620</f>
        <v>#DIV/0!</v>
      </c>
      <c r="AB642" s="161"/>
      <c r="AC642" s="161"/>
      <c r="AD642" s="161"/>
      <c r="AE642" s="161"/>
      <c r="AF642" s="461" t="s">
        <v>366</v>
      </c>
      <c r="AG642" s="461"/>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453</v>
      </c>
      <c r="M643" s="116" t="s">
        <v>107</v>
      </c>
      <c r="N643" s="116" t="s">
        <v>108</v>
      </c>
      <c r="O643" s="170" t="s">
        <v>387</v>
      </c>
      <c r="P643" s="462" t="s">
        <v>376</v>
      </c>
      <c r="Q643" s="462"/>
      <c r="R643" s="101" t="s">
        <v>453</v>
      </c>
      <c r="S643" s="116" t="s">
        <v>0</v>
      </c>
      <c r="T643" s="118"/>
      <c r="U643" s="116" t="s">
        <v>288</v>
      </c>
      <c r="V643" s="116" t="s">
        <v>289</v>
      </c>
      <c r="W643" s="116" t="s">
        <v>292</v>
      </c>
      <c r="X643" s="140"/>
      <c r="Y643" s="116" t="s">
        <v>290</v>
      </c>
      <c r="Z643" s="116" t="s">
        <v>355</v>
      </c>
      <c r="AA643" s="116" t="s">
        <v>356</v>
      </c>
      <c r="AB643" s="116" t="s">
        <v>318</v>
      </c>
      <c r="AC643" s="116" t="s">
        <v>319</v>
      </c>
      <c r="AD643" s="116" t="s">
        <v>317</v>
      </c>
      <c r="AE643" s="140"/>
      <c r="AF643" s="116" t="s">
        <v>294</v>
      </c>
      <c r="AG643" s="116" t="s">
        <v>355</v>
      </c>
      <c r="AH643" s="116" t="s">
        <v>356</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789</v>
      </c>
      <c r="O644" s="121" t="s">
        <v>489</v>
      </c>
      <c r="P644" s="169" t="s">
        <v>380</v>
      </c>
      <c r="Q644" s="169" t="s">
        <v>376</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341</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490</v>
      </c>
      <c r="P647" s="121"/>
      <c r="Q647" s="66"/>
      <c r="R647" s="121"/>
      <c r="S647" s="133">
        <f>M644</f>
        <v>0</v>
      </c>
      <c r="T647" s="120"/>
      <c r="U647" s="117" t="s">
        <v>479</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407</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329</v>
      </c>
      <c r="P652" s="121"/>
      <c r="Q652" s="66"/>
      <c r="R652" s="121"/>
      <c r="S652" s="133">
        <f>M644</f>
        <v>0</v>
      </c>
      <c r="T652" s="120"/>
      <c r="U652" s="121" t="s">
        <v>365</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419</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346</v>
      </c>
      <c r="P658" s="121" t="s">
        <v>381</v>
      </c>
      <c r="Q658" s="66" t="s">
        <v>385</v>
      </c>
      <c r="R658" s="121"/>
      <c r="S658" s="133">
        <f>M644</f>
        <v>0</v>
      </c>
      <c r="T658" s="120"/>
      <c r="U658" s="121" t="s">
        <v>293</v>
      </c>
      <c r="V658" s="133">
        <f t="shared" si="291"/>
        <v>0</v>
      </c>
      <c r="W658" s="133">
        <f>VLOOKUP(U658,Sheet1!$B$6:$C$45,2,FALSE)*V658</f>
        <v>0</v>
      </c>
      <c r="X658" s="141"/>
      <c r="Y658" s="122" t="s">
        <v>327</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338</v>
      </c>
      <c r="P659" s="121"/>
      <c r="Q659" s="66"/>
      <c r="R659" s="121" t="s">
        <v>332</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500</v>
      </c>
      <c r="P660" s="121"/>
      <c r="Q660" s="66"/>
      <c r="R660" s="121"/>
      <c r="S660" s="133">
        <f>M644</f>
        <v>0</v>
      </c>
      <c r="T660" s="120"/>
      <c r="U660" s="121" t="s">
        <v>293</v>
      </c>
      <c r="V660" s="133">
        <f t="shared" si="291"/>
        <v>0</v>
      </c>
      <c r="W660" s="133">
        <f>VLOOKUP(U660,Sheet1!$B$6:$C$45,2,FALSE)*V660</f>
        <v>0</v>
      </c>
      <c r="X660" s="141"/>
      <c r="Y660" s="135" t="s">
        <v>423</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330</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661</v>
      </c>
      <c r="P662" s="121"/>
      <c r="Q662" s="66"/>
      <c r="R662" s="121"/>
      <c r="S662" s="133">
        <f>M644</f>
        <v>0</v>
      </c>
      <c r="T662" s="120"/>
      <c r="U662" s="121" t="s">
        <v>293</v>
      </c>
      <c r="V662" s="133">
        <f t="shared" si="291"/>
        <v>0</v>
      </c>
      <c r="W662" s="133">
        <f>VLOOKUP(U662,Sheet1!$B$6:$C$45,2,FALSE)*V662</f>
        <v>0</v>
      </c>
      <c r="X662" s="141"/>
      <c r="Y662" s="135" t="s">
        <v>423</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408</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409</v>
      </c>
      <c r="P664" s="121"/>
      <c r="Q664" s="66"/>
      <c r="R664" s="121"/>
      <c r="S664" s="133">
        <f>M644</f>
        <v>0</v>
      </c>
      <c r="T664" s="120"/>
      <c r="U664" s="121" t="s">
        <v>363</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378</v>
      </c>
      <c r="L665" s="128" t="s">
        <v>379</v>
      </c>
      <c r="N665" s="129"/>
      <c r="O665" s="130" t="s">
        <v>358</v>
      </c>
      <c r="P665" s="155">
        <f>V665+AA665+AH665</f>
        <v>0</v>
      </c>
      <c r="Q665" s="155"/>
      <c r="R665" s="131"/>
      <c r="S665" s="130"/>
      <c r="T665" s="127"/>
      <c r="U665" s="126" t="s">
        <v>352</v>
      </c>
      <c r="V665" s="127">
        <f>W665*80</f>
        <v>0</v>
      </c>
      <c r="W665" s="147">
        <f>SUM(W644:W664)</f>
        <v>0</v>
      </c>
      <c r="X665" s="148"/>
      <c r="Y665" s="127" t="s">
        <v>353</v>
      </c>
      <c r="Z665" s="116"/>
      <c r="AA665" s="116">
        <f>SUM(AA644:AA664)</f>
        <v>0</v>
      </c>
      <c r="AB665" s="149"/>
      <c r="AC665" s="149"/>
      <c r="AD665" s="149"/>
      <c r="AE665" s="149"/>
      <c r="AF665" s="127" t="s">
        <v>357</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492</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368</v>
      </c>
      <c r="N666" s="160" t="str">
        <f>N644</f>
        <v>DOL fan with interlock with lights an run on timer - from MSSB power supply</v>
      </c>
      <c r="O666" s="185" t="s">
        <v>366</v>
      </c>
      <c r="P666" s="203" t="e">
        <f>P665/M644</f>
        <v>#DIV/0!</v>
      </c>
      <c r="Q666" s="195"/>
      <c r="R666" s="188"/>
      <c r="S666" s="160"/>
      <c r="T666" s="161"/>
      <c r="U666" s="463" t="s">
        <v>367</v>
      </c>
      <c r="V666" s="463"/>
      <c r="W666" s="162" t="e">
        <f>W665/M644</f>
        <v>#DIV/0!</v>
      </c>
      <c r="X666" s="163"/>
      <c r="Y666" s="461" t="s">
        <v>366</v>
      </c>
      <c r="Z666" s="461"/>
      <c r="AA666" s="164" t="e">
        <f>AA665/M644</f>
        <v>#DIV/0!</v>
      </c>
      <c r="AB666" s="161"/>
      <c r="AC666" s="161"/>
      <c r="AD666" s="161"/>
      <c r="AE666" s="161"/>
      <c r="AF666" s="461" t="s">
        <v>366</v>
      </c>
      <c r="AG666" s="461"/>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453</v>
      </c>
      <c r="M667" s="116" t="s">
        <v>107</v>
      </c>
      <c r="N667" s="116" t="s">
        <v>108</v>
      </c>
      <c r="O667" s="170" t="s">
        <v>387</v>
      </c>
      <c r="P667" s="462" t="s">
        <v>376</v>
      </c>
      <c r="Q667" s="462"/>
      <c r="R667" s="101" t="s">
        <v>453</v>
      </c>
      <c r="S667" s="116" t="s">
        <v>0</v>
      </c>
      <c r="T667" s="118"/>
      <c r="U667" s="116" t="s">
        <v>288</v>
      </c>
      <c r="V667" s="116" t="s">
        <v>289</v>
      </c>
      <c r="W667" s="116" t="s">
        <v>292</v>
      </c>
      <c r="X667" s="140"/>
      <c r="Y667" s="116" t="s">
        <v>290</v>
      </c>
      <c r="Z667" s="116" t="s">
        <v>355</v>
      </c>
      <c r="AA667" s="116" t="s">
        <v>356</v>
      </c>
      <c r="AB667" s="116" t="s">
        <v>318</v>
      </c>
      <c r="AC667" s="116" t="s">
        <v>319</v>
      </c>
      <c r="AD667" s="116" t="s">
        <v>317</v>
      </c>
      <c r="AE667" s="140"/>
      <c r="AF667" s="116" t="s">
        <v>294</v>
      </c>
      <c r="AG667" s="116" t="s">
        <v>355</v>
      </c>
      <c r="AH667" s="116" t="s">
        <v>356</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659</v>
      </c>
      <c r="O668" s="121" t="s">
        <v>489</v>
      </c>
      <c r="P668" s="169" t="s">
        <v>380</v>
      </c>
      <c r="Q668" s="169" t="s">
        <v>376</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341</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490</v>
      </c>
      <c r="P671" s="121"/>
      <c r="Q671" s="66"/>
      <c r="R671" s="121"/>
      <c r="S671" s="133">
        <f>M668</f>
        <v>0</v>
      </c>
      <c r="T671" s="120"/>
      <c r="U671" s="117" t="s">
        <v>479</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407</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329</v>
      </c>
      <c r="P676" s="121"/>
      <c r="Q676" s="66"/>
      <c r="R676" s="121"/>
      <c r="S676" s="133">
        <f>M668</f>
        <v>0</v>
      </c>
      <c r="T676" s="120"/>
      <c r="U676" s="121" t="s">
        <v>365</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660</v>
      </c>
      <c r="P679" s="121"/>
      <c r="Q679" s="66"/>
      <c r="R679" s="121"/>
      <c r="S679" s="133">
        <f>M668</f>
        <v>0</v>
      </c>
      <c r="T679" s="120"/>
      <c r="U679" s="121" t="s">
        <v>293</v>
      </c>
      <c r="V679" s="133">
        <f t="shared" si="305"/>
        <v>0</v>
      </c>
      <c r="W679" s="133">
        <f>VLOOKUP(U679,Sheet1!$B$6:$C$45,2,FALSE)*V679</f>
        <v>0</v>
      </c>
      <c r="X679" s="141"/>
      <c r="Y679" s="135" t="s">
        <v>589</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419</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346</v>
      </c>
      <c r="P682" s="121" t="s">
        <v>381</v>
      </c>
      <c r="Q682" s="66" t="s">
        <v>385</v>
      </c>
      <c r="R682" s="121"/>
      <c r="S682" s="133">
        <f>M668</f>
        <v>0</v>
      </c>
      <c r="T682" s="120"/>
      <c r="U682" s="121" t="s">
        <v>293</v>
      </c>
      <c r="V682" s="133">
        <f t="shared" si="305"/>
        <v>0</v>
      </c>
      <c r="W682" s="133">
        <f>VLOOKUP(U682,Sheet1!$B$6:$C$45,2,FALSE)*V682</f>
        <v>0</v>
      </c>
      <c r="X682" s="141"/>
      <c r="Y682" s="122" t="s">
        <v>327</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338</v>
      </c>
      <c r="P683" s="121"/>
      <c r="Q683" s="66"/>
      <c r="R683" s="121" t="s">
        <v>332</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500</v>
      </c>
      <c r="P684" s="121"/>
      <c r="Q684" s="66"/>
      <c r="R684" s="121"/>
      <c r="S684" s="133">
        <f>M668</f>
        <v>0</v>
      </c>
      <c r="T684" s="120"/>
      <c r="U684" s="121" t="s">
        <v>293</v>
      </c>
      <c r="V684" s="133">
        <f t="shared" si="305"/>
        <v>0</v>
      </c>
      <c r="W684" s="133">
        <f>VLOOKUP(U684,Sheet1!$B$6:$C$45,2,FALSE)*V684</f>
        <v>0</v>
      </c>
      <c r="X684" s="141"/>
      <c r="Y684" s="135" t="s">
        <v>423</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330</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661</v>
      </c>
      <c r="P686" s="121"/>
      <c r="Q686" s="66"/>
      <c r="R686" s="121"/>
      <c r="S686" s="133">
        <f>M668</f>
        <v>0</v>
      </c>
      <c r="T686" s="120"/>
      <c r="U686" s="121" t="s">
        <v>293</v>
      </c>
      <c r="V686" s="133">
        <f t="shared" si="305"/>
        <v>0</v>
      </c>
      <c r="W686" s="133">
        <f>VLOOKUP(U686,Sheet1!$B$6:$C$45,2,FALSE)*V686</f>
        <v>0</v>
      </c>
      <c r="X686" s="141"/>
      <c r="Y686" s="135" t="s">
        <v>423</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408</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409</v>
      </c>
      <c r="P688" s="121"/>
      <c r="Q688" s="66"/>
      <c r="R688" s="121"/>
      <c r="S688" s="133">
        <f>M668</f>
        <v>0</v>
      </c>
      <c r="T688" s="120"/>
      <c r="U688" s="121" t="s">
        <v>363</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378</v>
      </c>
      <c r="L689" s="128" t="s">
        <v>379</v>
      </c>
      <c r="N689" s="129"/>
      <c r="O689" s="130" t="s">
        <v>358</v>
      </c>
      <c r="P689" s="155">
        <f>V689+AA689+AH689</f>
        <v>0</v>
      </c>
      <c r="Q689" s="155"/>
      <c r="R689" s="131"/>
      <c r="S689" s="130"/>
      <c r="T689" s="127"/>
      <c r="U689" s="126" t="s">
        <v>352</v>
      </c>
      <c r="V689" s="127">
        <f>W689*80</f>
        <v>0</v>
      </c>
      <c r="W689" s="147">
        <f>SUM(W668:W688)</f>
        <v>0</v>
      </c>
      <c r="X689" s="148"/>
      <c r="Y689" s="127" t="s">
        <v>353</v>
      </c>
      <c r="Z689" s="116"/>
      <c r="AA689" s="116">
        <f>SUM(AA668:AA688)</f>
        <v>0</v>
      </c>
      <c r="AB689" s="149"/>
      <c r="AC689" s="149"/>
      <c r="AD689" s="149"/>
      <c r="AE689" s="149"/>
      <c r="AF689" s="127" t="s">
        <v>357</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492</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368</v>
      </c>
      <c r="N690" s="160" t="str">
        <f>N668</f>
        <v>DOL fan with interlock with lights an run on timer - from MSSB power supply and timeclock control</v>
      </c>
      <c r="O690" s="185" t="s">
        <v>366</v>
      </c>
      <c r="P690" s="203" t="e">
        <f>P689/M668</f>
        <v>#DIV/0!</v>
      </c>
      <c r="Q690" s="195"/>
      <c r="R690" s="188"/>
      <c r="S690" s="160"/>
      <c r="T690" s="161"/>
      <c r="U690" s="463" t="s">
        <v>367</v>
      </c>
      <c r="V690" s="463"/>
      <c r="W690" s="162" t="e">
        <f>W689/M668</f>
        <v>#DIV/0!</v>
      </c>
      <c r="X690" s="163"/>
      <c r="Y690" s="461" t="s">
        <v>366</v>
      </c>
      <c r="Z690" s="461"/>
      <c r="AA690" s="164" t="e">
        <f>AA689/M668</f>
        <v>#DIV/0!</v>
      </c>
      <c r="AB690" s="161"/>
      <c r="AC690" s="161"/>
      <c r="AD690" s="161"/>
      <c r="AE690" s="161"/>
      <c r="AF690" s="461" t="s">
        <v>366</v>
      </c>
      <c r="AG690" s="461"/>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453</v>
      </c>
      <c r="M691" s="116" t="s">
        <v>107</v>
      </c>
      <c r="N691" s="116" t="s">
        <v>108</v>
      </c>
      <c r="O691" s="170" t="s">
        <v>387</v>
      </c>
      <c r="P691" s="462" t="s">
        <v>376</v>
      </c>
      <c r="Q691" s="462"/>
      <c r="R691" s="101" t="s">
        <v>453</v>
      </c>
      <c r="S691" s="116" t="s">
        <v>0</v>
      </c>
      <c r="T691" s="118"/>
      <c r="U691" s="116" t="s">
        <v>288</v>
      </c>
      <c r="V691" s="116" t="s">
        <v>289</v>
      </c>
      <c r="W691" s="116" t="s">
        <v>292</v>
      </c>
      <c r="X691" s="140"/>
      <c r="Y691" s="116" t="s">
        <v>290</v>
      </c>
      <c r="Z691" s="116" t="s">
        <v>355</v>
      </c>
      <c r="AA691" s="116" t="s">
        <v>356</v>
      </c>
      <c r="AB691" s="116" t="s">
        <v>318</v>
      </c>
      <c r="AC691" s="116" t="s">
        <v>319</v>
      </c>
      <c r="AD691" s="116" t="s">
        <v>317</v>
      </c>
      <c r="AE691" s="140"/>
      <c r="AF691" s="116" t="s">
        <v>294</v>
      </c>
      <c r="AG691" s="116" t="s">
        <v>355</v>
      </c>
      <c r="AH691" s="116" t="s">
        <v>356</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687</v>
      </c>
      <c r="O692" s="121" t="s">
        <v>489</v>
      </c>
      <c r="P692" s="169" t="s">
        <v>380</v>
      </c>
      <c r="Q692" s="169" t="s">
        <v>376</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341</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490</v>
      </c>
      <c r="P695" s="121"/>
      <c r="Q695" s="66"/>
      <c r="R695" s="121"/>
      <c r="S695" s="133">
        <f>M692</f>
        <v>0</v>
      </c>
      <c r="T695" s="120"/>
      <c r="U695" s="117" t="s">
        <v>479</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407</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329</v>
      </c>
      <c r="P700" s="121"/>
      <c r="Q700" s="66"/>
      <c r="R700" s="121"/>
      <c r="S700" s="133">
        <f>M692</f>
        <v>0</v>
      </c>
      <c r="T700" s="120"/>
      <c r="U700" s="121" t="s">
        <v>365</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590</v>
      </c>
      <c r="P703" s="121"/>
      <c r="Q703" s="66"/>
      <c r="R703" s="121"/>
      <c r="S703" s="133">
        <f>M692</f>
        <v>0</v>
      </c>
      <c r="T703" s="120"/>
      <c r="U703" s="121" t="s">
        <v>293</v>
      </c>
      <c r="V703" s="133">
        <f t="shared" si="314"/>
        <v>0</v>
      </c>
      <c r="W703" s="133">
        <f>VLOOKUP(U703,Sheet1!$B$6:$C$45,2,FALSE)*V703</f>
        <v>0</v>
      </c>
      <c r="X703" s="141"/>
      <c r="Y703" s="135" t="s">
        <v>589</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419</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346</v>
      </c>
      <c r="P706" s="121" t="s">
        <v>381</v>
      </c>
      <c r="Q706" s="66" t="s">
        <v>385</v>
      </c>
      <c r="R706" s="121"/>
      <c r="S706" s="133">
        <f>M692</f>
        <v>0</v>
      </c>
      <c r="T706" s="120"/>
      <c r="U706" s="121" t="s">
        <v>293</v>
      </c>
      <c r="V706" s="133">
        <f t="shared" si="314"/>
        <v>0</v>
      </c>
      <c r="W706" s="133">
        <f>VLOOKUP(U706,Sheet1!$B$6:$C$45,2,FALSE)*V706</f>
        <v>0</v>
      </c>
      <c r="X706" s="141"/>
      <c r="Y706" s="122" t="s">
        <v>327</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338</v>
      </c>
      <c r="P707" s="121"/>
      <c r="Q707" s="66"/>
      <c r="R707" s="121" t="s">
        <v>332</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500</v>
      </c>
      <c r="P708" s="121"/>
      <c r="Q708" s="66"/>
      <c r="R708" s="121"/>
      <c r="S708" s="133">
        <f>M692</f>
        <v>0</v>
      </c>
      <c r="T708" s="120"/>
      <c r="U708" s="121" t="s">
        <v>293</v>
      </c>
      <c r="V708" s="133">
        <f t="shared" si="314"/>
        <v>0</v>
      </c>
      <c r="W708" s="133">
        <f>VLOOKUP(U708,Sheet1!$B$6:$C$45,2,FALSE)*V708</f>
        <v>0</v>
      </c>
      <c r="X708" s="141"/>
      <c r="Y708" s="135" t="s">
        <v>423</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330</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408</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409</v>
      </c>
      <c r="P712" s="121"/>
      <c r="Q712" s="66"/>
      <c r="R712" s="121"/>
      <c r="S712" s="133">
        <f>M692</f>
        <v>0</v>
      </c>
      <c r="T712" s="120"/>
      <c r="U712" s="121" t="s">
        <v>363</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378</v>
      </c>
      <c r="L713" s="128" t="s">
        <v>379</v>
      </c>
      <c r="N713" s="129"/>
      <c r="O713" s="130" t="s">
        <v>358</v>
      </c>
      <c r="P713" s="155">
        <f>V713+AA713+AH713</f>
        <v>0</v>
      </c>
      <c r="Q713" s="155"/>
      <c r="R713" s="131"/>
      <c r="S713" s="130"/>
      <c r="T713" s="127"/>
      <c r="U713" s="126" t="s">
        <v>352</v>
      </c>
      <c r="V713" s="127">
        <f>W713*80</f>
        <v>0</v>
      </c>
      <c r="W713" s="147">
        <f>SUM(W692:W712)</f>
        <v>0</v>
      </c>
      <c r="X713" s="148"/>
      <c r="Y713" s="127" t="s">
        <v>353</v>
      </c>
      <c r="Z713" s="116"/>
      <c r="AA713" s="116">
        <f>SUM(AA692:AA712)</f>
        <v>0</v>
      </c>
      <c r="AB713" s="149"/>
      <c r="AC713" s="149"/>
      <c r="AD713" s="149"/>
      <c r="AE713" s="149"/>
      <c r="AF713" s="127" t="s">
        <v>357</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492</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368</v>
      </c>
      <c r="N714" s="160" t="str">
        <f>N692</f>
        <v>DOL timeclock controlled fan with fire shutdown - from MSSB power supply and</v>
      </c>
      <c r="O714" s="185" t="s">
        <v>366</v>
      </c>
      <c r="P714" s="203" t="e">
        <f>P713/M692</f>
        <v>#DIV/0!</v>
      </c>
      <c r="Q714" s="195"/>
      <c r="R714" s="188"/>
      <c r="S714" s="160"/>
      <c r="T714" s="161"/>
      <c r="U714" s="463" t="s">
        <v>367</v>
      </c>
      <c r="V714" s="463"/>
      <c r="W714" s="162" t="e">
        <f>W713/M692</f>
        <v>#DIV/0!</v>
      </c>
      <c r="X714" s="163"/>
      <c r="Y714" s="461" t="s">
        <v>366</v>
      </c>
      <c r="Z714" s="461"/>
      <c r="AA714" s="164" t="e">
        <f>AA713/M692</f>
        <v>#DIV/0!</v>
      </c>
      <c r="AB714" s="161"/>
      <c r="AC714" s="161"/>
      <c r="AD714" s="161"/>
      <c r="AE714" s="161"/>
      <c r="AF714" s="461" t="s">
        <v>366</v>
      </c>
      <c r="AG714" s="461"/>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453</v>
      </c>
      <c r="M715" s="116" t="s">
        <v>107</v>
      </c>
      <c r="N715" s="116" t="s">
        <v>108</v>
      </c>
      <c r="O715" s="170" t="s">
        <v>387</v>
      </c>
      <c r="P715" s="462" t="s">
        <v>376</v>
      </c>
      <c r="Q715" s="462"/>
      <c r="R715" s="101" t="s">
        <v>453</v>
      </c>
      <c r="S715" s="116" t="s">
        <v>0</v>
      </c>
      <c r="T715" s="118"/>
      <c r="U715" s="116" t="s">
        <v>288</v>
      </c>
      <c r="V715" s="116" t="s">
        <v>289</v>
      </c>
      <c r="W715" s="116" t="s">
        <v>292</v>
      </c>
      <c r="X715" s="140"/>
      <c r="Y715" s="116" t="s">
        <v>290</v>
      </c>
      <c r="Z715" s="116" t="s">
        <v>355</v>
      </c>
      <c r="AA715" s="116" t="s">
        <v>356</v>
      </c>
      <c r="AB715" s="116" t="s">
        <v>318</v>
      </c>
      <c r="AC715" s="116" t="s">
        <v>319</v>
      </c>
      <c r="AD715" s="116" t="s">
        <v>317</v>
      </c>
      <c r="AE715" s="140"/>
      <c r="AF715" s="116" t="s">
        <v>294</v>
      </c>
      <c r="AG715" s="116" t="s">
        <v>355</v>
      </c>
      <c r="AH715" s="116" t="s">
        <v>356</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613</v>
      </c>
      <c r="O716" s="121" t="s">
        <v>489</v>
      </c>
      <c r="P716" s="169" t="s">
        <v>380</v>
      </c>
      <c r="Q716" s="169" t="s">
        <v>376</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341</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594</v>
      </c>
      <c r="Q718" s="121" t="s">
        <v>615</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614</v>
      </c>
      <c r="P719" s="121" t="s">
        <v>594</v>
      </c>
      <c r="Q719" s="66" t="s">
        <v>616</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597</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598</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407</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329</v>
      </c>
      <c r="P724" s="121"/>
      <c r="Q724" s="121"/>
      <c r="R724" s="121"/>
      <c r="S724" s="133">
        <f>M716</f>
        <v>0</v>
      </c>
      <c r="T724" s="120"/>
      <c r="U724" s="121" t="s">
        <v>365</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590</v>
      </c>
      <c r="P727" s="121"/>
      <c r="Q727" s="121"/>
      <c r="R727" s="121"/>
      <c r="S727" s="133">
        <f>M716</f>
        <v>0</v>
      </c>
      <c r="T727" s="120"/>
      <c r="U727" s="121" t="s">
        <v>293</v>
      </c>
      <c r="V727" s="133">
        <f t="shared" si="323"/>
        <v>0</v>
      </c>
      <c r="W727" s="133">
        <f>VLOOKUP(U727,Sheet1!$B$6:$C$45,2,FALSE)*V727</f>
        <v>0</v>
      </c>
      <c r="X727" s="141"/>
      <c r="Y727" s="135" t="s">
        <v>589</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419</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346</v>
      </c>
      <c r="P730" s="121" t="s">
        <v>617</v>
      </c>
      <c r="Q730" s="121" t="s">
        <v>385</v>
      </c>
      <c r="R730" s="121"/>
      <c r="S730" s="133">
        <f>M716</f>
        <v>0</v>
      </c>
      <c r="T730" s="120"/>
      <c r="U730" s="121" t="s">
        <v>293</v>
      </c>
      <c r="V730" s="133">
        <f t="shared" si="323"/>
        <v>0</v>
      </c>
      <c r="W730" s="133">
        <f>VLOOKUP(U730,Sheet1!$B$6:$C$45,2,FALSE)*V730</f>
        <v>0</v>
      </c>
      <c r="X730" s="141"/>
      <c r="Y730" s="122" t="s">
        <v>327</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338</v>
      </c>
      <c r="P731" s="121"/>
      <c r="Q731" s="121"/>
      <c r="R731" s="121" t="s">
        <v>332</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500</v>
      </c>
      <c r="P732" s="121">
        <v>0</v>
      </c>
      <c r="Q732" s="121"/>
      <c r="R732" s="121"/>
      <c r="S732" s="133">
        <f>M716</f>
        <v>0</v>
      </c>
      <c r="T732" s="120"/>
      <c r="U732" s="121" t="s">
        <v>293</v>
      </c>
      <c r="V732" s="133">
        <f t="shared" si="323"/>
        <v>0</v>
      </c>
      <c r="W732" s="133">
        <f>VLOOKUP(U732,Sheet1!$B$6:$C$45,2,FALSE)*V732</f>
        <v>0</v>
      </c>
      <c r="X732" s="141"/>
      <c r="Y732" s="135" t="s">
        <v>423</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330</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408</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409</v>
      </c>
      <c r="P736" s="121"/>
      <c r="Q736" s="121"/>
      <c r="R736" s="121"/>
      <c r="S736" s="133">
        <f>M716</f>
        <v>0</v>
      </c>
      <c r="T736" s="120"/>
      <c r="U736" s="121" t="s">
        <v>363</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378</v>
      </c>
      <c r="L737" s="128" t="s">
        <v>379</v>
      </c>
      <c r="N737" s="129"/>
      <c r="O737" s="130" t="s">
        <v>358</v>
      </c>
      <c r="P737" s="155">
        <f>V737+AA737+AH737</f>
        <v>0</v>
      </c>
      <c r="Q737" s="155"/>
      <c r="R737" s="131"/>
      <c r="S737" s="130"/>
      <c r="T737" s="127"/>
      <c r="U737" s="126" t="s">
        <v>352</v>
      </c>
      <c r="V737" s="127">
        <f>W737*80</f>
        <v>0</v>
      </c>
      <c r="W737" s="147">
        <f>SUM(W716:W736)</f>
        <v>0</v>
      </c>
      <c r="X737" s="148"/>
      <c r="Y737" s="127" t="s">
        <v>353</v>
      </c>
      <c r="Z737" s="116"/>
      <c r="AA737" s="116">
        <f>SUM(AA716:AA736)</f>
        <v>0</v>
      </c>
      <c r="AB737" s="149"/>
      <c r="AC737" s="149"/>
      <c r="AD737" s="149"/>
      <c r="AE737" s="149"/>
      <c r="AF737" s="127" t="s">
        <v>357</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492</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368</v>
      </c>
      <c r="N738" s="160" t="str">
        <f>N716</f>
        <v>DOL fan with fire shutdown - from MSSB power supply and timeclock control ( field wiring outside MSSB by customer)</v>
      </c>
      <c r="O738" s="185" t="s">
        <v>366</v>
      </c>
      <c r="P738" s="203" t="e">
        <f>P737/M716</f>
        <v>#DIV/0!</v>
      </c>
      <c r="Q738" s="195"/>
      <c r="R738" s="188"/>
      <c r="S738" s="160"/>
      <c r="T738" s="161"/>
      <c r="U738" s="463" t="s">
        <v>367</v>
      </c>
      <c r="V738" s="463"/>
      <c r="W738" s="162" t="e">
        <f>W737/M716</f>
        <v>#DIV/0!</v>
      </c>
      <c r="X738" s="163"/>
      <c r="Y738" s="461" t="s">
        <v>366</v>
      </c>
      <c r="Z738" s="461"/>
      <c r="AA738" s="164" t="e">
        <f>AA737/M716</f>
        <v>#DIV/0!</v>
      </c>
      <c r="AB738" s="161"/>
      <c r="AC738" s="161"/>
      <c r="AD738" s="161"/>
      <c r="AE738" s="161"/>
      <c r="AF738" s="461" t="s">
        <v>366</v>
      </c>
      <c r="AG738" s="461"/>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453</v>
      </c>
      <c r="M739" s="116" t="s">
        <v>107</v>
      </c>
      <c r="N739" s="116" t="s">
        <v>108</v>
      </c>
      <c r="O739" s="170" t="s">
        <v>387</v>
      </c>
      <c r="P739" s="462" t="s">
        <v>376</v>
      </c>
      <c r="Q739" s="462"/>
      <c r="R739" s="101" t="s">
        <v>453</v>
      </c>
      <c r="S739" s="116" t="s">
        <v>0</v>
      </c>
      <c r="T739" s="118"/>
      <c r="U739" s="116" t="s">
        <v>288</v>
      </c>
      <c r="V739" s="116" t="s">
        <v>289</v>
      </c>
      <c r="W739" s="116" t="s">
        <v>292</v>
      </c>
      <c r="X739" s="140"/>
      <c r="Y739" s="116" t="s">
        <v>290</v>
      </c>
      <c r="Z739" s="116" t="s">
        <v>355</v>
      </c>
      <c r="AA739" s="116" t="s">
        <v>356</v>
      </c>
      <c r="AB739" s="116" t="s">
        <v>318</v>
      </c>
      <c r="AC739" s="116" t="s">
        <v>319</v>
      </c>
      <c r="AD739" s="116" t="s">
        <v>317</v>
      </c>
      <c r="AE739" s="140"/>
      <c r="AF739" s="116" t="s">
        <v>294</v>
      </c>
      <c r="AG739" s="116" t="s">
        <v>355</v>
      </c>
      <c r="AH739" s="116" t="s">
        <v>356</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653</v>
      </c>
      <c r="O740" s="121" t="s">
        <v>489</v>
      </c>
      <c r="P740" s="169" t="s">
        <v>380</v>
      </c>
      <c r="Q740" s="169" t="s">
        <v>376</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341</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654</v>
      </c>
      <c r="P742" s="121"/>
      <c r="Q742" s="66"/>
      <c r="R742" s="121"/>
      <c r="S742" s="133">
        <f>M740</f>
        <v>0</v>
      </c>
      <c r="T742" s="120"/>
      <c r="U742" s="117" t="s">
        <v>479</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655</v>
      </c>
      <c r="P743" s="121"/>
      <c r="Q743" s="66"/>
      <c r="R743" s="121"/>
      <c r="S743" s="133">
        <f>M740</f>
        <v>0</v>
      </c>
      <c r="T743" s="120"/>
      <c r="U743" s="117" t="s">
        <v>479</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656</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329</v>
      </c>
      <c r="P748" s="121"/>
      <c r="Q748" s="66"/>
      <c r="R748" s="121"/>
      <c r="S748" s="133">
        <f>M740</f>
        <v>0</v>
      </c>
      <c r="T748" s="120"/>
      <c r="U748" s="121" t="s">
        <v>365</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419</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657</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346</v>
      </c>
      <c r="P754" s="121" t="s">
        <v>381</v>
      </c>
      <c r="Q754" s="66" t="s">
        <v>385</v>
      </c>
      <c r="R754" s="121"/>
      <c r="S754" s="133">
        <f>M740</f>
        <v>0</v>
      </c>
      <c r="T754" s="120"/>
      <c r="U754" s="121" t="s">
        <v>293</v>
      </c>
      <c r="V754" s="133">
        <f t="shared" si="337"/>
        <v>0</v>
      </c>
      <c r="W754" s="133">
        <f>VLOOKUP(U754,Sheet1!$B$6:$C$45,2,FALSE)*V754</f>
        <v>0</v>
      </c>
      <c r="X754" s="141"/>
      <c r="Y754" s="122" t="s">
        <v>327</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338</v>
      </c>
      <c r="P755" s="121"/>
      <c r="Q755" s="66"/>
      <c r="R755" s="121" t="s">
        <v>332</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500</v>
      </c>
      <c r="P756" s="121"/>
      <c r="Q756" s="66"/>
      <c r="R756" s="121"/>
      <c r="S756" s="133">
        <f>M740</f>
        <v>0</v>
      </c>
      <c r="T756" s="120"/>
      <c r="U756" s="121" t="s">
        <v>293</v>
      </c>
      <c r="V756" s="133">
        <f t="shared" si="337"/>
        <v>0</v>
      </c>
      <c r="W756" s="133">
        <f>VLOOKUP(U756,Sheet1!$B$6:$C$45,2,FALSE)*V756</f>
        <v>0</v>
      </c>
      <c r="X756" s="141"/>
      <c r="Y756" s="135" t="s">
        <v>423</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330</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658</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408</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409</v>
      </c>
      <c r="P760" s="121"/>
      <c r="Q760" s="66"/>
      <c r="R760" s="121"/>
      <c r="S760" s="133">
        <f>M740</f>
        <v>0</v>
      </c>
      <c r="T760" s="120"/>
      <c r="U760" s="121" t="s">
        <v>363</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378</v>
      </c>
      <c r="L761" s="128" t="s">
        <v>379</v>
      </c>
      <c r="N761" s="129"/>
      <c r="O761" s="130" t="s">
        <v>358</v>
      </c>
      <c r="P761" s="155">
        <f>V761+AA761+AH761</f>
        <v>0</v>
      </c>
      <c r="Q761" s="155"/>
      <c r="R761" s="131"/>
      <c r="S761" s="130"/>
      <c r="T761" s="127"/>
      <c r="U761" s="126" t="s">
        <v>352</v>
      </c>
      <c r="V761" s="127">
        <f>W761*80</f>
        <v>0</v>
      </c>
      <c r="W761" s="147">
        <f>SUM(W740:W760)</f>
        <v>0</v>
      </c>
      <c r="X761" s="148"/>
      <c r="Y761" s="127" t="s">
        <v>353</v>
      </c>
      <c r="Z761" s="116"/>
      <c r="AA761" s="116">
        <f>SUM(AA740:AA760)</f>
        <v>0</v>
      </c>
      <c r="AB761" s="149"/>
      <c r="AC761" s="149"/>
      <c r="AD761" s="149"/>
      <c r="AE761" s="149"/>
      <c r="AF761" s="127" t="s">
        <v>357</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492</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368</v>
      </c>
      <c r="N762" s="160" t="str">
        <f>N740</f>
        <v xml:space="preserve">2 speed DOL fan with fire shutdown - from MSSB power supply </v>
      </c>
      <c r="O762" s="185" t="s">
        <v>366</v>
      </c>
      <c r="P762" s="203" t="e">
        <f>P761/M740</f>
        <v>#DIV/0!</v>
      </c>
      <c r="Q762" s="195"/>
      <c r="R762" s="188"/>
      <c r="S762" s="160"/>
      <c r="T762" s="161"/>
      <c r="U762" s="463" t="s">
        <v>367</v>
      </c>
      <c r="V762" s="463"/>
      <c r="W762" s="162" t="e">
        <f>W761/M740</f>
        <v>#DIV/0!</v>
      </c>
      <c r="X762" s="163"/>
      <c r="Y762" s="461" t="s">
        <v>366</v>
      </c>
      <c r="Z762" s="461"/>
      <c r="AA762" s="164" t="e">
        <f>AA761/M740</f>
        <v>#DIV/0!</v>
      </c>
      <c r="AB762" s="161"/>
      <c r="AC762" s="161"/>
      <c r="AD762" s="161"/>
      <c r="AE762" s="161"/>
      <c r="AF762" s="461" t="s">
        <v>366</v>
      </c>
      <c r="AG762" s="461"/>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453</v>
      </c>
      <c r="M763" s="116" t="s">
        <v>107</v>
      </c>
      <c r="N763" s="116" t="s">
        <v>108</v>
      </c>
      <c r="O763" s="170" t="s">
        <v>387</v>
      </c>
      <c r="P763" s="462" t="s">
        <v>376</v>
      </c>
      <c r="Q763" s="462"/>
      <c r="R763" s="101" t="s">
        <v>453</v>
      </c>
      <c r="S763" s="116" t="s">
        <v>0</v>
      </c>
      <c r="T763" s="118"/>
      <c r="U763" s="116" t="s">
        <v>288</v>
      </c>
      <c r="V763" s="116" t="s">
        <v>289</v>
      </c>
      <c r="W763" s="116" t="s">
        <v>292</v>
      </c>
      <c r="X763" s="140"/>
      <c r="Y763" s="116" t="s">
        <v>290</v>
      </c>
      <c r="Z763" s="116" t="s">
        <v>355</v>
      </c>
      <c r="AA763" s="116" t="s">
        <v>356</v>
      </c>
      <c r="AB763" s="116" t="s">
        <v>318</v>
      </c>
      <c r="AC763" s="116" t="s">
        <v>319</v>
      </c>
      <c r="AD763" s="116" t="s">
        <v>317</v>
      </c>
      <c r="AE763" s="140"/>
      <c r="AF763" s="116" t="s">
        <v>294</v>
      </c>
      <c r="AG763" s="116" t="s">
        <v>355</v>
      </c>
      <c r="AH763" s="116" t="s">
        <v>356</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488</v>
      </c>
      <c r="O764" s="121" t="s">
        <v>489</v>
      </c>
      <c r="P764" s="169" t="s">
        <v>380</v>
      </c>
      <c r="Q764" s="169" t="s">
        <v>376</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341</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490</v>
      </c>
      <c r="P767" s="121"/>
      <c r="Q767" s="66"/>
      <c r="R767" s="121"/>
      <c r="S767" s="133">
        <f>M764</f>
        <v>0</v>
      </c>
      <c r="T767" s="120"/>
      <c r="U767" s="117" t="s">
        <v>479</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407</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329</v>
      </c>
      <c r="P772" s="121"/>
      <c r="Q772" s="66"/>
      <c r="R772" s="121"/>
      <c r="S772" s="133">
        <f>M764</f>
        <v>0</v>
      </c>
      <c r="T772" s="120"/>
      <c r="U772" s="121" t="s">
        <v>365</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419</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346</v>
      </c>
      <c r="P778" s="121" t="s">
        <v>381</v>
      </c>
      <c r="Q778" s="66" t="s">
        <v>385</v>
      </c>
      <c r="R778" s="121"/>
      <c r="S778" s="133">
        <f>M764</f>
        <v>0</v>
      </c>
      <c r="T778" s="120"/>
      <c r="U778" s="121" t="s">
        <v>293</v>
      </c>
      <c r="V778" s="133">
        <f t="shared" si="346"/>
        <v>0</v>
      </c>
      <c r="W778" s="133">
        <f>VLOOKUP(U778,Sheet1!$B$6:$C$45,2,FALSE)*V778</f>
        <v>0</v>
      </c>
      <c r="X778" s="141"/>
      <c r="Y778" s="122" t="s">
        <v>327</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338</v>
      </c>
      <c r="P779" s="121"/>
      <c r="Q779" s="66"/>
      <c r="R779" s="121" t="s">
        <v>332</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500</v>
      </c>
      <c r="P780" s="121"/>
      <c r="Q780" s="66"/>
      <c r="R780" s="121"/>
      <c r="S780" s="133">
        <f>M764</f>
        <v>0</v>
      </c>
      <c r="T780" s="120"/>
      <c r="U780" s="121" t="s">
        <v>293</v>
      </c>
      <c r="V780" s="133">
        <f t="shared" si="346"/>
        <v>0</v>
      </c>
      <c r="W780" s="133">
        <f>VLOOKUP(U780,Sheet1!$B$6:$C$45,2,FALSE)*V780</f>
        <v>0</v>
      </c>
      <c r="X780" s="141"/>
      <c r="Y780" s="135" t="s">
        <v>423</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330</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501</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408</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409</v>
      </c>
      <c r="P784" s="121"/>
      <c r="Q784" s="66"/>
      <c r="R784" s="121"/>
      <c r="S784" s="133">
        <f>M764</f>
        <v>0</v>
      </c>
      <c r="T784" s="120"/>
      <c r="U784" s="121" t="s">
        <v>363</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378</v>
      </c>
      <c r="L785" s="128" t="s">
        <v>379</v>
      </c>
      <c r="N785" s="129"/>
      <c r="O785" s="130" t="s">
        <v>358</v>
      </c>
      <c r="P785" s="155">
        <f>V785+AA785+AH785</f>
        <v>0</v>
      </c>
      <c r="Q785" s="155"/>
      <c r="R785" s="131"/>
      <c r="S785" s="130"/>
      <c r="T785" s="127"/>
      <c r="U785" s="126" t="s">
        <v>352</v>
      </c>
      <c r="V785" s="127">
        <f>W785*80</f>
        <v>0</v>
      </c>
      <c r="W785" s="147">
        <f>SUM(W764:W784)</f>
        <v>0</v>
      </c>
      <c r="X785" s="148"/>
      <c r="Y785" s="127" t="s">
        <v>353</v>
      </c>
      <c r="Z785" s="116"/>
      <c r="AA785" s="116">
        <f>SUM(AA764:AA784)</f>
        <v>0</v>
      </c>
      <c r="AB785" s="149"/>
      <c r="AC785" s="149"/>
      <c r="AD785" s="149"/>
      <c r="AE785" s="149"/>
      <c r="AF785" s="127" t="s">
        <v>357</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492</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368</v>
      </c>
      <c r="N786" s="160" t="str">
        <f>N764</f>
        <v>DOL fan with fire shutdown - from MSSB power supply and BMS interface provisions</v>
      </c>
      <c r="O786" s="185" t="s">
        <v>366</v>
      </c>
      <c r="P786" s="203" t="e">
        <f>P785/M764</f>
        <v>#DIV/0!</v>
      </c>
      <c r="Q786" s="195"/>
      <c r="R786" s="188"/>
      <c r="S786" s="160"/>
      <c r="T786" s="161"/>
      <c r="U786" s="463" t="s">
        <v>367</v>
      </c>
      <c r="V786" s="463"/>
      <c r="W786" s="162" t="e">
        <f>W785/M764</f>
        <v>#DIV/0!</v>
      </c>
      <c r="X786" s="163"/>
      <c r="Y786" s="461" t="s">
        <v>366</v>
      </c>
      <c r="Z786" s="461"/>
      <c r="AA786" s="164" t="e">
        <f>AA785/M764</f>
        <v>#DIV/0!</v>
      </c>
      <c r="AB786" s="161"/>
      <c r="AC786" s="161"/>
      <c r="AD786" s="161"/>
      <c r="AE786" s="161"/>
      <c r="AF786" s="461" t="s">
        <v>366</v>
      </c>
      <c r="AG786" s="461"/>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453</v>
      </c>
      <c r="M787" s="116" t="s">
        <v>107</v>
      </c>
      <c r="N787" s="116" t="s">
        <v>108</v>
      </c>
      <c r="O787" s="170" t="s">
        <v>387</v>
      </c>
      <c r="P787" s="464" t="s">
        <v>376</v>
      </c>
      <c r="Q787" s="464"/>
      <c r="R787" s="101" t="s">
        <v>453</v>
      </c>
      <c r="S787" s="116" t="s">
        <v>0</v>
      </c>
      <c r="T787" s="118"/>
      <c r="U787" s="116" t="s">
        <v>288</v>
      </c>
      <c r="V787" s="116" t="s">
        <v>289</v>
      </c>
      <c r="W787" s="116" t="s">
        <v>292</v>
      </c>
      <c r="X787" s="140"/>
      <c r="Y787" s="116" t="s">
        <v>290</v>
      </c>
      <c r="Z787" s="116" t="s">
        <v>355</v>
      </c>
      <c r="AA787" s="116" t="s">
        <v>356</v>
      </c>
      <c r="AB787" s="116" t="s">
        <v>318</v>
      </c>
      <c r="AC787" s="116" t="s">
        <v>319</v>
      </c>
      <c r="AD787" s="116" t="s">
        <v>317</v>
      </c>
      <c r="AE787" s="140"/>
      <c r="AF787" s="116" t="s">
        <v>294</v>
      </c>
      <c r="AG787" s="116" t="s">
        <v>355</v>
      </c>
      <c r="AH787" s="116" t="s">
        <v>356</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581</v>
      </c>
      <c r="O788" s="121" t="s">
        <v>133</v>
      </c>
      <c r="P788" s="169" t="s">
        <v>380</v>
      </c>
      <c r="Q788" s="169" t="s">
        <v>376</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341</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479</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577</v>
      </c>
      <c r="P792" s="121" t="s">
        <v>578</v>
      </c>
      <c r="Q792" s="66" t="s">
        <v>579</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391</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329</v>
      </c>
      <c r="P796" s="121"/>
      <c r="Q796" s="66"/>
      <c r="R796" s="121"/>
      <c r="S796" s="133">
        <f>M788</f>
        <v>0</v>
      </c>
      <c r="T796" s="120"/>
      <c r="U796" s="121" t="s">
        <v>365</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580</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419</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327</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338</v>
      </c>
      <c r="P803" s="121"/>
      <c r="Q803" s="66"/>
      <c r="R803" s="121" t="s">
        <v>332</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500</v>
      </c>
      <c r="P804" s="121"/>
      <c r="Q804" s="66"/>
      <c r="R804" s="121"/>
      <c r="S804" s="133">
        <f>M788</f>
        <v>0</v>
      </c>
      <c r="T804" s="120"/>
      <c r="U804" s="121" t="s">
        <v>293</v>
      </c>
      <c r="V804" s="133">
        <f t="shared" si="360"/>
        <v>0</v>
      </c>
      <c r="W804" s="133">
        <f>VLOOKUP(U804,Sheet1!$B$6:$C$45,2,FALSE)*V804</f>
        <v>0</v>
      </c>
      <c r="X804" s="141"/>
      <c r="Y804" s="135" t="s">
        <v>423</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330</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501</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408</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409</v>
      </c>
      <c r="P808" s="121"/>
      <c r="Q808" s="66"/>
      <c r="R808" s="121"/>
      <c r="S808" s="133">
        <f>M788</f>
        <v>0</v>
      </c>
      <c r="T808" s="120"/>
      <c r="U808" s="121" t="s">
        <v>363</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378</v>
      </c>
      <c r="L809" s="128" t="s">
        <v>379</v>
      </c>
      <c r="N809" s="129"/>
      <c r="O809" s="130" t="s">
        <v>358</v>
      </c>
      <c r="P809" s="131">
        <f>V809+AA809+AH809</f>
        <v>0</v>
      </c>
      <c r="Q809" s="131"/>
      <c r="R809" s="131"/>
      <c r="S809" s="130"/>
      <c r="T809" s="127"/>
      <c r="U809" s="126" t="s">
        <v>352</v>
      </c>
      <c r="V809" s="127">
        <f>W809*80</f>
        <v>0</v>
      </c>
      <c r="W809" s="147">
        <f>SUM(W788:W808)</f>
        <v>0</v>
      </c>
      <c r="X809" s="148"/>
      <c r="Y809" s="127" t="s">
        <v>353</v>
      </c>
      <c r="Z809" s="116"/>
      <c r="AA809" s="116">
        <f>SUM(AA788:AA808)</f>
        <v>0</v>
      </c>
      <c r="AB809" s="149"/>
      <c r="AC809" s="149"/>
      <c r="AD809" s="149"/>
      <c r="AE809" s="149"/>
      <c r="AF809" s="127" t="s">
        <v>357</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492</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368</v>
      </c>
      <c r="N810" s="160" t="str">
        <f>N788</f>
        <v>Fume Cupboard fan ( Excluding supply of VSD and FC controls) - from MSSB power supply</v>
      </c>
      <c r="O810" s="160" t="s">
        <v>366</v>
      </c>
      <c r="P810" s="183" t="e">
        <f>P809/M788</f>
        <v>#DIV/0!</v>
      </c>
      <c r="Q810" s="191"/>
      <c r="R810" s="161"/>
      <c r="S810" s="160"/>
      <c r="T810" s="161"/>
      <c r="U810" s="463" t="s">
        <v>367</v>
      </c>
      <c r="V810" s="463"/>
      <c r="W810" s="162" t="e">
        <f>W809/M788</f>
        <v>#DIV/0!</v>
      </c>
      <c r="X810" s="163"/>
      <c r="Y810" s="461" t="s">
        <v>366</v>
      </c>
      <c r="Z810" s="461"/>
      <c r="AA810" s="164" t="e">
        <f>AA809/M788</f>
        <v>#DIV/0!</v>
      </c>
      <c r="AB810" s="161"/>
      <c r="AC810" s="161"/>
      <c r="AD810" s="161"/>
      <c r="AE810" s="161"/>
      <c r="AF810" s="461" t="s">
        <v>366</v>
      </c>
      <c r="AG810" s="461"/>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453</v>
      </c>
      <c r="M811" s="116" t="s">
        <v>107</v>
      </c>
      <c r="N811" s="116" t="s">
        <v>108</v>
      </c>
      <c r="O811" s="170" t="s">
        <v>387</v>
      </c>
      <c r="P811" s="464" t="s">
        <v>376</v>
      </c>
      <c r="Q811" s="464"/>
      <c r="R811" s="101" t="s">
        <v>453</v>
      </c>
      <c r="S811" s="116" t="s">
        <v>0</v>
      </c>
      <c r="T811" s="118"/>
      <c r="U811" s="116" t="s">
        <v>288</v>
      </c>
      <c r="V811" s="116" t="s">
        <v>289</v>
      </c>
      <c r="W811" s="116" t="s">
        <v>292</v>
      </c>
      <c r="X811" s="140"/>
      <c r="Y811" s="116" t="s">
        <v>290</v>
      </c>
      <c r="Z811" s="116" t="s">
        <v>355</v>
      </c>
      <c r="AA811" s="116" t="s">
        <v>356</v>
      </c>
      <c r="AB811" s="116" t="s">
        <v>318</v>
      </c>
      <c r="AC811" s="116" t="s">
        <v>319</v>
      </c>
      <c r="AD811" s="116" t="s">
        <v>317</v>
      </c>
      <c r="AE811" s="140"/>
      <c r="AF811" s="116" t="s">
        <v>294</v>
      </c>
      <c r="AG811" s="116" t="s">
        <v>355</v>
      </c>
      <c r="AH811" s="116" t="s">
        <v>356</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673</v>
      </c>
      <c r="O812" s="121" t="s">
        <v>489</v>
      </c>
      <c r="P812" s="169" t="s">
        <v>380</v>
      </c>
      <c r="Q812" s="169" t="s">
        <v>376</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341</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674</v>
      </c>
      <c r="P815" s="121" t="s">
        <v>540</v>
      </c>
      <c r="Q815" s="66" t="s">
        <v>675</v>
      </c>
      <c r="R815" s="121"/>
      <c r="S815" s="133">
        <f>M812</f>
        <v>0</v>
      </c>
      <c r="T815" s="120"/>
      <c r="U815" s="117" t="s">
        <v>479</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324</v>
      </c>
      <c r="P816" s="121"/>
      <c r="Q816" s="66"/>
      <c r="R816" s="121"/>
      <c r="S816" s="133">
        <f>M812</f>
        <v>0</v>
      </c>
      <c r="T816" s="120"/>
      <c r="U816" s="121" t="s">
        <v>235</v>
      </c>
      <c r="V816" s="133">
        <f t="shared" si="369"/>
        <v>0</v>
      </c>
      <c r="W816" s="133">
        <f>VLOOKUP(U816,Sheet1!$B$6:$C$45,2,FALSE)*V816</f>
        <v>0</v>
      </c>
      <c r="X816" s="141"/>
      <c r="Y816" s="135" t="s">
        <v>544</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391</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329</v>
      </c>
      <c r="P820" s="121"/>
      <c r="Q820" s="66"/>
      <c r="R820" s="121"/>
      <c r="S820" s="133">
        <f>M812</f>
        <v>0</v>
      </c>
      <c r="T820" s="120"/>
      <c r="U820" s="121" t="s">
        <v>365</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419</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346</v>
      </c>
      <c r="P826" s="121" t="s">
        <v>381</v>
      </c>
      <c r="Q826" s="66" t="s">
        <v>385</v>
      </c>
      <c r="R826" s="121"/>
      <c r="S826" s="133">
        <f>M812</f>
        <v>0</v>
      </c>
      <c r="T826" s="120"/>
      <c r="U826" s="121" t="s">
        <v>293</v>
      </c>
      <c r="V826" s="133">
        <f t="shared" si="369"/>
        <v>0</v>
      </c>
      <c r="W826" s="133">
        <f>VLOOKUP(U826,Sheet1!$B$6:$C$45,2,FALSE)*V826</f>
        <v>0</v>
      </c>
      <c r="X826" s="141"/>
      <c r="Y826" s="122" t="s">
        <v>327</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338</v>
      </c>
      <c r="P827" s="121"/>
      <c r="Q827" s="66"/>
      <c r="R827" s="121" t="s">
        <v>332</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676</v>
      </c>
      <c r="P828" s="121"/>
      <c r="Q828" s="66"/>
      <c r="R828" s="121"/>
      <c r="S828" s="133">
        <f>M812</f>
        <v>0</v>
      </c>
      <c r="T828" s="120"/>
      <c r="U828" s="121" t="s">
        <v>293</v>
      </c>
      <c r="V828" s="133">
        <f t="shared" si="369"/>
        <v>0</v>
      </c>
      <c r="W828" s="133">
        <f>VLOOKUP(U828,Sheet1!$B$6:$C$45,2,FALSE)*V828</f>
        <v>0</v>
      </c>
      <c r="X828" s="141"/>
      <c r="Y828" s="135" t="s">
        <v>334</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408</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409</v>
      </c>
      <c r="P832" s="121"/>
      <c r="Q832" s="66"/>
      <c r="R832" s="121"/>
      <c r="S832" s="133">
        <f>M812</f>
        <v>0</v>
      </c>
      <c r="T832" s="120"/>
      <c r="U832" s="121" t="s">
        <v>363</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378</v>
      </c>
      <c r="L833" s="128" t="s">
        <v>379</v>
      </c>
      <c r="N833" s="129"/>
      <c r="O833" s="130" t="s">
        <v>358</v>
      </c>
      <c r="P833" s="131">
        <f>V833+AA833+AH833</f>
        <v>0</v>
      </c>
      <c r="Q833" s="131"/>
      <c r="R833" s="131"/>
      <c r="S833" s="130"/>
      <c r="T833" s="127"/>
      <c r="U833" s="126" t="s">
        <v>352</v>
      </c>
      <c r="V833" s="127">
        <f>W833*80</f>
        <v>0</v>
      </c>
      <c r="W833" s="147">
        <f>SUM(W812:W832)</f>
        <v>0</v>
      </c>
      <c r="X833" s="148"/>
      <c r="Y833" s="127" t="s">
        <v>353</v>
      </c>
      <c r="Z833" s="116"/>
      <c r="AA833" s="116">
        <f>SUM(AA812:AA832)</f>
        <v>0</v>
      </c>
      <c r="AB833" s="149"/>
      <c r="AC833" s="149"/>
      <c r="AD833" s="149"/>
      <c r="AE833" s="149"/>
      <c r="AF833" s="127" t="s">
        <v>357</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492</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368</v>
      </c>
      <c r="N834" s="160" t="str">
        <f>N812</f>
        <v>Small sized VSD fan with fire shutdown - from local power supply</v>
      </c>
      <c r="O834" s="160" t="s">
        <v>366</v>
      </c>
      <c r="P834" s="183" t="e">
        <f>P833/M812</f>
        <v>#DIV/0!</v>
      </c>
      <c r="Q834" s="191"/>
      <c r="R834" s="161"/>
      <c r="S834" s="160"/>
      <c r="T834" s="161"/>
      <c r="U834" s="463" t="s">
        <v>367</v>
      </c>
      <c r="V834" s="463"/>
      <c r="W834" s="162" t="e">
        <f>W833/M812</f>
        <v>#DIV/0!</v>
      </c>
      <c r="X834" s="163"/>
      <c r="Y834" s="461" t="s">
        <v>366</v>
      </c>
      <c r="Z834" s="461"/>
      <c r="AA834" s="164" t="e">
        <f>AA833/M812</f>
        <v>#DIV/0!</v>
      </c>
      <c r="AB834" s="161"/>
      <c r="AC834" s="161"/>
      <c r="AD834" s="161"/>
      <c r="AE834" s="161"/>
      <c r="AF834" s="461" t="s">
        <v>366</v>
      </c>
      <c r="AG834" s="461"/>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453</v>
      </c>
      <c r="M835" s="116" t="s">
        <v>107</v>
      </c>
      <c r="N835" s="116" t="s">
        <v>108</v>
      </c>
      <c r="O835" s="170" t="s">
        <v>387</v>
      </c>
      <c r="P835" s="464" t="s">
        <v>376</v>
      </c>
      <c r="Q835" s="464"/>
      <c r="R835" s="101" t="s">
        <v>453</v>
      </c>
      <c r="S835" s="116" t="s">
        <v>0</v>
      </c>
      <c r="T835" s="118"/>
      <c r="U835" s="116" t="s">
        <v>288</v>
      </c>
      <c r="V835" s="116" t="s">
        <v>289</v>
      </c>
      <c r="W835" s="116" t="s">
        <v>292</v>
      </c>
      <c r="X835" s="140"/>
      <c r="Y835" s="116" t="s">
        <v>290</v>
      </c>
      <c r="Z835" s="116" t="s">
        <v>355</v>
      </c>
      <c r="AA835" s="116" t="s">
        <v>356</v>
      </c>
      <c r="AB835" s="116" t="s">
        <v>318</v>
      </c>
      <c r="AC835" s="116" t="s">
        <v>319</v>
      </c>
      <c r="AD835" s="116" t="s">
        <v>317</v>
      </c>
      <c r="AE835" s="140"/>
      <c r="AF835" s="116" t="s">
        <v>294</v>
      </c>
      <c r="AG835" s="116" t="s">
        <v>355</v>
      </c>
      <c r="AH835" s="116" t="s">
        <v>356</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549</v>
      </c>
      <c r="O836" s="121" t="s">
        <v>489</v>
      </c>
      <c r="P836" s="169" t="s">
        <v>380</v>
      </c>
      <c r="Q836" s="169" t="s">
        <v>376</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341</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479</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324</v>
      </c>
      <c r="P840" s="121"/>
      <c r="Q840" s="66"/>
      <c r="R840" s="121"/>
      <c r="S840" s="133">
        <f>M836</f>
        <v>0</v>
      </c>
      <c r="T840" s="120"/>
      <c r="U840" s="121" t="s">
        <v>235</v>
      </c>
      <c r="V840" s="133">
        <f t="shared" si="378"/>
        <v>0</v>
      </c>
      <c r="W840" s="133">
        <f>VLOOKUP(U840,Sheet1!$B$6:$C$45,2,FALSE)*V840</f>
        <v>0</v>
      </c>
      <c r="X840" s="141"/>
      <c r="Y840" s="135" t="s">
        <v>544</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391</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329</v>
      </c>
      <c r="P844" s="121"/>
      <c r="Q844" s="66"/>
      <c r="R844" s="121"/>
      <c r="S844" s="133">
        <f>M836</f>
        <v>0</v>
      </c>
      <c r="T844" s="120"/>
      <c r="U844" s="121" t="s">
        <v>365</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419</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346</v>
      </c>
      <c r="P850" s="121" t="s">
        <v>381</v>
      </c>
      <c r="Q850" s="66" t="s">
        <v>385</v>
      </c>
      <c r="R850" s="121"/>
      <c r="S850" s="133">
        <f>M836</f>
        <v>0</v>
      </c>
      <c r="T850" s="120"/>
      <c r="U850" s="121" t="s">
        <v>293</v>
      </c>
      <c r="V850" s="133">
        <f t="shared" si="378"/>
        <v>0</v>
      </c>
      <c r="W850" s="133">
        <f>VLOOKUP(U850,Sheet1!$B$6:$C$45,2,FALSE)*V850</f>
        <v>0</v>
      </c>
      <c r="X850" s="141"/>
      <c r="Y850" s="122" t="s">
        <v>327</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338</v>
      </c>
      <c r="P851" s="121"/>
      <c r="Q851" s="66"/>
      <c r="R851" s="121" t="s">
        <v>332</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500</v>
      </c>
      <c r="P852" s="121"/>
      <c r="Q852" s="66"/>
      <c r="R852" s="121"/>
      <c r="S852" s="133">
        <f>M836</f>
        <v>0</v>
      </c>
      <c r="T852" s="120"/>
      <c r="U852" s="121" t="s">
        <v>293</v>
      </c>
      <c r="V852" s="133">
        <f t="shared" si="378"/>
        <v>0</v>
      </c>
      <c r="W852" s="133">
        <f>VLOOKUP(U852,Sheet1!$B$6:$C$45,2,FALSE)*V852</f>
        <v>0</v>
      </c>
      <c r="X852" s="141"/>
      <c r="Y852" s="135" t="s">
        <v>423</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330</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501</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408</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409</v>
      </c>
      <c r="P856" s="121"/>
      <c r="Q856" s="66"/>
      <c r="R856" s="121"/>
      <c r="S856" s="133">
        <f>M836</f>
        <v>0</v>
      </c>
      <c r="T856" s="120"/>
      <c r="U856" s="121" t="s">
        <v>363</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378</v>
      </c>
      <c r="L857" s="128" t="s">
        <v>379</v>
      </c>
      <c r="N857" s="129"/>
      <c r="O857" s="130" t="s">
        <v>358</v>
      </c>
      <c r="P857" s="131">
        <f>V857+AA857+AH857</f>
        <v>0</v>
      </c>
      <c r="Q857" s="131"/>
      <c r="R857" s="131"/>
      <c r="S857" s="130"/>
      <c r="T857" s="127"/>
      <c r="U857" s="126" t="s">
        <v>352</v>
      </c>
      <c r="V857" s="127">
        <f>W857*80</f>
        <v>0</v>
      </c>
      <c r="W857" s="147">
        <f>SUM(W836:W856)</f>
        <v>0</v>
      </c>
      <c r="X857" s="148"/>
      <c r="Y857" s="127" t="s">
        <v>353</v>
      </c>
      <c r="Z857" s="116"/>
      <c r="AA857" s="116">
        <f>SUM(AA836:AA856)</f>
        <v>0</v>
      </c>
      <c r="AB857" s="149"/>
      <c r="AC857" s="149"/>
      <c r="AD857" s="149"/>
      <c r="AE857" s="149"/>
      <c r="AF857" s="127" t="s">
        <v>357</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492</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368</v>
      </c>
      <c r="N858" s="160" t="str">
        <f>N836</f>
        <v>Small sized VSD fan with fire shutdown - from MSSB power supply and BMS interface provisions</v>
      </c>
      <c r="O858" s="160" t="s">
        <v>366</v>
      </c>
      <c r="P858" s="183" t="e">
        <f>P857/M836</f>
        <v>#DIV/0!</v>
      </c>
      <c r="Q858" s="191"/>
      <c r="R858" s="161"/>
      <c r="S858" s="160"/>
      <c r="T858" s="161"/>
      <c r="U858" s="463" t="s">
        <v>367</v>
      </c>
      <c r="V858" s="463"/>
      <c r="W858" s="162" t="e">
        <f>W857/M836</f>
        <v>#DIV/0!</v>
      </c>
      <c r="X858" s="163"/>
      <c r="Y858" s="461" t="s">
        <v>366</v>
      </c>
      <c r="Z858" s="461"/>
      <c r="AA858" s="164" t="e">
        <f>AA857/M836</f>
        <v>#DIV/0!</v>
      </c>
      <c r="AB858" s="161"/>
      <c r="AC858" s="161"/>
      <c r="AD858" s="161"/>
      <c r="AE858" s="161"/>
      <c r="AF858" s="461" t="s">
        <v>366</v>
      </c>
      <c r="AG858" s="461"/>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453</v>
      </c>
      <c r="M859" s="116" t="s">
        <v>107</v>
      </c>
      <c r="N859" s="116" t="s">
        <v>108</v>
      </c>
      <c r="O859" s="170" t="s">
        <v>387</v>
      </c>
      <c r="P859" s="464" t="s">
        <v>376</v>
      </c>
      <c r="Q859" s="464"/>
      <c r="R859" s="101" t="s">
        <v>453</v>
      </c>
      <c r="S859" s="116" t="s">
        <v>0</v>
      </c>
      <c r="T859" s="118"/>
      <c r="U859" s="116" t="s">
        <v>288</v>
      </c>
      <c r="V859" s="116" t="s">
        <v>289</v>
      </c>
      <c r="W859" s="116" t="s">
        <v>292</v>
      </c>
      <c r="X859" s="140"/>
      <c r="Y859" s="116" t="s">
        <v>290</v>
      </c>
      <c r="Z859" s="116" t="s">
        <v>355</v>
      </c>
      <c r="AA859" s="116" t="s">
        <v>356</v>
      </c>
      <c r="AB859" s="116" t="s">
        <v>318</v>
      </c>
      <c r="AC859" s="116" t="s">
        <v>319</v>
      </c>
      <c r="AD859" s="116" t="s">
        <v>317</v>
      </c>
      <c r="AE859" s="140"/>
      <c r="AF859" s="116" t="s">
        <v>294</v>
      </c>
      <c r="AG859" s="116" t="s">
        <v>355</v>
      </c>
      <c r="AH859" s="116" t="s">
        <v>356</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548</v>
      </c>
      <c r="O860" s="121" t="s">
        <v>489</v>
      </c>
      <c r="P860" s="169" t="s">
        <v>380</v>
      </c>
      <c r="Q860" s="169" t="s">
        <v>376</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341</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479</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324</v>
      </c>
      <c r="P864" s="121"/>
      <c r="Q864" s="66"/>
      <c r="R864" s="121"/>
      <c r="S864" s="133">
        <f>M860</f>
        <v>0</v>
      </c>
      <c r="T864" s="120"/>
      <c r="U864" s="121" t="s">
        <v>235</v>
      </c>
      <c r="V864" s="133">
        <f t="shared" si="392"/>
        <v>0</v>
      </c>
      <c r="W864" s="133">
        <f>VLOOKUP(U864,Sheet1!$B$6:$C$45,2,FALSE)*V864</f>
        <v>0</v>
      </c>
      <c r="X864" s="141"/>
      <c r="Y864" s="135" t="s">
        <v>547</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391</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329</v>
      </c>
      <c r="P868" s="121"/>
      <c r="Q868" s="66"/>
      <c r="R868" s="121"/>
      <c r="S868" s="133">
        <f>M860</f>
        <v>0</v>
      </c>
      <c r="T868" s="120"/>
      <c r="U868" s="121" t="s">
        <v>365</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419</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346</v>
      </c>
      <c r="P874" s="121" t="s">
        <v>381</v>
      </c>
      <c r="Q874" s="66" t="s">
        <v>385</v>
      </c>
      <c r="R874" s="121"/>
      <c r="S874" s="133">
        <f>M860</f>
        <v>0</v>
      </c>
      <c r="T874" s="120"/>
      <c r="U874" s="121" t="s">
        <v>293</v>
      </c>
      <c r="V874" s="133">
        <f t="shared" si="392"/>
        <v>0</v>
      </c>
      <c r="W874" s="133">
        <f>VLOOKUP(U874,Sheet1!$B$6:$C$45,2,FALSE)*V874</f>
        <v>0</v>
      </c>
      <c r="X874" s="141"/>
      <c r="Y874" s="122" t="s">
        <v>327</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338</v>
      </c>
      <c r="P875" s="121"/>
      <c r="Q875" s="66"/>
      <c r="R875" s="121" t="s">
        <v>332</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500</v>
      </c>
      <c r="P876" s="121"/>
      <c r="Q876" s="66"/>
      <c r="R876" s="121"/>
      <c r="S876" s="133">
        <f>M860</f>
        <v>0</v>
      </c>
      <c r="T876" s="120"/>
      <c r="U876" s="121" t="s">
        <v>293</v>
      </c>
      <c r="V876" s="133">
        <f t="shared" si="392"/>
        <v>0</v>
      </c>
      <c r="W876" s="133">
        <f>VLOOKUP(U876,Sheet1!$B$6:$C$45,2,FALSE)*V876</f>
        <v>0</v>
      </c>
      <c r="X876" s="141"/>
      <c r="Y876" s="135" t="s">
        <v>423</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330</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501</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408</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409</v>
      </c>
      <c r="P880" s="121"/>
      <c r="Q880" s="66"/>
      <c r="R880" s="121"/>
      <c r="S880" s="133">
        <f>M860</f>
        <v>0</v>
      </c>
      <c r="T880" s="120"/>
      <c r="U880" s="121" t="s">
        <v>363</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378</v>
      </c>
      <c r="L881" s="128" t="s">
        <v>379</v>
      </c>
      <c r="N881" s="129"/>
      <c r="O881" s="130" t="s">
        <v>358</v>
      </c>
      <c r="P881" s="131">
        <f>V881+AA881+AH881</f>
        <v>0</v>
      </c>
      <c r="Q881" s="131"/>
      <c r="R881" s="131"/>
      <c r="S881" s="130"/>
      <c r="T881" s="127"/>
      <c r="U881" s="126" t="s">
        <v>352</v>
      </c>
      <c r="V881" s="127">
        <f>W881*80</f>
        <v>0</v>
      </c>
      <c r="W881" s="147">
        <f>SUM(W860:W880)</f>
        <v>0</v>
      </c>
      <c r="X881" s="148"/>
      <c r="Y881" s="127" t="s">
        <v>353</v>
      </c>
      <c r="Z881" s="116"/>
      <c r="AA881" s="116">
        <f>SUM(AA860:AA880)</f>
        <v>0</v>
      </c>
      <c r="AB881" s="149"/>
      <c r="AC881" s="149"/>
      <c r="AD881" s="149"/>
      <c r="AE881" s="149"/>
      <c r="AF881" s="127" t="s">
        <v>357</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492</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368</v>
      </c>
      <c r="N882" s="160" t="str">
        <f>N860</f>
        <v>Medium sized VSD fan with fire shutdown - from MSSB power supply and BMS interface provisions</v>
      </c>
      <c r="O882" s="160" t="s">
        <v>366</v>
      </c>
      <c r="P882" s="183" t="e">
        <f>P881/M860</f>
        <v>#DIV/0!</v>
      </c>
      <c r="Q882" s="191"/>
      <c r="R882" s="161"/>
      <c r="S882" s="160"/>
      <c r="T882" s="161"/>
      <c r="U882" s="463" t="s">
        <v>367</v>
      </c>
      <c r="V882" s="463"/>
      <c r="W882" s="162" t="e">
        <f>W881/M860</f>
        <v>#DIV/0!</v>
      </c>
      <c r="X882" s="163"/>
      <c r="Y882" s="461" t="s">
        <v>366</v>
      </c>
      <c r="Z882" s="461"/>
      <c r="AA882" s="164" t="e">
        <f>AA881/M860</f>
        <v>#DIV/0!</v>
      </c>
      <c r="AB882" s="161"/>
      <c r="AC882" s="161"/>
      <c r="AD882" s="161"/>
      <c r="AE882" s="161"/>
      <c r="AF882" s="461" t="s">
        <v>366</v>
      </c>
      <c r="AG882" s="461"/>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453</v>
      </c>
      <c r="M883" s="116" t="s">
        <v>107</v>
      </c>
      <c r="N883" s="116" t="s">
        <v>108</v>
      </c>
      <c r="O883" s="170" t="s">
        <v>387</v>
      </c>
      <c r="P883" s="464" t="s">
        <v>376</v>
      </c>
      <c r="Q883" s="464"/>
      <c r="R883" s="101" t="s">
        <v>453</v>
      </c>
      <c r="S883" s="116" t="s">
        <v>0</v>
      </c>
      <c r="T883" s="118"/>
      <c r="U883" s="116" t="s">
        <v>288</v>
      </c>
      <c r="V883" s="116" t="s">
        <v>289</v>
      </c>
      <c r="W883" s="116" t="s">
        <v>292</v>
      </c>
      <c r="X883" s="140"/>
      <c r="Y883" s="116" t="s">
        <v>290</v>
      </c>
      <c r="Z883" s="116" t="s">
        <v>355</v>
      </c>
      <c r="AA883" s="116" t="s">
        <v>356</v>
      </c>
      <c r="AB883" s="116" t="s">
        <v>318</v>
      </c>
      <c r="AC883" s="116" t="s">
        <v>319</v>
      </c>
      <c r="AD883" s="116" t="s">
        <v>317</v>
      </c>
      <c r="AE883" s="140"/>
      <c r="AF883" s="116" t="s">
        <v>294</v>
      </c>
      <c r="AG883" s="116" t="s">
        <v>355</v>
      </c>
      <c r="AH883" s="116" t="s">
        <v>356</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573</v>
      </c>
      <c r="O884" s="121" t="s">
        <v>489</v>
      </c>
      <c r="P884" s="169" t="s">
        <v>380</v>
      </c>
      <c r="Q884" s="169" t="s">
        <v>376</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341</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479</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324</v>
      </c>
      <c r="P888" s="121"/>
      <c r="Q888" s="66"/>
      <c r="R888" s="121"/>
      <c r="S888" s="133">
        <f>M884</f>
        <v>0</v>
      </c>
      <c r="T888" s="120"/>
      <c r="U888" s="121" t="s">
        <v>235</v>
      </c>
      <c r="V888" s="133">
        <f t="shared" si="401"/>
        <v>0</v>
      </c>
      <c r="W888" s="133">
        <f>VLOOKUP(U888,Sheet1!$B$6:$C$45,2,FALSE)*V888</f>
        <v>0</v>
      </c>
      <c r="X888" s="141"/>
      <c r="Y888" s="135" t="s">
        <v>491</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391</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329</v>
      </c>
      <c r="P892" s="121"/>
      <c r="Q892" s="66"/>
      <c r="R892" s="121"/>
      <c r="S892" s="133">
        <f>M884</f>
        <v>0</v>
      </c>
      <c r="T892" s="120"/>
      <c r="U892" s="121" t="s">
        <v>365</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419</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346</v>
      </c>
      <c r="P898" s="121" t="s">
        <v>381</v>
      </c>
      <c r="Q898" s="66" t="s">
        <v>385</v>
      </c>
      <c r="R898" s="121"/>
      <c r="S898" s="133">
        <f>M884</f>
        <v>0</v>
      </c>
      <c r="T898" s="120"/>
      <c r="U898" s="121" t="s">
        <v>293</v>
      </c>
      <c r="V898" s="133">
        <f t="shared" si="401"/>
        <v>0</v>
      </c>
      <c r="W898" s="133">
        <f>VLOOKUP(U898,Sheet1!$B$6:$C$45,2,FALSE)*V898</f>
        <v>0</v>
      </c>
      <c r="X898" s="141"/>
      <c r="Y898" s="122" t="s">
        <v>327</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338</v>
      </c>
      <c r="P899" s="121"/>
      <c r="Q899" s="66"/>
      <c r="R899" s="121" t="s">
        <v>332</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500</v>
      </c>
      <c r="P900" s="121"/>
      <c r="Q900" s="66"/>
      <c r="R900" s="121"/>
      <c r="S900" s="133">
        <f>M884</f>
        <v>0</v>
      </c>
      <c r="T900" s="120"/>
      <c r="U900" s="121" t="s">
        <v>293</v>
      </c>
      <c r="V900" s="133">
        <f t="shared" si="401"/>
        <v>0</v>
      </c>
      <c r="W900" s="133">
        <f>VLOOKUP(U900,Sheet1!$B$6:$C$45,2,FALSE)*V900</f>
        <v>0</v>
      </c>
      <c r="X900" s="141"/>
      <c r="Y900" s="135" t="s">
        <v>423</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330</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501</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408</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409</v>
      </c>
      <c r="P904" s="121"/>
      <c r="Q904" s="66"/>
      <c r="R904" s="121"/>
      <c r="S904" s="133">
        <f>M884</f>
        <v>0</v>
      </c>
      <c r="T904" s="120"/>
      <c r="U904" s="121" t="s">
        <v>363</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378</v>
      </c>
      <c r="L905" s="128" t="s">
        <v>379</v>
      </c>
      <c r="N905" s="129"/>
      <c r="O905" s="130" t="s">
        <v>358</v>
      </c>
      <c r="P905" s="131">
        <f>V905+AA905+AH905</f>
        <v>0</v>
      </c>
      <c r="Q905" s="131"/>
      <c r="R905" s="131"/>
      <c r="S905" s="130"/>
      <c r="T905" s="127"/>
      <c r="U905" s="126" t="s">
        <v>352</v>
      </c>
      <c r="V905" s="127">
        <f>W905*80</f>
        <v>0</v>
      </c>
      <c r="W905" s="147">
        <f>SUM(W884:W904)</f>
        <v>0</v>
      </c>
      <c r="X905" s="148"/>
      <c r="Y905" s="127" t="s">
        <v>353</v>
      </c>
      <c r="Z905" s="116"/>
      <c r="AA905" s="116">
        <f>SUM(AA884:AA904)</f>
        <v>0</v>
      </c>
      <c r="AB905" s="149"/>
      <c r="AC905" s="149"/>
      <c r="AD905" s="149"/>
      <c r="AE905" s="149"/>
      <c r="AF905" s="127" t="s">
        <v>357</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492</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368</v>
      </c>
      <c r="N906" s="160" t="str">
        <f>N884</f>
        <v>large sized VSD fan with fire shutdown - from MSSB power supply and BMS interface provisions</v>
      </c>
      <c r="O906" s="160" t="s">
        <v>366</v>
      </c>
      <c r="P906" s="183" t="e">
        <f>P905/M884</f>
        <v>#DIV/0!</v>
      </c>
      <c r="Q906" s="191"/>
      <c r="R906" s="161"/>
      <c r="S906" s="160"/>
      <c r="T906" s="161"/>
      <c r="U906" s="463" t="s">
        <v>367</v>
      </c>
      <c r="V906" s="463"/>
      <c r="W906" s="162" t="e">
        <f>W905/M884</f>
        <v>#DIV/0!</v>
      </c>
      <c r="X906" s="163"/>
      <c r="Y906" s="461" t="s">
        <v>366</v>
      </c>
      <c r="Z906" s="461"/>
      <c r="AA906" s="164" t="e">
        <f>AA905/M884</f>
        <v>#DIV/0!</v>
      </c>
      <c r="AB906" s="161"/>
      <c r="AC906" s="161"/>
      <c r="AD906" s="161"/>
      <c r="AE906" s="161"/>
      <c r="AF906" s="461" t="s">
        <v>366</v>
      </c>
      <c r="AG906" s="461"/>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453</v>
      </c>
      <c r="M907" s="116" t="s">
        <v>107</v>
      </c>
      <c r="N907" s="116" t="s">
        <v>108</v>
      </c>
      <c r="O907" s="170" t="s">
        <v>387</v>
      </c>
      <c r="P907" s="464" t="s">
        <v>376</v>
      </c>
      <c r="Q907" s="464"/>
      <c r="R907" s="101" t="s">
        <v>453</v>
      </c>
      <c r="S907" s="116" t="s">
        <v>0</v>
      </c>
      <c r="T907" s="118"/>
      <c r="U907" s="116" t="s">
        <v>288</v>
      </c>
      <c r="V907" s="116" t="s">
        <v>289</v>
      </c>
      <c r="W907" s="116" t="s">
        <v>292</v>
      </c>
      <c r="X907" s="140"/>
      <c r="Y907" s="116" t="s">
        <v>290</v>
      </c>
      <c r="Z907" s="116" t="s">
        <v>355</v>
      </c>
      <c r="AA907" s="116" t="s">
        <v>356</v>
      </c>
      <c r="AB907" s="116" t="s">
        <v>318</v>
      </c>
      <c r="AC907" s="116" t="s">
        <v>319</v>
      </c>
      <c r="AD907" s="116" t="s">
        <v>317</v>
      </c>
      <c r="AE907" s="140"/>
      <c r="AF907" s="116" t="s">
        <v>294</v>
      </c>
      <c r="AG907" s="116" t="s">
        <v>355</v>
      </c>
      <c r="AH907" s="116" t="s">
        <v>356</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572</v>
      </c>
      <c r="O908" s="121" t="s">
        <v>489</v>
      </c>
      <c r="P908" s="169" t="s">
        <v>380</v>
      </c>
      <c r="Q908" s="169" t="s">
        <v>376</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341</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479</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324</v>
      </c>
      <c r="P912" s="121"/>
      <c r="Q912" s="66"/>
      <c r="R912" s="121"/>
      <c r="S912" s="133">
        <f>M908</f>
        <v>0</v>
      </c>
      <c r="T912" s="120"/>
      <c r="U912" s="121" t="s">
        <v>235</v>
      </c>
      <c r="V912" s="133">
        <f t="shared" si="410"/>
        <v>0</v>
      </c>
      <c r="W912" s="133">
        <f>VLOOKUP(U912,Sheet1!$B$6:$C$45,2,FALSE)*V912</f>
        <v>0</v>
      </c>
      <c r="X912" s="141"/>
      <c r="Y912" s="135" t="s">
        <v>491</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391</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329</v>
      </c>
      <c r="P916" s="121"/>
      <c r="Q916" s="66"/>
      <c r="R916" s="121"/>
      <c r="S916" s="133">
        <f>M908</f>
        <v>0</v>
      </c>
      <c r="T916" s="120"/>
      <c r="U916" s="121" t="s">
        <v>365</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419</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338</v>
      </c>
      <c r="P923" s="121"/>
      <c r="Q923" s="66"/>
      <c r="R923" s="121" t="s">
        <v>332</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500</v>
      </c>
      <c r="P924" s="121"/>
      <c r="Q924" s="66"/>
      <c r="R924" s="121"/>
      <c r="S924" s="133">
        <f>M908</f>
        <v>0</v>
      </c>
      <c r="T924" s="120"/>
      <c r="U924" s="121" t="s">
        <v>293</v>
      </c>
      <c r="V924" s="133">
        <f t="shared" si="410"/>
        <v>0</v>
      </c>
      <c r="W924" s="133">
        <f>VLOOKUP(U924,Sheet1!$B$6:$C$45,2,FALSE)*V924</f>
        <v>0</v>
      </c>
      <c r="X924" s="141"/>
      <c r="Y924" s="135" t="s">
        <v>423</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330</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501</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408</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409</v>
      </c>
      <c r="P928" s="121"/>
      <c r="Q928" s="66"/>
      <c r="R928" s="121"/>
      <c r="S928" s="133">
        <f>M908</f>
        <v>0</v>
      </c>
      <c r="T928" s="120"/>
      <c r="U928" s="121" t="s">
        <v>363</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378</v>
      </c>
      <c r="L929" s="128" t="s">
        <v>379</v>
      </c>
      <c r="N929" s="129"/>
      <c r="O929" s="130" t="s">
        <v>358</v>
      </c>
      <c r="P929" s="131">
        <f>V929+AA929+AH929</f>
        <v>0</v>
      </c>
      <c r="Q929" s="131"/>
      <c r="R929" s="131"/>
      <c r="S929" s="130"/>
      <c r="T929" s="127"/>
      <c r="U929" s="126" t="s">
        <v>352</v>
      </c>
      <c r="V929" s="127">
        <f>W929*80</f>
        <v>0</v>
      </c>
      <c r="W929" s="147">
        <f>SUM(W908:W928)</f>
        <v>0</v>
      </c>
      <c r="X929" s="148"/>
      <c r="Y929" s="127" t="s">
        <v>353</v>
      </c>
      <c r="Z929" s="116"/>
      <c r="AA929" s="116">
        <f>SUM(AA908:AA928)</f>
        <v>0</v>
      </c>
      <c r="AB929" s="149"/>
      <c r="AC929" s="149"/>
      <c r="AD929" s="149"/>
      <c r="AE929" s="149"/>
      <c r="AF929" s="127" t="s">
        <v>357</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492</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368</v>
      </c>
      <c r="N930" s="160" t="str">
        <f>N908</f>
        <v>Cooling tower fan wirh VSD - from MSSB power supply and BMS interface provisions</v>
      </c>
      <c r="O930" s="160" t="s">
        <v>366</v>
      </c>
      <c r="P930" s="183" t="e">
        <f>P929/M908</f>
        <v>#DIV/0!</v>
      </c>
      <c r="Q930" s="191"/>
      <c r="R930" s="161"/>
      <c r="S930" s="160"/>
      <c r="T930" s="161"/>
      <c r="U930" s="463" t="s">
        <v>367</v>
      </c>
      <c r="V930" s="463"/>
      <c r="W930" s="162" t="e">
        <f>W929/M908</f>
        <v>#DIV/0!</v>
      </c>
      <c r="X930" s="163"/>
      <c r="Y930" s="461" t="s">
        <v>366</v>
      </c>
      <c r="Z930" s="461"/>
      <c r="AA930" s="164" t="e">
        <f>AA929/M908</f>
        <v>#DIV/0!</v>
      </c>
      <c r="AB930" s="161"/>
      <c r="AC930" s="161"/>
      <c r="AD930" s="161"/>
      <c r="AE930" s="161"/>
      <c r="AF930" s="461" t="s">
        <v>366</v>
      </c>
      <c r="AG930" s="461"/>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453</v>
      </c>
      <c r="M931" s="116" t="s">
        <v>107</v>
      </c>
      <c r="N931" s="116" t="s">
        <v>108</v>
      </c>
      <c r="O931" s="170" t="s">
        <v>387</v>
      </c>
      <c r="P931" s="464" t="s">
        <v>376</v>
      </c>
      <c r="Q931" s="464"/>
      <c r="R931" s="101" t="s">
        <v>453</v>
      </c>
      <c r="S931" s="116" t="s">
        <v>0</v>
      </c>
      <c r="T931" s="118"/>
      <c r="U931" s="116" t="s">
        <v>288</v>
      </c>
      <c r="V931" s="116" t="s">
        <v>289</v>
      </c>
      <c r="W931" s="116" t="s">
        <v>292</v>
      </c>
      <c r="X931" s="140"/>
      <c r="Y931" s="116" t="s">
        <v>290</v>
      </c>
      <c r="Z931" s="116" t="s">
        <v>355</v>
      </c>
      <c r="AA931" s="116" t="s">
        <v>356</v>
      </c>
      <c r="AB931" s="116" t="s">
        <v>318</v>
      </c>
      <c r="AC931" s="116" t="s">
        <v>319</v>
      </c>
      <c r="AD931" s="116" t="s">
        <v>317</v>
      </c>
      <c r="AE931" s="140"/>
      <c r="AF931" s="116" t="s">
        <v>294</v>
      </c>
      <c r="AG931" s="116" t="s">
        <v>355</v>
      </c>
      <c r="AH931" s="116" t="s">
        <v>356</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570</v>
      </c>
      <c r="O932" s="121" t="s">
        <v>489</v>
      </c>
      <c r="P932" s="169" t="s">
        <v>380</v>
      </c>
      <c r="Q932" s="169" t="s">
        <v>376</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341</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479</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324</v>
      </c>
      <c r="P936" s="121"/>
      <c r="Q936" s="66"/>
      <c r="R936" s="121"/>
      <c r="S936" s="133">
        <f>M932</f>
        <v>0</v>
      </c>
      <c r="T936" s="120"/>
      <c r="U936" s="121" t="s">
        <v>235</v>
      </c>
      <c r="V936" s="133">
        <f t="shared" si="424"/>
        <v>0</v>
      </c>
      <c r="W936" s="133">
        <f>VLOOKUP(U936,Sheet1!$B$6:$C$45,2,FALSE)*V936</f>
        <v>0</v>
      </c>
      <c r="X936" s="141"/>
      <c r="Y936" s="135" t="s">
        <v>491</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391</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329</v>
      </c>
      <c r="P940" s="121"/>
      <c r="Q940" s="66"/>
      <c r="R940" s="121"/>
      <c r="S940" s="133">
        <f>M932</f>
        <v>0</v>
      </c>
      <c r="T940" s="120"/>
      <c r="U940" s="121" t="s">
        <v>365</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419</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346</v>
      </c>
      <c r="P946" s="121" t="s">
        <v>381</v>
      </c>
      <c r="Q946" s="66" t="s">
        <v>385</v>
      </c>
      <c r="R946" s="121"/>
      <c r="S946" s="133">
        <f>M932</f>
        <v>0</v>
      </c>
      <c r="T946" s="120"/>
      <c r="U946" s="121" t="s">
        <v>293</v>
      </c>
      <c r="V946" s="133">
        <f t="shared" si="424"/>
        <v>0</v>
      </c>
      <c r="W946" s="133">
        <f>VLOOKUP(U946,Sheet1!$B$6:$C$45,2,FALSE)*V946</f>
        <v>0</v>
      </c>
      <c r="X946" s="141"/>
      <c r="Y946" s="122" t="s">
        <v>327</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338</v>
      </c>
      <c r="P947" s="121"/>
      <c r="Q947" s="66"/>
      <c r="R947" s="121" t="s">
        <v>332</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500</v>
      </c>
      <c r="P948" s="121"/>
      <c r="Q948" s="66"/>
      <c r="R948" s="121"/>
      <c r="S948" s="133">
        <f>M932</f>
        <v>0</v>
      </c>
      <c r="T948" s="120"/>
      <c r="U948" s="121" t="s">
        <v>293</v>
      </c>
      <c r="V948" s="133">
        <f t="shared" si="424"/>
        <v>0</v>
      </c>
      <c r="W948" s="133">
        <f>VLOOKUP(U948,Sheet1!$B$6:$C$45,2,FALSE)*V948</f>
        <v>0</v>
      </c>
      <c r="X948" s="141"/>
      <c r="Y948" s="135" t="s">
        <v>423</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330</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501</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408</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409</v>
      </c>
      <c r="P952" s="121"/>
      <c r="Q952" s="66"/>
      <c r="R952" s="121"/>
      <c r="S952" s="133">
        <f>M932</f>
        <v>0</v>
      </c>
      <c r="T952" s="120"/>
      <c r="U952" s="121" t="s">
        <v>363</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378</v>
      </c>
      <c r="L953" s="128" t="s">
        <v>379</v>
      </c>
      <c r="N953" s="129"/>
      <c r="O953" s="130" t="s">
        <v>358</v>
      </c>
      <c r="P953" s="131">
        <f>V953+AA953+AH953</f>
        <v>0</v>
      </c>
      <c r="Q953" s="131"/>
      <c r="R953" s="131"/>
      <c r="S953" s="130"/>
      <c r="T953" s="127"/>
      <c r="U953" s="126" t="s">
        <v>352</v>
      </c>
      <c r="V953" s="127">
        <f>W953*80</f>
        <v>0</v>
      </c>
      <c r="W953" s="147">
        <f>SUM(W932:W952)</f>
        <v>0</v>
      </c>
      <c r="X953" s="148"/>
      <c r="Y953" s="127" t="s">
        <v>353</v>
      </c>
      <c r="Z953" s="116"/>
      <c r="AA953" s="116">
        <f>SUM(AA932:AA952)</f>
        <v>0</v>
      </c>
      <c r="AB953" s="149"/>
      <c r="AC953" s="149"/>
      <c r="AD953" s="149"/>
      <c r="AE953" s="149"/>
      <c r="AF953" s="127" t="s">
        <v>357</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492</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368</v>
      </c>
      <c r="N954" s="160" t="str">
        <f>N932</f>
        <v>Large sized VSD fan with fire shutdown - from MSSB power supply and BMS interface provisions</v>
      </c>
      <c r="O954" s="160" t="s">
        <v>366</v>
      </c>
      <c r="P954" s="183" t="e">
        <f>P953/M932</f>
        <v>#DIV/0!</v>
      </c>
      <c r="Q954" s="191"/>
      <c r="R954" s="161"/>
      <c r="S954" s="160"/>
      <c r="T954" s="161"/>
      <c r="U954" s="463" t="s">
        <v>367</v>
      </c>
      <c r="V954" s="463"/>
      <c r="W954" s="162" t="e">
        <f>W953/M932</f>
        <v>#DIV/0!</v>
      </c>
      <c r="X954" s="163"/>
      <c r="Y954" s="461" t="s">
        <v>366</v>
      </c>
      <c r="Z954" s="461"/>
      <c r="AA954" s="164" t="e">
        <f>AA953/M932</f>
        <v>#DIV/0!</v>
      </c>
      <c r="AB954" s="161"/>
      <c r="AC954" s="161"/>
      <c r="AD954" s="161"/>
      <c r="AE954" s="161"/>
      <c r="AF954" s="461" t="s">
        <v>366</v>
      </c>
      <c r="AG954" s="461"/>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492</v>
      </c>
      <c r="D955" s="261" t="str">
        <f>IF(B955="Shopping List",IF(ISNUMBER(SEARCH("MSSB",C955)),"MSSB",IF(ISNUMBER(SEARCH("local",C955)),"LOCAL","")))</f>
        <v/>
      </c>
      <c r="I955" s="269">
        <f>SUM(I979:I1171)</f>
        <v>0</v>
      </c>
      <c r="J955" s="261" t="s">
        <v>592</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453</v>
      </c>
      <c r="M956" s="116" t="s">
        <v>107</v>
      </c>
      <c r="N956" s="116" t="s">
        <v>108</v>
      </c>
      <c r="O956" s="170" t="s">
        <v>387</v>
      </c>
      <c r="P956" s="464" t="s">
        <v>376</v>
      </c>
      <c r="Q956" s="464"/>
      <c r="R956" s="101" t="s">
        <v>453</v>
      </c>
      <c r="S956" s="116" t="s">
        <v>0</v>
      </c>
      <c r="T956" s="118"/>
      <c r="U956" s="116" t="s">
        <v>288</v>
      </c>
      <c r="V956" s="116" t="s">
        <v>289</v>
      </c>
      <c r="W956" s="116" t="s">
        <v>292</v>
      </c>
      <c r="X956" s="140"/>
      <c r="Y956" s="116" t="s">
        <v>290</v>
      </c>
      <c r="Z956" s="116" t="s">
        <v>355</v>
      </c>
      <c r="AA956" s="116" t="s">
        <v>356</v>
      </c>
      <c r="AB956" s="116" t="s">
        <v>318</v>
      </c>
      <c r="AC956" s="116" t="s">
        <v>319</v>
      </c>
      <c r="AD956" s="116" t="s">
        <v>317</v>
      </c>
      <c r="AE956" s="140"/>
      <c r="AF956" s="116" t="s">
        <v>294</v>
      </c>
      <c r="AG956" s="116" t="s">
        <v>355</v>
      </c>
      <c r="AH956" s="116" t="s">
        <v>356</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481</v>
      </c>
      <c r="O957" s="121" t="s">
        <v>348</v>
      </c>
      <c r="P957" s="169" t="s">
        <v>380</v>
      </c>
      <c r="Q957" s="169" t="s">
        <v>376</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469</v>
      </c>
      <c r="P960" s="121"/>
      <c r="Q960" s="66"/>
      <c r="R960" s="121"/>
      <c r="S960" s="133">
        <f>M957</f>
        <v>0</v>
      </c>
      <c r="T960" s="120"/>
      <c r="U960" s="117" t="s">
        <v>479</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470</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365</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502</v>
      </c>
      <c r="P967" s="121" t="s">
        <v>472</v>
      </c>
      <c r="Q967" s="66" t="s">
        <v>473</v>
      </c>
      <c r="R967" s="121"/>
      <c r="S967" s="133">
        <f>M957</f>
        <v>0</v>
      </c>
      <c r="T967" s="120"/>
      <c r="U967" s="121" t="s">
        <v>293</v>
      </c>
      <c r="V967" s="133">
        <f t="shared" si="434"/>
        <v>0</v>
      </c>
      <c r="W967" s="133">
        <f>VLOOKUP(U967,Sheet1!$B$6:$C$45,2,FALSE)*V967</f>
        <v>0</v>
      </c>
      <c r="X967" s="141"/>
      <c r="Y967" s="135" t="s">
        <v>476</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503</v>
      </c>
      <c r="P968" s="121"/>
      <c r="Q968" s="66"/>
      <c r="R968" s="121"/>
      <c r="S968" s="133">
        <f>M957</f>
        <v>0</v>
      </c>
      <c r="T968" s="120"/>
      <c r="U968" s="117" t="s">
        <v>364</v>
      </c>
      <c r="V968" s="133">
        <f t="shared" si="434"/>
        <v>0</v>
      </c>
      <c r="W968" s="133">
        <f>VLOOKUP(U968,Sheet1!$B$6:$C$45,2,FALSE)*V968</f>
        <v>0</v>
      </c>
      <c r="X968" s="141"/>
      <c r="Y968" s="135" t="s">
        <v>478</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474</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471</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475</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504</v>
      </c>
      <c r="P974" s="121" t="s">
        <v>472</v>
      </c>
      <c r="Q974" s="66" t="s">
        <v>473</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413</v>
      </c>
      <c r="P976" s="121" t="s">
        <v>381</v>
      </c>
      <c r="Q976" s="66" t="s">
        <v>385</v>
      </c>
      <c r="R976" s="121"/>
      <c r="S976" s="133">
        <f>M957</f>
        <v>0</v>
      </c>
      <c r="T976" s="120"/>
      <c r="U976" s="121" t="s">
        <v>293</v>
      </c>
      <c r="V976" s="133">
        <f t="shared" si="434"/>
        <v>0</v>
      </c>
      <c r="W976" s="133">
        <f>VLOOKUP(U976,Sheet1!$B$6:$C$45,2,FALSE)*V976</f>
        <v>0</v>
      </c>
      <c r="X976" s="141"/>
      <c r="Y976" s="122" t="s">
        <v>323</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409</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378</v>
      </c>
      <c r="L978" s="128" t="s">
        <v>379</v>
      </c>
      <c r="N978" s="129"/>
      <c r="O978" s="130" t="s">
        <v>358</v>
      </c>
      <c r="P978" s="155">
        <f>V978+AA978+AH978</f>
        <v>0</v>
      </c>
      <c r="Q978" s="155"/>
      <c r="R978" s="131"/>
      <c r="S978" s="130"/>
      <c r="T978" s="127"/>
      <c r="U978" s="126" t="s">
        <v>352</v>
      </c>
      <c r="V978" s="127">
        <f>W978*80</f>
        <v>0</v>
      </c>
      <c r="W978" s="147">
        <f>SUM(W957:W977)</f>
        <v>0</v>
      </c>
      <c r="X978" s="148"/>
      <c r="Y978" s="127" t="s">
        <v>353</v>
      </c>
      <c r="Z978" s="116"/>
      <c r="AA978" s="116">
        <f>SUM(AA957:AA977)</f>
        <v>0</v>
      </c>
      <c r="AB978" s="149"/>
      <c r="AC978" s="149"/>
      <c r="AD978" s="149"/>
      <c r="AE978" s="149"/>
      <c r="AF978" s="127" t="s">
        <v>357</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492</v>
      </c>
      <c r="C979" s="217" t="str">
        <f>N957</f>
        <v>Electric Duct Heater ( 3 phase with SSR's)</v>
      </c>
      <c r="D979" s="260" t="s">
        <v>679</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368</v>
      </c>
      <c r="N979" s="160" t="str">
        <f>N957</f>
        <v>Electric Duct Heater ( 3 phase with SSR's)</v>
      </c>
      <c r="O979" s="185" t="s">
        <v>366</v>
      </c>
      <c r="P979" s="203" t="e">
        <f>P978/M957</f>
        <v>#DIV/0!</v>
      </c>
      <c r="Q979" s="195"/>
      <c r="R979" s="188"/>
      <c r="S979" s="160"/>
      <c r="T979" s="161"/>
      <c r="U979" s="463" t="s">
        <v>367</v>
      </c>
      <c r="V979" s="463"/>
      <c r="W979" s="162" t="e">
        <f>W978/M957</f>
        <v>#DIV/0!</v>
      </c>
      <c r="X979" s="163"/>
      <c r="Y979" s="461" t="s">
        <v>366</v>
      </c>
      <c r="Z979" s="461"/>
      <c r="AA979" s="164" t="e">
        <f>AA978/M957</f>
        <v>#DIV/0!</v>
      </c>
      <c r="AB979" s="161"/>
      <c r="AC979" s="161"/>
      <c r="AD979" s="161"/>
      <c r="AE979" s="161"/>
      <c r="AF979" s="461" t="s">
        <v>366</v>
      </c>
      <c r="AG979" s="461"/>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453</v>
      </c>
      <c r="M980" s="116" t="s">
        <v>107</v>
      </c>
      <c r="N980" s="116" t="s">
        <v>108</v>
      </c>
      <c r="O980" s="170" t="s">
        <v>387</v>
      </c>
      <c r="P980" s="464" t="s">
        <v>376</v>
      </c>
      <c r="Q980" s="464"/>
      <c r="R980" s="101" t="s">
        <v>453</v>
      </c>
      <c r="S980" s="116" t="s">
        <v>0</v>
      </c>
      <c r="T980" s="118"/>
      <c r="U980" s="116" t="s">
        <v>288</v>
      </c>
      <c r="V980" s="116" t="s">
        <v>289</v>
      </c>
      <c r="W980" s="116" t="s">
        <v>292</v>
      </c>
      <c r="X980" s="140"/>
      <c r="Y980" s="116" t="s">
        <v>290</v>
      </c>
      <c r="Z980" s="116" t="s">
        <v>355</v>
      </c>
      <c r="AA980" s="116" t="s">
        <v>356</v>
      </c>
      <c r="AB980" s="116" t="s">
        <v>318</v>
      </c>
      <c r="AC980" s="116" t="s">
        <v>319</v>
      </c>
      <c r="AD980" s="116" t="s">
        <v>317</v>
      </c>
      <c r="AE980" s="140"/>
      <c r="AF980" s="116" t="s">
        <v>294</v>
      </c>
      <c r="AG980" s="116" t="s">
        <v>355</v>
      </c>
      <c r="AH980" s="116" t="s">
        <v>356</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552</v>
      </c>
      <c r="O981" s="121" t="s">
        <v>348</v>
      </c>
      <c r="P981" s="169" t="s">
        <v>380</v>
      </c>
      <c r="Q981" s="169" t="s">
        <v>376</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412</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553</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554</v>
      </c>
      <c r="P984" s="121"/>
      <c r="Q984" s="121"/>
      <c r="R984" s="121"/>
      <c r="S984" s="133">
        <f>M981*2</f>
        <v>0</v>
      </c>
      <c r="T984" s="120"/>
      <c r="U984" s="117" t="s">
        <v>479</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555</v>
      </c>
      <c r="P985" s="121"/>
      <c r="Q985" s="121"/>
      <c r="R985" s="121"/>
      <c r="S985" s="133">
        <f>M981*2</f>
        <v>0</v>
      </c>
      <c r="T985" s="120"/>
      <c r="U985" s="121" t="s">
        <v>293</v>
      </c>
      <c r="V985" s="133">
        <f t="shared" si="448"/>
        <v>0</v>
      </c>
      <c r="W985" s="133">
        <f>VLOOKUP(U985,Sheet1!$B$6:$C$45,2,FALSE)*V985</f>
        <v>0</v>
      </c>
      <c r="X985" s="141"/>
      <c r="Y985" s="135" t="s">
        <v>547</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556</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557</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558</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365</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364</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364</v>
      </c>
      <c r="V995" s="133">
        <f t="shared" si="448"/>
        <v>0</v>
      </c>
      <c r="W995" s="133">
        <f>VLOOKUP(U995,Sheet1!$B$6:$C$45,2,FALSE)*V995</f>
        <v>0</v>
      </c>
      <c r="X995" s="141"/>
      <c r="Y995" s="122" t="s">
        <v>322</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456</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330</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413</v>
      </c>
      <c r="P1000" s="121" t="s">
        <v>381</v>
      </c>
      <c r="Q1000" s="121" t="s">
        <v>385</v>
      </c>
      <c r="R1000" s="121"/>
      <c r="S1000" s="133">
        <f>M981</f>
        <v>0</v>
      </c>
      <c r="T1000" s="120"/>
      <c r="U1000" s="121" t="s">
        <v>293</v>
      </c>
      <c r="V1000" s="133">
        <f t="shared" si="448"/>
        <v>0</v>
      </c>
      <c r="W1000" s="133">
        <f>VLOOKUP(U1000,Sheet1!$B$6:$C$45,2,FALSE)*V1000</f>
        <v>0</v>
      </c>
      <c r="X1000" s="141"/>
      <c r="Y1000" s="122" t="s">
        <v>323</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409</v>
      </c>
      <c r="P1001" s="121"/>
      <c r="Q1001" s="121"/>
      <c r="R1001" s="121"/>
      <c r="S1001" s="133">
        <f>M981</f>
        <v>0</v>
      </c>
      <c r="T1001" s="120"/>
      <c r="U1001" s="121" t="s">
        <v>365</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378</v>
      </c>
      <c r="L1002" s="128" t="s">
        <v>379</v>
      </c>
      <c r="N1002" s="129"/>
      <c r="O1002" s="130" t="s">
        <v>358</v>
      </c>
      <c r="P1002" s="131">
        <f>V1002+AA1002+AH1002</f>
        <v>0</v>
      </c>
      <c r="Q1002" s="131"/>
      <c r="R1002" s="131"/>
      <c r="S1002" s="130"/>
      <c r="T1002" s="127"/>
      <c r="U1002" s="126" t="s">
        <v>352</v>
      </c>
      <c r="V1002" s="127">
        <f>W1002*80</f>
        <v>0</v>
      </c>
      <c r="W1002" s="147">
        <f>SUM(W981:W1001)</f>
        <v>0</v>
      </c>
      <c r="X1002" s="148"/>
      <c r="Y1002" s="127" t="s">
        <v>353</v>
      </c>
      <c r="Z1002" s="116"/>
      <c r="AA1002" s="116">
        <f>SUM(AA981:AA1001)</f>
        <v>0</v>
      </c>
      <c r="AB1002" s="149"/>
      <c r="AC1002" s="149"/>
      <c r="AD1002" s="149"/>
      <c r="AE1002" s="149"/>
      <c r="AF1002" s="127" t="s">
        <v>357</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492</v>
      </c>
      <c r="C1003" s="217" t="str">
        <f>N981</f>
        <v>Chilled Water AHU with 2 x medium VSD ( Dual fan)</v>
      </c>
      <c r="D1003" s="260" t="s">
        <v>679</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368</v>
      </c>
      <c r="N1003" s="160" t="str">
        <f>N981</f>
        <v>Chilled Water AHU with 2 x medium VSD ( Dual fan)</v>
      </c>
      <c r="O1003" s="160" t="s">
        <v>366</v>
      </c>
      <c r="P1003" s="64" t="e">
        <f>P1002/M981</f>
        <v>#DIV/0!</v>
      </c>
      <c r="Q1003" s="161"/>
      <c r="R1003" s="161"/>
      <c r="S1003" s="160"/>
      <c r="T1003" s="161"/>
      <c r="U1003" s="463" t="s">
        <v>367</v>
      </c>
      <c r="V1003" s="463"/>
      <c r="W1003" s="162" t="e">
        <f>W1002/M981</f>
        <v>#DIV/0!</v>
      </c>
      <c r="X1003" s="163"/>
      <c r="Y1003" s="461" t="s">
        <v>366</v>
      </c>
      <c r="Z1003" s="461"/>
      <c r="AA1003" s="164" t="e">
        <f>AA1002/M981</f>
        <v>#DIV/0!</v>
      </c>
      <c r="AB1003" s="161"/>
      <c r="AC1003" s="161"/>
      <c r="AD1003" s="161"/>
      <c r="AE1003" s="161"/>
      <c r="AF1003" s="461" t="s">
        <v>366</v>
      </c>
      <c r="AG1003" s="461"/>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453</v>
      </c>
      <c r="M1004" s="116" t="s">
        <v>107</v>
      </c>
      <c r="N1004" s="116" t="s">
        <v>108</v>
      </c>
      <c r="O1004" s="170" t="s">
        <v>387</v>
      </c>
      <c r="P1004" s="464" t="s">
        <v>376</v>
      </c>
      <c r="Q1004" s="464"/>
      <c r="R1004" s="101" t="s">
        <v>453</v>
      </c>
      <c r="S1004" s="116" t="s">
        <v>0</v>
      </c>
      <c r="T1004" s="118"/>
      <c r="U1004" s="116" t="s">
        <v>288</v>
      </c>
      <c r="V1004" s="116" t="s">
        <v>289</v>
      </c>
      <c r="W1004" s="116" t="s">
        <v>292</v>
      </c>
      <c r="X1004" s="140"/>
      <c r="Y1004" s="116" t="s">
        <v>290</v>
      </c>
      <c r="Z1004" s="116" t="s">
        <v>355</v>
      </c>
      <c r="AA1004" s="116" t="s">
        <v>356</v>
      </c>
      <c r="AB1004" s="116" t="s">
        <v>318</v>
      </c>
      <c r="AC1004" s="116" t="s">
        <v>319</v>
      </c>
      <c r="AD1004" s="116" t="s">
        <v>317</v>
      </c>
      <c r="AE1004" s="140"/>
      <c r="AF1004" s="116" t="s">
        <v>294</v>
      </c>
      <c r="AG1004" s="116" t="s">
        <v>355</v>
      </c>
      <c r="AH1004" s="116" t="s">
        <v>356</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551</v>
      </c>
      <c r="O1005" s="121" t="s">
        <v>348</v>
      </c>
      <c r="P1005" s="169" t="s">
        <v>380</v>
      </c>
      <c r="Q1005" s="169" t="s">
        <v>376</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412</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479</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324</v>
      </c>
      <c r="P1009" s="121"/>
      <c r="Q1009" s="121"/>
      <c r="R1009" s="121"/>
      <c r="S1009" s="133">
        <f>M1005</f>
        <v>0</v>
      </c>
      <c r="T1009" s="120"/>
      <c r="U1009" s="121" t="s">
        <v>293</v>
      </c>
      <c r="V1009" s="133">
        <f t="shared" si="458"/>
        <v>0</v>
      </c>
      <c r="W1009" s="133">
        <f>VLOOKUP(U1009,Sheet1!$B$6:$C$45,2,FALSE)*V1009</f>
        <v>0</v>
      </c>
      <c r="X1009" s="141"/>
      <c r="Y1009" s="135" t="s">
        <v>547</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391</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365</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364</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364</v>
      </c>
      <c r="V1019" s="133">
        <f t="shared" si="458"/>
        <v>0</v>
      </c>
      <c r="W1019" s="133">
        <f>VLOOKUP(U1019,Sheet1!$B$6:$C$45,2,FALSE)*V1019</f>
        <v>0</v>
      </c>
      <c r="X1019" s="141"/>
      <c r="Y1019" s="122" t="s">
        <v>322</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456</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330</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413</v>
      </c>
      <c r="P1024" s="121" t="s">
        <v>381</v>
      </c>
      <c r="Q1024" s="121" t="s">
        <v>385</v>
      </c>
      <c r="R1024" s="121"/>
      <c r="S1024" s="133">
        <f>M1005</f>
        <v>0</v>
      </c>
      <c r="T1024" s="120"/>
      <c r="U1024" s="121" t="s">
        <v>293</v>
      </c>
      <c r="V1024" s="133">
        <f t="shared" si="458"/>
        <v>0</v>
      </c>
      <c r="W1024" s="133">
        <f>VLOOKUP(U1024,Sheet1!$B$6:$C$45,2,FALSE)*V1024</f>
        <v>0</v>
      </c>
      <c r="X1024" s="141"/>
      <c r="Y1024" s="122" t="s">
        <v>323</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409</v>
      </c>
      <c r="P1025" s="121"/>
      <c r="Q1025" s="121"/>
      <c r="R1025" s="121"/>
      <c r="S1025" s="133">
        <f>M1005</f>
        <v>0</v>
      </c>
      <c r="T1025" s="120"/>
      <c r="U1025" s="121" t="s">
        <v>365</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378</v>
      </c>
      <c r="L1026" s="128" t="s">
        <v>379</v>
      </c>
      <c r="N1026" s="129"/>
      <c r="O1026" s="130" t="s">
        <v>358</v>
      </c>
      <c r="P1026" s="131">
        <f>V1026+AA1026+AH1026</f>
        <v>0</v>
      </c>
      <c r="Q1026" s="131"/>
      <c r="R1026" s="131"/>
      <c r="S1026" s="130"/>
      <c r="T1026" s="127"/>
      <c r="U1026" s="126" t="s">
        <v>352</v>
      </c>
      <c r="V1026" s="127">
        <f>W1026*80</f>
        <v>0</v>
      </c>
      <c r="W1026" s="147">
        <f>SUM(W1005:W1025)</f>
        <v>0</v>
      </c>
      <c r="X1026" s="148"/>
      <c r="Y1026" s="127" t="s">
        <v>353</v>
      </c>
      <c r="Z1026" s="116"/>
      <c r="AA1026" s="116">
        <f>SUM(AA1005:AA1025)</f>
        <v>0</v>
      </c>
      <c r="AB1026" s="149"/>
      <c r="AC1026" s="149"/>
      <c r="AD1026" s="149"/>
      <c r="AE1026" s="149"/>
      <c r="AF1026" s="127" t="s">
        <v>357</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492</v>
      </c>
      <c r="C1027" s="217" t="str">
        <f>N1005</f>
        <v>Chilled Water AHU with medium VSD</v>
      </c>
      <c r="D1027" s="260" t="s">
        <v>679</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368</v>
      </c>
      <c r="N1027" s="160" t="str">
        <f>N1005</f>
        <v>Chilled Water AHU with medium VSD</v>
      </c>
      <c r="O1027" s="160" t="s">
        <v>366</v>
      </c>
      <c r="P1027" s="64" t="e">
        <f>P1026/M1005</f>
        <v>#DIV/0!</v>
      </c>
      <c r="Q1027" s="161"/>
      <c r="R1027" s="161"/>
      <c r="S1027" s="160"/>
      <c r="T1027" s="161"/>
      <c r="U1027" s="463" t="s">
        <v>367</v>
      </c>
      <c r="V1027" s="463"/>
      <c r="W1027" s="162" t="e">
        <f>W1026/M1005</f>
        <v>#DIV/0!</v>
      </c>
      <c r="X1027" s="163"/>
      <c r="Y1027" s="461" t="s">
        <v>366</v>
      </c>
      <c r="Z1027" s="461"/>
      <c r="AA1027" s="164" t="e">
        <f>AA1026/M1005</f>
        <v>#DIV/0!</v>
      </c>
      <c r="AB1027" s="161"/>
      <c r="AC1027" s="161"/>
      <c r="AD1027" s="161"/>
      <c r="AE1027" s="161"/>
      <c r="AF1027" s="461" t="s">
        <v>366</v>
      </c>
      <c r="AG1027" s="461"/>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453</v>
      </c>
      <c r="M1028" s="116" t="s">
        <v>107</v>
      </c>
      <c r="N1028" s="116" t="s">
        <v>108</v>
      </c>
      <c r="O1028" s="170" t="s">
        <v>387</v>
      </c>
      <c r="P1028" s="464" t="s">
        <v>376</v>
      </c>
      <c r="Q1028" s="464"/>
      <c r="R1028" s="101" t="s">
        <v>453</v>
      </c>
      <c r="S1028" s="116" t="s">
        <v>0</v>
      </c>
      <c r="T1028" s="118"/>
      <c r="U1028" s="116" t="s">
        <v>288</v>
      </c>
      <c r="V1028" s="116" t="s">
        <v>289</v>
      </c>
      <c r="W1028" s="116" t="s">
        <v>292</v>
      </c>
      <c r="X1028" s="140"/>
      <c r="Y1028" s="116" t="s">
        <v>290</v>
      </c>
      <c r="Z1028" s="116" t="s">
        <v>355</v>
      </c>
      <c r="AA1028" s="116" t="s">
        <v>356</v>
      </c>
      <c r="AB1028" s="116" t="s">
        <v>318</v>
      </c>
      <c r="AC1028" s="116" t="s">
        <v>319</v>
      </c>
      <c r="AD1028" s="116" t="s">
        <v>317</v>
      </c>
      <c r="AE1028" s="140"/>
      <c r="AF1028" s="116" t="s">
        <v>294</v>
      </c>
      <c r="AG1028" s="116" t="s">
        <v>355</v>
      </c>
      <c r="AH1028" s="116" t="s">
        <v>356</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582</v>
      </c>
      <c r="O1029" s="121" t="s">
        <v>348</v>
      </c>
      <c r="P1029" s="169" t="s">
        <v>380</v>
      </c>
      <c r="Q1029" s="169" t="s">
        <v>376</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412</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479</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324</v>
      </c>
      <c r="P1033" s="121"/>
      <c r="Q1033" s="121"/>
      <c r="R1033" s="121"/>
      <c r="S1033" s="133">
        <f>M1029</f>
        <v>0</v>
      </c>
      <c r="T1033" s="120"/>
      <c r="U1033" s="121" t="s">
        <v>293</v>
      </c>
      <c r="V1033" s="133">
        <f t="shared" si="468"/>
        <v>0</v>
      </c>
      <c r="W1033" s="133">
        <f>VLOOKUP(U1033,Sheet1!$B$6:$C$45,2,FALSE)*V1033</f>
        <v>0</v>
      </c>
      <c r="X1033" s="141"/>
      <c r="Y1033" s="135" t="s">
        <v>491</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391</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365</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364</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364</v>
      </c>
      <c r="V1043" s="133">
        <f t="shared" si="468"/>
        <v>0</v>
      </c>
      <c r="W1043" s="133">
        <f>VLOOKUP(U1043,Sheet1!$B$6:$C$45,2,FALSE)*V1043</f>
        <v>0</v>
      </c>
      <c r="X1043" s="141"/>
      <c r="Y1043" s="122" t="s">
        <v>322</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456</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330</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413</v>
      </c>
      <c r="P1048" s="121" t="s">
        <v>381</v>
      </c>
      <c r="Q1048" s="121" t="s">
        <v>385</v>
      </c>
      <c r="R1048" s="121"/>
      <c r="S1048" s="133">
        <f>M1029</f>
        <v>0</v>
      </c>
      <c r="T1048" s="120"/>
      <c r="U1048" s="121" t="s">
        <v>293</v>
      </c>
      <c r="V1048" s="133">
        <f t="shared" si="468"/>
        <v>0</v>
      </c>
      <c r="W1048" s="133">
        <f>VLOOKUP(U1048,Sheet1!$B$6:$C$45,2,FALSE)*V1048</f>
        <v>0</v>
      </c>
      <c r="X1048" s="141"/>
      <c r="Y1048" s="122" t="s">
        <v>323</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409</v>
      </c>
      <c r="P1049" s="121"/>
      <c r="Q1049" s="121"/>
      <c r="R1049" s="121"/>
      <c r="S1049" s="133">
        <f>M1029</f>
        <v>0</v>
      </c>
      <c r="T1049" s="120"/>
      <c r="U1049" s="121" t="s">
        <v>365</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378</v>
      </c>
      <c r="L1050" s="128" t="s">
        <v>379</v>
      </c>
      <c r="N1050" s="129"/>
      <c r="O1050" s="130" t="s">
        <v>358</v>
      </c>
      <c r="P1050" s="131">
        <f>V1050+AA1050+AH1050</f>
        <v>0</v>
      </c>
      <c r="Q1050" s="131"/>
      <c r="R1050" s="131"/>
      <c r="S1050" s="130"/>
      <c r="T1050" s="127"/>
      <c r="U1050" s="126" t="s">
        <v>352</v>
      </c>
      <c r="V1050" s="127">
        <f>W1050*80</f>
        <v>0</v>
      </c>
      <c r="W1050" s="147">
        <f>SUM(W1029:W1049)</f>
        <v>0</v>
      </c>
      <c r="X1050" s="148"/>
      <c r="Y1050" s="127" t="s">
        <v>353</v>
      </c>
      <c r="Z1050" s="116"/>
      <c r="AA1050" s="116">
        <f>SUM(AA1029:AA1049)</f>
        <v>0</v>
      </c>
      <c r="AB1050" s="149"/>
      <c r="AC1050" s="149"/>
      <c r="AD1050" s="149"/>
      <c r="AE1050" s="149"/>
      <c r="AF1050" s="127" t="s">
        <v>357</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492</v>
      </c>
      <c r="C1051" s="217" t="str">
        <f>N1029</f>
        <v>Chilled Water AHU with large VSD</v>
      </c>
      <c r="D1051" s="260" t="s">
        <v>679</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368</v>
      </c>
      <c r="N1051" s="160" t="str">
        <f>N1029</f>
        <v>Chilled Water AHU with large VSD</v>
      </c>
      <c r="O1051" s="160" t="s">
        <v>366</v>
      </c>
      <c r="P1051" s="64" t="e">
        <f>P1050/M1029</f>
        <v>#DIV/0!</v>
      </c>
      <c r="Q1051" s="161"/>
      <c r="R1051" s="161"/>
      <c r="S1051" s="160"/>
      <c r="T1051" s="161"/>
      <c r="U1051" s="463" t="s">
        <v>367</v>
      </c>
      <c r="V1051" s="463"/>
      <c r="W1051" s="162" t="e">
        <f>W1050/M1029</f>
        <v>#DIV/0!</v>
      </c>
      <c r="X1051" s="163"/>
      <c r="Y1051" s="461" t="s">
        <v>366</v>
      </c>
      <c r="Z1051" s="461"/>
      <c r="AA1051" s="164" t="e">
        <f>AA1050/M1029</f>
        <v>#DIV/0!</v>
      </c>
      <c r="AB1051" s="161"/>
      <c r="AC1051" s="161"/>
      <c r="AD1051" s="161"/>
      <c r="AE1051" s="161"/>
      <c r="AF1051" s="461" t="s">
        <v>366</v>
      </c>
      <c r="AG1051" s="461"/>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453</v>
      </c>
      <c r="M1052" s="116" t="s">
        <v>107</v>
      </c>
      <c r="N1052" s="116" t="s">
        <v>108</v>
      </c>
      <c r="O1052" s="170" t="s">
        <v>387</v>
      </c>
      <c r="P1052" s="464" t="s">
        <v>376</v>
      </c>
      <c r="Q1052" s="464"/>
      <c r="R1052" s="101" t="s">
        <v>453</v>
      </c>
      <c r="S1052" s="116" t="s">
        <v>0</v>
      </c>
      <c r="T1052" s="118"/>
      <c r="U1052" s="116" t="s">
        <v>288</v>
      </c>
      <c r="V1052" s="116" t="s">
        <v>289</v>
      </c>
      <c r="W1052" s="116" t="s">
        <v>292</v>
      </c>
      <c r="X1052" s="140"/>
      <c r="Y1052" s="116" t="s">
        <v>290</v>
      </c>
      <c r="Z1052" s="116" t="s">
        <v>355</v>
      </c>
      <c r="AA1052" s="116" t="s">
        <v>356</v>
      </c>
      <c r="AB1052" s="116" t="s">
        <v>318</v>
      </c>
      <c r="AC1052" s="116" t="s">
        <v>319</v>
      </c>
      <c r="AD1052" s="116" t="s">
        <v>317</v>
      </c>
      <c r="AE1052" s="140"/>
      <c r="AF1052" s="116" t="s">
        <v>294</v>
      </c>
      <c r="AG1052" s="116" t="s">
        <v>355</v>
      </c>
      <c r="AH1052" s="116" t="s">
        <v>356</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550</v>
      </c>
      <c r="O1053" s="121" t="s">
        <v>348</v>
      </c>
      <c r="P1053" s="169" t="s">
        <v>380</v>
      </c>
      <c r="Q1053" s="169" t="s">
        <v>376</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412</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479</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324</v>
      </c>
      <c r="P1057" s="121"/>
      <c r="Q1057" s="121"/>
      <c r="R1057" s="121"/>
      <c r="S1057" s="133">
        <f>M1053</f>
        <v>0</v>
      </c>
      <c r="T1057" s="120"/>
      <c r="U1057" s="121" t="s">
        <v>293</v>
      </c>
      <c r="V1057" s="133">
        <f t="shared" si="483"/>
        <v>0</v>
      </c>
      <c r="W1057" s="133">
        <f>VLOOKUP(U1057,Sheet1!$B$6:$C$45,2,FALSE)*V1057</f>
        <v>0</v>
      </c>
      <c r="X1057" s="141"/>
      <c r="Y1057" s="135" t="s">
        <v>544</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391</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365</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364</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364</v>
      </c>
      <c r="V1067" s="133">
        <f t="shared" si="483"/>
        <v>0</v>
      </c>
      <c r="W1067" s="133">
        <f>VLOOKUP(U1067,Sheet1!$B$6:$C$45,2,FALSE)*V1067</f>
        <v>0</v>
      </c>
      <c r="X1067" s="141"/>
      <c r="Y1067" s="122" t="s">
        <v>322</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456</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330</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413</v>
      </c>
      <c r="P1072" s="121" t="s">
        <v>381</v>
      </c>
      <c r="Q1072" s="121" t="s">
        <v>385</v>
      </c>
      <c r="R1072" s="121"/>
      <c r="S1072" s="133">
        <f>M1053</f>
        <v>0</v>
      </c>
      <c r="T1072" s="120"/>
      <c r="U1072" s="121" t="s">
        <v>293</v>
      </c>
      <c r="V1072" s="133">
        <f t="shared" si="483"/>
        <v>0</v>
      </c>
      <c r="W1072" s="133">
        <f>VLOOKUP(U1072,Sheet1!$B$6:$C$45,2,FALSE)*V1072</f>
        <v>0</v>
      </c>
      <c r="X1072" s="141"/>
      <c r="Y1072" s="122" t="s">
        <v>323</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409</v>
      </c>
      <c r="P1073" s="121"/>
      <c r="Q1073" s="121"/>
      <c r="R1073" s="121"/>
      <c r="S1073" s="133">
        <f>M1053</f>
        <v>0</v>
      </c>
      <c r="T1073" s="120"/>
      <c r="U1073" s="121" t="s">
        <v>365</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378</v>
      </c>
      <c r="L1074" s="128" t="s">
        <v>379</v>
      </c>
      <c r="N1074" s="129"/>
      <c r="O1074" s="130" t="s">
        <v>358</v>
      </c>
      <c r="P1074" s="131">
        <f>V1074+AA1074+AH1074</f>
        <v>0</v>
      </c>
      <c r="Q1074" s="131"/>
      <c r="R1074" s="131"/>
      <c r="S1074" s="130"/>
      <c r="T1074" s="127"/>
      <c r="U1074" s="126" t="s">
        <v>352</v>
      </c>
      <c r="V1074" s="127">
        <f>W1074*80</f>
        <v>0</v>
      </c>
      <c r="W1074" s="147">
        <f>SUM(W1053:W1073)</f>
        <v>0</v>
      </c>
      <c r="X1074" s="148"/>
      <c r="Y1074" s="127" t="s">
        <v>353</v>
      </c>
      <c r="Z1074" s="116"/>
      <c r="AA1074" s="116">
        <f>SUM(AA1053:AA1073)</f>
        <v>0</v>
      </c>
      <c r="AB1074" s="149"/>
      <c r="AC1074" s="149"/>
      <c r="AD1074" s="149"/>
      <c r="AE1074" s="149"/>
      <c r="AF1074" s="127" t="s">
        <v>357</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492</v>
      </c>
      <c r="C1075" s="217" t="str">
        <f>N1053</f>
        <v>Chilled Water AHU with small VSD</v>
      </c>
      <c r="D1075" s="260" t="s">
        <v>679</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368</v>
      </c>
      <c r="N1075" s="160" t="str">
        <f>N1053</f>
        <v>Chilled Water AHU with small VSD</v>
      </c>
      <c r="O1075" s="160" t="s">
        <v>366</v>
      </c>
      <c r="P1075" s="64" t="e">
        <f>P1074/M1053</f>
        <v>#DIV/0!</v>
      </c>
      <c r="Q1075" s="161"/>
      <c r="R1075" s="161"/>
      <c r="S1075" s="160"/>
      <c r="T1075" s="161"/>
      <c r="U1075" s="463" t="s">
        <v>367</v>
      </c>
      <c r="V1075" s="463"/>
      <c r="W1075" s="162" t="e">
        <f>W1074/M1053</f>
        <v>#DIV/0!</v>
      </c>
      <c r="X1075" s="163"/>
      <c r="Y1075" s="461" t="s">
        <v>366</v>
      </c>
      <c r="Z1075" s="461"/>
      <c r="AA1075" s="164" t="e">
        <f>AA1074/M1053</f>
        <v>#DIV/0!</v>
      </c>
      <c r="AB1075" s="161"/>
      <c r="AC1075" s="161"/>
      <c r="AD1075" s="161"/>
      <c r="AE1075" s="161"/>
      <c r="AF1075" s="461" t="s">
        <v>366</v>
      </c>
      <c r="AG1075" s="461"/>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453</v>
      </c>
      <c r="M1076" s="116" t="s">
        <v>107</v>
      </c>
      <c r="N1076" s="116" t="s">
        <v>108</v>
      </c>
      <c r="O1076" s="170" t="s">
        <v>387</v>
      </c>
      <c r="P1076" s="464" t="s">
        <v>376</v>
      </c>
      <c r="Q1076" s="464"/>
      <c r="R1076" s="101" t="s">
        <v>453</v>
      </c>
      <c r="S1076" s="116" t="s">
        <v>0</v>
      </c>
      <c r="T1076" s="118"/>
      <c r="U1076" s="116" t="s">
        <v>288</v>
      </c>
      <c r="V1076" s="116" t="s">
        <v>289</v>
      </c>
      <c r="W1076" s="116" t="s">
        <v>292</v>
      </c>
      <c r="X1076" s="140"/>
      <c r="Y1076" s="116" t="s">
        <v>290</v>
      </c>
      <c r="Z1076" s="116" t="s">
        <v>355</v>
      </c>
      <c r="AA1076" s="116" t="s">
        <v>356</v>
      </c>
      <c r="AB1076" s="116" t="s">
        <v>318</v>
      </c>
      <c r="AC1076" s="116" t="s">
        <v>319</v>
      </c>
      <c r="AD1076" s="116" t="s">
        <v>317</v>
      </c>
      <c r="AE1076" s="140"/>
      <c r="AF1076" s="116" t="s">
        <v>294</v>
      </c>
      <c r="AG1076" s="116" t="s">
        <v>355</v>
      </c>
      <c r="AH1076" s="116" t="s">
        <v>356</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482</v>
      </c>
      <c r="O1077" s="121" t="s">
        <v>348</v>
      </c>
      <c r="P1077" s="169" t="s">
        <v>380</v>
      </c>
      <c r="Q1077" s="169" t="s">
        <v>376</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412</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479</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324</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391</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365</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505</v>
      </c>
      <c r="P1087" s="121"/>
      <c r="Q1087" s="121"/>
      <c r="R1087" s="121"/>
      <c r="S1087" s="133">
        <f>M1077</f>
        <v>0</v>
      </c>
      <c r="T1087" s="120"/>
      <c r="U1087" s="121" t="s">
        <v>364</v>
      </c>
      <c r="V1087" s="133">
        <f t="shared" si="493"/>
        <v>0</v>
      </c>
      <c r="W1087" s="133">
        <f>VLOOKUP(U1087,Sheet1!$B$6:$C$45,2,FALSE)*V1087</f>
        <v>0</v>
      </c>
      <c r="X1087" s="141"/>
      <c r="Y1087" s="122" t="s">
        <v>326</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364</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364</v>
      </c>
      <c r="V1091" s="133">
        <f t="shared" si="493"/>
        <v>0</v>
      </c>
      <c r="W1091" s="133">
        <f>VLOOKUP(U1091,Sheet1!$B$6:$C$45,2,FALSE)*V1091</f>
        <v>0</v>
      </c>
      <c r="X1091" s="141"/>
      <c r="Y1091" s="122" t="s">
        <v>322</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456</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330</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413</v>
      </c>
      <c r="P1096" s="121" t="s">
        <v>381</v>
      </c>
      <c r="Q1096" s="121" t="s">
        <v>385</v>
      </c>
      <c r="R1096" s="121"/>
      <c r="S1096" s="133">
        <f>M1077</f>
        <v>0</v>
      </c>
      <c r="T1096" s="120"/>
      <c r="U1096" s="121" t="s">
        <v>293</v>
      </c>
      <c r="V1096" s="133">
        <f t="shared" si="493"/>
        <v>0</v>
      </c>
      <c r="W1096" s="133">
        <f>VLOOKUP(U1096,Sheet1!$B$6:$C$45,2,FALSE)*V1096</f>
        <v>0</v>
      </c>
      <c r="X1096" s="141"/>
      <c r="Y1096" s="122" t="s">
        <v>323</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409</v>
      </c>
      <c r="P1097" s="121"/>
      <c r="Q1097" s="121"/>
      <c r="R1097" s="121"/>
      <c r="S1097" s="133">
        <f>M1077</f>
        <v>0</v>
      </c>
      <c r="T1097" s="120"/>
      <c r="U1097" s="121" t="s">
        <v>365</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378</v>
      </c>
      <c r="L1098" s="128" t="s">
        <v>379</v>
      </c>
      <c r="N1098" s="129"/>
      <c r="O1098" s="130" t="s">
        <v>358</v>
      </c>
      <c r="P1098" s="131">
        <f>V1098+AA1098+AH1098</f>
        <v>0</v>
      </c>
      <c r="Q1098" s="131"/>
      <c r="R1098" s="131"/>
      <c r="S1098" s="130"/>
      <c r="T1098" s="127"/>
      <c r="U1098" s="126" t="s">
        <v>352</v>
      </c>
      <c r="V1098" s="127">
        <f>W1098*80</f>
        <v>0</v>
      </c>
      <c r="W1098" s="147">
        <f>SUM(W1077:W1097)</f>
        <v>0</v>
      </c>
      <c r="X1098" s="148"/>
      <c r="Y1098" s="127" t="s">
        <v>353</v>
      </c>
      <c r="Z1098" s="116"/>
      <c r="AA1098" s="116">
        <f>SUM(AA1077:AA1097)</f>
        <v>0</v>
      </c>
      <c r="AB1098" s="149"/>
      <c r="AC1098" s="149"/>
      <c r="AD1098" s="149"/>
      <c r="AE1098" s="149"/>
      <c r="AF1098" s="127" t="s">
        <v>357</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492</v>
      </c>
      <c r="C1099" s="217" t="str">
        <f>N1077</f>
        <v>Fire essential Chilled Water AHU with VSD</v>
      </c>
      <c r="D1099" s="260" t="s">
        <v>679</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368</v>
      </c>
      <c r="N1099" s="160" t="str">
        <f>N1077</f>
        <v>Fire essential Chilled Water AHU with VSD</v>
      </c>
      <c r="O1099" s="160" t="s">
        <v>366</v>
      </c>
      <c r="P1099" s="64" t="e">
        <f>P1098/M1077</f>
        <v>#DIV/0!</v>
      </c>
      <c r="Q1099" s="161"/>
      <c r="R1099" s="161"/>
      <c r="S1099" s="160"/>
      <c r="T1099" s="161"/>
      <c r="U1099" s="463" t="s">
        <v>367</v>
      </c>
      <c r="V1099" s="463"/>
      <c r="W1099" s="162" t="e">
        <f>W1098/M1077</f>
        <v>#DIV/0!</v>
      </c>
      <c r="X1099" s="163"/>
      <c r="Y1099" s="461" t="s">
        <v>366</v>
      </c>
      <c r="Z1099" s="461"/>
      <c r="AA1099" s="164" t="e">
        <f>AA1098/M1077</f>
        <v>#DIV/0!</v>
      </c>
      <c r="AB1099" s="161"/>
      <c r="AC1099" s="161"/>
      <c r="AD1099" s="161"/>
      <c r="AE1099" s="161"/>
      <c r="AF1099" s="461" t="s">
        <v>366</v>
      </c>
      <c r="AG1099" s="461"/>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453</v>
      </c>
      <c r="M1100" s="116" t="s">
        <v>107</v>
      </c>
      <c r="N1100" s="116" t="s">
        <v>108</v>
      </c>
      <c r="O1100" s="170" t="s">
        <v>387</v>
      </c>
      <c r="P1100" s="462" t="s">
        <v>376</v>
      </c>
      <c r="Q1100" s="462"/>
      <c r="R1100" s="101" t="s">
        <v>453</v>
      </c>
      <c r="S1100" s="116" t="s">
        <v>0</v>
      </c>
      <c r="T1100" s="118"/>
      <c r="U1100" s="116" t="s">
        <v>288</v>
      </c>
      <c r="V1100" s="116" t="s">
        <v>289</v>
      </c>
      <c r="W1100" s="116" t="s">
        <v>292</v>
      </c>
      <c r="X1100" s="140"/>
      <c r="Y1100" s="116" t="s">
        <v>290</v>
      </c>
      <c r="Z1100" s="116" t="s">
        <v>355</v>
      </c>
      <c r="AA1100" s="116" t="s">
        <v>356</v>
      </c>
      <c r="AB1100" s="116" t="s">
        <v>318</v>
      </c>
      <c r="AC1100" s="116" t="s">
        <v>319</v>
      </c>
      <c r="AD1100" s="116" t="s">
        <v>317</v>
      </c>
      <c r="AE1100" s="140"/>
      <c r="AF1100" s="116" t="s">
        <v>294</v>
      </c>
      <c r="AG1100" s="116" t="s">
        <v>355</v>
      </c>
      <c r="AH1100" s="116" t="s">
        <v>356</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482</v>
      </c>
      <c r="O1101" s="121" t="s">
        <v>348</v>
      </c>
      <c r="P1101" s="169" t="s">
        <v>380</v>
      </c>
      <c r="Q1101" s="169" t="s">
        <v>376</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412</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479</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324</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391</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365</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505</v>
      </c>
      <c r="P1111" s="121"/>
      <c r="Q1111" s="121"/>
      <c r="R1111" s="121"/>
      <c r="S1111" s="133">
        <f>M1101</f>
        <v>0</v>
      </c>
      <c r="T1111" s="120"/>
      <c r="U1111" s="121" t="s">
        <v>364</v>
      </c>
      <c r="V1111" s="133">
        <f t="shared" si="502"/>
        <v>0</v>
      </c>
      <c r="W1111" s="133">
        <f>VLOOKUP(U1111,Sheet1!$B$6:$C$45,2,FALSE)*V1111</f>
        <v>0</v>
      </c>
      <c r="X1111" s="141"/>
      <c r="Y1111" s="122" t="s">
        <v>326</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364</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364</v>
      </c>
      <c r="V1115" s="133">
        <f t="shared" si="502"/>
        <v>0</v>
      </c>
      <c r="W1115" s="133">
        <f>VLOOKUP(U1115,Sheet1!$B$6:$C$45,2,FALSE)*V1115</f>
        <v>0</v>
      </c>
      <c r="X1115" s="141"/>
      <c r="Y1115" s="122" t="s">
        <v>322</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456</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330</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413</v>
      </c>
      <c r="P1120" s="121" t="s">
        <v>381</v>
      </c>
      <c r="Q1120" s="121" t="s">
        <v>385</v>
      </c>
      <c r="R1120" s="121"/>
      <c r="S1120" s="133">
        <f>M1101</f>
        <v>0</v>
      </c>
      <c r="T1120" s="120"/>
      <c r="U1120" s="121" t="s">
        <v>293</v>
      </c>
      <c r="V1120" s="133">
        <f t="shared" si="502"/>
        <v>0</v>
      </c>
      <c r="W1120" s="133">
        <f>VLOOKUP(U1120,Sheet1!$B$6:$C$45,2,FALSE)*V1120</f>
        <v>0</v>
      </c>
      <c r="X1120" s="141"/>
      <c r="Y1120" s="122" t="s">
        <v>323</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409</v>
      </c>
      <c r="P1121" s="121"/>
      <c r="Q1121" s="121"/>
      <c r="R1121" s="121"/>
      <c r="S1121" s="133">
        <f>M1101</f>
        <v>0</v>
      </c>
      <c r="T1121" s="120"/>
      <c r="U1121" s="121" t="s">
        <v>365</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378</v>
      </c>
      <c r="L1122" s="128" t="s">
        <v>379</v>
      </c>
      <c r="N1122" s="129"/>
      <c r="O1122" s="130" t="s">
        <v>358</v>
      </c>
      <c r="P1122" s="131">
        <f>V1122+AA1122+AH1122</f>
        <v>0</v>
      </c>
      <c r="Q1122" s="131"/>
      <c r="R1122" s="131"/>
      <c r="S1122" s="130"/>
      <c r="T1122" s="127"/>
      <c r="U1122" s="126" t="s">
        <v>352</v>
      </c>
      <c r="V1122" s="127">
        <f>W1122*80</f>
        <v>0</v>
      </c>
      <c r="W1122" s="147">
        <f>SUM(W1101:W1121)</f>
        <v>0</v>
      </c>
      <c r="X1122" s="148"/>
      <c r="Y1122" s="127" t="s">
        <v>353</v>
      </c>
      <c r="Z1122" s="116"/>
      <c r="AA1122" s="116">
        <f>SUM(AA1101:AA1121)</f>
        <v>0</v>
      </c>
      <c r="AB1122" s="149"/>
      <c r="AC1122" s="149"/>
      <c r="AD1122" s="149"/>
      <c r="AE1122" s="149"/>
      <c r="AF1122" s="127" t="s">
        <v>357</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492</v>
      </c>
      <c r="C1123" s="217" t="str">
        <f>N1101</f>
        <v>Fire essential Chilled Water AHU with VSD</v>
      </c>
      <c r="D1123" s="260" t="s">
        <v>679</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368</v>
      </c>
      <c r="N1123" s="160" t="str">
        <f>N1101</f>
        <v>Fire essential Chilled Water AHU with VSD</v>
      </c>
      <c r="O1123" s="160" t="s">
        <v>366</v>
      </c>
      <c r="P1123" s="171" t="e">
        <f>P1122/M1101</f>
        <v>#DIV/0!</v>
      </c>
      <c r="Q1123" s="161"/>
      <c r="R1123" s="161"/>
      <c r="S1123" s="160"/>
      <c r="T1123" s="161"/>
      <c r="U1123" s="463" t="s">
        <v>367</v>
      </c>
      <c r="V1123" s="463"/>
      <c r="W1123" s="162" t="e">
        <f>W1122/M1101</f>
        <v>#DIV/0!</v>
      </c>
      <c r="X1123" s="163"/>
      <c r="Y1123" s="461" t="s">
        <v>366</v>
      </c>
      <c r="Z1123" s="461"/>
      <c r="AA1123" s="164" t="e">
        <f>AA1122/M1101</f>
        <v>#DIV/0!</v>
      </c>
      <c r="AB1123" s="161"/>
      <c r="AC1123" s="161"/>
      <c r="AD1123" s="161"/>
      <c r="AE1123" s="161"/>
      <c r="AF1123" s="461" t="s">
        <v>366</v>
      </c>
      <c r="AG1123" s="461"/>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453</v>
      </c>
      <c r="M1124" s="116" t="s">
        <v>107</v>
      </c>
      <c r="N1124" s="116" t="s">
        <v>108</v>
      </c>
      <c r="O1124" s="170" t="s">
        <v>387</v>
      </c>
      <c r="P1124" s="462" t="s">
        <v>376</v>
      </c>
      <c r="Q1124" s="462"/>
      <c r="R1124" s="101" t="s">
        <v>453</v>
      </c>
      <c r="S1124" s="116" t="s">
        <v>0</v>
      </c>
      <c r="T1124" s="118"/>
      <c r="U1124" s="116" t="s">
        <v>288</v>
      </c>
      <c r="V1124" s="116" t="s">
        <v>289</v>
      </c>
      <c r="W1124" s="116" t="s">
        <v>292</v>
      </c>
      <c r="X1124" s="140"/>
      <c r="Y1124" s="116" t="s">
        <v>290</v>
      </c>
      <c r="Z1124" s="116" t="s">
        <v>355</v>
      </c>
      <c r="AA1124" s="116" t="s">
        <v>356</v>
      </c>
      <c r="AB1124" s="116" t="s">
        <v>318</v>
      </c>
      <c r="AC1124" s="116" t="s">
        <v>319</v>
      </c>
      <c r="AD1124" s="116" t="s">
        <v>317</v>
      </c>
      <c r="AE1124" s="140"/>
      <c r="AF1124" s="116" t="s">
        <v>294</v>
      </c>
      <c r="AG1124" s="116" t="s">
        <v>355</v>
      </c>
      <c r="AH1124" s="116" t="s">
        <v>356</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564</v>
      </c>
      <c r="O1125" s="121" t="s">
        <v>348</v>
      </c>
      <c r="P1125" s="169" t="s">
        <v>380</v>
      </c>
      <c r="Q1125" s="169" t="s">
        <v>376</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412</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506</v>
      </c>
      <c r="P1128" s="121"/>
      <c r="Q1128" s="121"/>
      <c r="R1128" s="121"/>
      <c r="S1128" s="133">
        <f>M1125</f>
        <v>0</v>
      </c>
      <c r="T1128" s="120"/>
      <c r="U1128" s="117" t="s">
        <v>479</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484</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365</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507</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364</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485</v>
      </c>
      <c r="P1139" s="121"/>
      <c r="Q1139" s="121"/>
      <c r="R1139" s="121"/>
      <c r="S1139" s="133">
        <f>M1125</f>
        <v>0</v>
      </c>
      <c r="T1139" s="120"/>
      <c r="U1139" s="121" t="s">
        <v>364</v>
      </c>
      <c r="V1139" s="133">
        <f t="shared" si="517"/>
        <v>0</v>
      </c>
      <c r="W1139" s="133">
        <f>VLOOKUP(U1139,Sheet1!$B$6:$C$45,2,FALSE)*V1139</f>
        <v>0</v>
      </c>
      <c r="X1139" s="141"/>
      <c r="Y1139" s="122" t="s">
        <v>322</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456</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330</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409</v>
      </c>
      <c r="P1145" s="121"/>
      <c r="Q1145" s="121"/>
      <c r="R1145" s="121"/>
      <c r="S1145" s="133">
        <f>M1125</f>
        <v>0</v>
      </c>
      <c r="T1145" s="120"/>
      <c r="U1145" s="121" t="s">
        <v>365</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378</v>
      </c>
      <c r="L1146" s="128" t="s">
        <v>379</v>
      </c>
      <c r="N1146" s="129"/>
      <c r="O1146" s="130" t="s">
        <v>358</v>
      </c>
      <c r="P1146" s="155">
        <f>V1146+AA1146+AH1146</f>
        <v>0</v>
      </c>
      <c r="Q1146" s="155"/>
      <c r="R1146" s="131"/>
      <c r="S1146" s="130"/>
      <c r="T1146" s="127"/>
      <c r="U1146" s="126" t="s">
        <v>352</v>
      </c>
      <c r="V1146" s="127">
        <f>W1146*80</f>
        <v>0</v>
      </c>
      <c r="W1146" s="147">
        <f>SUM(W1125:W1145)</f>
        <v>0</v>
      </c>
      <c r="X1146" s="148"/>
      <c r="Y1146" s="127" t="s">
        <v>353</v>
      </c>
      <c r="Z1146" s="116"/>
      <c r="AA1146" s="116">
        <f>SUM(AA1125:AA1145)</f>
        <v>0</v>
      </c>
      <c r="AB1146" s="149"/>
      <c r="AC1146" s="149"/>
      <c r="AD1146" s="149"/>
      <c r="AE1146" s="149"/>
      <c r="AF1146" s="127" t="s">
        <v>357</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492</v>
      </c>
      <c r="C1147" s="217" t="str">
        <f>N1125</f>
        <v>Chilled Water Precision Cooling Unit</v>
      </c>
      <c r="D1147" s="260" t="s">
        <v>679</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368</v>
      </c>
      <c r="N1147" s="160" t="str">
        <f>N1125</f>
        <v>Chilled Water Precision Cooling Unit</v>
      </c>
      <c r="O1147" s="185" t="s">
        <v>366</v>
      </c>
      <c r="P1147" s="203" t="e">
        <f>P1146/M1125</f>
        <v>#DIV/0!</v>
      </c>
      <c r="Q1147" s="195"/>
      <c r="R1147" s="188"/>
      <c r="S1147" s="160"/>
      <c r="T1147" s="161"/>
      <c r="U1147" s="463" t="s">
        <v>367</v>
      </c>
      <c r="V1147" s="463"/>
      <c r="W1147" s="162" t="e">
        <f>W1146/M1125</f>
        <v>#DIV/0!</v>
      </c>
      <c r="X1147" s="163"/>
      <c r="Y1147" s="461" t="s">
        <v>366</v>
      </c>
      <c r="Z1147" s="461"/>
      <c r="AA1147" s="164" t="e">
        <f>AA1146/M1125</f>
        <v>#DIV/0!</v>
      </c>
      <c r="AB1147" s="161"/>
      <c r="AC1147" s="161"/>
      <c r="AD1147" s="161"/>
      <c r="AE1147" s="161"/>
      <c r="AF1147" s="461" t="s">
        <v>366</v>
      </c>
      <c r="AG1147" s="461"/>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453</v>
      </c>
      <c r="M1148" s="116" t="s">
        <v>107</v>
      </c>
      <c r="N1148" s="116" t="s">
        <v>108</v>
      </c>
      <c r="O1148" s="170" t="s">
        <v>387</v>
      </c>
      <c r="P1148" s="462" t="s">
        <v>376</v>
      </c>
      <c r="Q1148" s="462"/>
      <c r="R1148" s="101" t="s">
        <v>453</v>
      </c>
      <c r="S1148" s="116" t="s">
        <v>0</v>
      </c>
      <c r="T1148" s="118"/>
      <c r="U1148" s="116" t="s">
        <v>288</v>
      </c>
      <c r="V1148" s="116" t="s">
        <v>289</v>
      </c>
      <c r="W1148" s="116" t="s">
        <v>292</v>
      </c>
      <c r="X1148" s="140"/>
      <c r="Y1148" s="116" t="s">
        <v>290</v>
      </c>
      <c r="Z1148" s="116" t="s">
        <v>355</v>
      </c>
      <c r="AA1148" s="116" t="s">
        <v>356</v>
      </c>
      <c r="AB1148" s="116" t="s">
        <v>318</v>
      </c>
      <c r="AC1148" s="116" t="s">
        <v>319</v>
      </c>
      <c r="AD1148" s="116" t="s">
        <v>317</v>
      </c>
      <c r="AE1148" s="140"/>
      <c r="AF1148" s="116" t="s">
        <v>294</v>
      </c>
      <c r="AG1148" s="116" t="s">
        <v>355</v>
      </c>
      <c r="AH1148" s="116" t="s">
        <v>356</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483</v>
      </c>
      <c r="O1149" s="121" t="s">
        <v>348</v>
      </c>
      <c r="P1149" s="169" t="s">
        <v>380</v>
      </c>
      <c r="Q1149" s="169" t="s">
        <v>376</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412</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506</v>
      </c>
      <c r="P1152" s="121"/>
      <c r="Q1152" s="121"/>
      <c r="R1152" s="121"/>
      <c r="S1152" s="133">
        <f>M1149</f>
        <v>0</v>
      </c>
      <c r="T1152" s="120"/>
      <c r="U1152" s="117" t="s">
        <v>479</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484</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365</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501</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507</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364</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485</v>
      </c>
      <c r="P1163" s="121"/>
      <c r="Q1163" s="121"/>
      <c r="R1163" s="121"/>
      <c r="S1163" s="133">
        <f>M1149</f>
        <v>0</v>
      </c>
      <c r="T1163" s="120"/>
      <c r="U1163" s="121" t="s">
        <v>364</v>
      </c>
      <c r="V1163" s="133">
        <f t="shared" si="527"/>
        <v>0</v>
      </c>
      <c r="W1163" s="133">
        <f>VLOOKUP(U1163,Sheet1!$B$6:$C$45,2,FALSE)*V1163</f>
        <v>0</v>
      </c>
      <c r="X1163" s="141"/>
      <c r="Y1163" s="122" t="s">
        <v>322</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456</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330</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413</v>
      </c>
      <c r="P1168" s="121" t="s">
        <v>381</v>
      </c>
      <c r="Q1168" s="121" t="s">
        <v>385</v>
      </c>
      <c r="R1168" s="121"/>
      <c r="S1168" s="133">
        <f>M1149</f>
        <v>0</v>
      </c>
      <c r="T1168" s="120"/>
      <c r="U1168" s="121" t="s">
        <v>293</v>
      </c>
      <c r="V1168" s="133">
        <f t="shared" si="527"/>
        <v>0</v>
      </c>
      <c r="W1168" s="133">
        <f>VLOOKUP(U1168,Sheet1!$B$6:$C$45,2,FALSE)*V1168</f>
        <v>0</v>
      </c>
      <c r="X1168" s="141"/>
      <c r="Y1168" s="122" t="s">
        <v>323</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409</v>
      </c>
      <c r="P1169" s="121"/>
      <c r="Q1169" s="121"/>
      <c r="R1169" s="121"/>
      <c r="S1169" s="133">
        <f>M1149</f>
        <v>0</v>
      </c>
      <c r="T1169" s="120"/>
      <c r="U1169" s="121" t="s">
        <v>365</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378</v>
      </c>
      <c r="L1170" s="128" t="s">
        <v>379</v>
      </c>
      <c r="N1170" s="129"/>
      <c r="O1170" s="130" t="s">
        <v>358</v>
      </c>
      <c r="P1170" s="155">
        <f>V1170+AA1170+AH1170</f>
        <v>0</v>
      </c>
      <c r="Q1170" s="155"/>
      <c r="R1170" s="131"/>
      <c r="S1170" s="130"/>
      <c r="T1170" s="127"/>
      <c r="U1170" s="126" t="s">
        <v>352</v>
      </c>
      <c r="V1170" s="127">
        <f>W1170*80</f>
        <v>0</v>
      </c>
      <c r="W1170" s="147">
        <f>SUM(W1149:W1169)</f>
        <v>0</v>
      </c>
      <c r="X1170" s="148"/>
      <c r="Y1170" s="127" t="s">
        <v>353</v>
      </c>
      <c r="Z1170" s="116"/>
      <c r="AA1170" s="116">
        <f>SUM(AA1149:AA1169)</f>
        <v>0</v>
      </c>
      <c r="AB1170" s="149"/>
      <c r="AC1170" s="149"/>
      <c r="AD1170" s="149"/>
      <c r="AE1170" s="149"/>
      <c r="AF1170" s="127" t="s">
        <v>357</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492</v>
      </c>
      <c r="C1171" s="217" t="str">
        <f>N1149</f>
        <v>Chilled Water Fancoil Unit ( single speed)</v>
      </c>
      <c r="D1171" s="260" t="s">
        <v>678</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368</v>
      </c>
      <c r="N1171" s="160" t="str">
        <f>N1149</f>
        <v>Chilled Water Fancoil Unit ( single speed)</v>
      </c>
      <c r="O1171" s="185" t="s">
        <v>366</v>
      </c>
      <c r="P1171" s="203" t="e">
        <f>P1170/M1149</f>
        <v>#DIV/0!</v>
      </c>
      <c r="Q1171" s="195"/>
      <c r="R1171" s="188"/>
      <c r="S1171" s="160"/>
      <c r="T1171" s="161"/>
      <c r="U1171" s="463" t="s">
        <v>367</v>
      </c>
      <c r="V1171" s="463"/>
      <c r="W1171" s="162" t="e">
        <f>W1170/M1149</f>
        <v>#DIV/0!</v>
      </c>
      <c r="X1171" s="163"/>
      <c r="Y1171" s="461" t="s">
        <v>366</v>
      </c>
      <c r="Z1171" s="461"/>
      <c r="AA1171" s="164" t="e">
        <f>AA1170/M1149</f>
        <v>#DIV/0!</v>
      </c>
      <c r="AB1171" s="161"/>
      <c r="AC1171" s="161"/>
      <c r="AD1171" s="161"/>
      <c r="AE1171" s="161"/>
      <c r="AF1171" s="461" t="s">
        <v>366</v>
      </c>
      <c r="AG1171" s="461"/>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492</v>
      </c>
      <c r="D1172" s="261" t="str">
        <f>IF(B1172="Shopping List",IF(ISNUMBER(SEARCH("MSSB",C1172)),"MSSB",IF(ISNUMBER(SEARCH("local",C1172)),"LOCAL","")))</f>
        <v/>
      </c>
      <c r="I1172" s="269">
        <f>SUM(I1196:I1630)</f>
        <v>0</v>
      </c>
      <c r="J1172" s="261" t="s">
        <v>497</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493</v>
      </c>
      <c r="D1173" s="211"/>
      <c r="E1173" s="218"/>
      <c r="F1173" s="218"/>
      <c r="G1173" s="218"/>
      <c r="H1173" s="218"/>
      <c r="I1173" s="240" t="s">
        <v>0</v>
      </c>
      <c r="J1173" s="116" t="s">
        <v>388</v>
      </c>
      <c r="K1173" s="222" t="s">
        <v>354</v>
      </c>
      <c r="L1173" s="253" t="s">
        <v>389</v>
      </c>
      <c r="M1173" s="116" t="s">
        <v>107</v>
      </c>
      <c r="N1173" s="116" t="s">
        <v>108</v>
      </c>
      <c r="O1173" s="170" t="s">
        <v>387</v>
      </c>
      <c r="P1173" s="462" t="s">
        <v>376</v>
      </c>
      <c r="Q1173" s="462"/>
      <c r="R1173" s="101" t="s">
        <v>453</v>
      </c>
      <c r="S1173" s="116" t="s">
        <v>0</v>
      </c>
      <c r="T1173" s="118"/>
      <c r="U1173" s="116" t="s">
        <v>288</v>
      </c>
      <c r="V1173" s="116" t="s">
        <v>289</v>
      </c>
      <c r="W1173" s="116" t="s">
        <v>292</v>
      </c>
      <c r="X1173" s="140"/>
      <c r="Y1173" s="116" t="s">
        <v>290</v>
      </c>
      <c r="Z1173" s="116" t="s">
        <v>355</v>
      </c>
      <c r="AA1173" s="116" t="s">
        <v>356</v>
      </c>
      <c r="AB1173" s="116" t="s">
        <v>318</v>
      </c>
      <c r="AC1173" s="116" t="s">
        <v>319</v>
      </c>
      <c r="AD1173" s="116" t="s">
        <v>317</v>
      </c>
      <c r="AE1173" s="140"/>
      <c r="AF1173" s="116" t="s">
        <v>294</v>
      </c>
      <c r="AG1173" s="116" t="s">
        <v>355</v>
      </c>
      <c r="AH1173" s="116" t="s">
        <v>356</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350</v>
      </c>
      <c r="O1174" s="121" t="s">
        <v>178</v>
      </c>
      <c r="P1174" s="169" t="s">
        <v>380</v>
      </c>
      <c r="Q1174" s="169" t="s">
        <v>376</v>
      </c>
      <c r="R1174" s="169"/>
      <c r="S1174" s="133">
        <f>M1174</f>
        <v>0</v>
      </c>
      <c r="T1174" s="119"/>
      <c r="U1174" s="121" t="s">
        <v>351</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390</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359</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361</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360</v>
      </c>
      <c r="P1178" s="121" t="s">
        <v>377</v>
      </c>
      <c r="Q1178" s="121" t="s">
        <v>386</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378</v>
      </c>
      <c r="L1195" s="128" t="s">
        <v>379</v>
      </c>
      <c r="N1195" s="129"/>
      <c r="O1195" s="154" t="s">
        <v>358</v>
      </c>
      <c r="P1195" s="155">
        <f>V1195+AA1195+AH1195</f>
        <v>0</v>
      </c>
      <c r="Q1195" s="155"/>
      <c r="R1195" s="155"/>
      <c r="S1195" s="154"/>
      <c r="T1195" s="156"/>
      <c r="U1195" s="157" t="s">
        <v>352</v>
      </c>
      <c r="V1195" s="156">
        <f>W1195*80</f>
        <v>0</v>
      </c>
      <c r="W1195" s="158">
        <f>SUM(W1174:W1194)</f>
        <v>0</v>
      </c>
      <c r="X1195" s="159"/>
      <c r="Y1195" s="156" t="s">
        <v>353</v>
      </c>
      <c r="Z1195" s="116"/>
      <c r="AA1195" s="116">
        <f>SUM(AA1174:AA1194)</f>
        <v>0</v>
      </c>
      <c r="AB1195" s="149"/>
      <c r="AC1195" s="149"/>
      <c r="AD1195" s="149"/>
      <c r="AE1195" s="149"/>
      <c r="AF1195" s="156" t="s">
        <v>357</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492</v>
      </c>
      <c r="C1196" s="217" t="str">
        <f>N1174</f>
        <v>installation of VRF central controller</v>
      </c>
      <c r="D1196" s="260" t="s">
        <v>678</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368</v>
      </c>
      <c r="N1196" s="160" t="str">
        <f>N1174</f>
        <v>installation of VRF central controller</v>
      </c>
      <c r="O1196" s="160" t="s">
        <v>366</v>
      </c>
      <c r="P1196" s="171" t="e">
        <f>P1195/M1174</f>
        <v>#DIV/0!</v>
      </c>
      <c r="Q1196" s="161"/>
      <c r="R1196" s="161"/>
      <c r="S1196" s="160"/>
      <c r="T1196" s="161"/>
      <c r="U1196" s="463" t="s">
        <v>367</v>
      </c>
      <c r="V1196" s="463"/>
      <c r="W1196" s="162" t="e">
        <f>W1195/M1174</f>
        <v>#DIV/0!</v>
      </c>
      <c r="X1196" s="163"/>
      <c r="Y1196" s="461" t="s">
        <v>366</v>
      </c>
      <c r="Z1196" s="461"/>
      <c r="AA1196" s="164" t="e">
        <f>AA1195/M1174</f>
        <v>#DIV/0!</v>
      </c>
      <c r="AB1196" s="161"/>
      <c r="AC1196" s="161"/>
      <c r="AD1196" s="161"/>
      <c r="AE1196" s="161"/>
      <c r="AF1196" s="461" t="s">
        <v>366</v>
      </c>
      <c r="AG1196" s="461"/>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453</v>
      </c>
      <c r="M1197" s="116" t="s">
        <v>107</v>
      </c>
      <c r="N1197" s="116" t="s">
        <v>108</v>
      </c>
      <c r="O1197" s="170" t="s">
        <v>387</v>
      </c>
      <c r="P1197" s="462" t="s">
        <v>376</v>
      </c>
      <c r="Q1197" s="462"/>
      <c r="R1197" s="101" t="s">
        <v>453</v>
      </c>
      <c r="S1197" s="116" t="s">
        <v>0</v>
      </c>
      <c r="T1197" s="118"/>
      <c r="U1197" s="116" t="s">
        <v>288</v>
      </c>
      <c r="V1197" s="116" t="s">
        <v>289</v>
      </c>
      <c r="W1197" s="116" t="s">
        <v>292</v>
      </c>
      <c r="X1197" s="140"/>
      <c r="Y1197" s="116" t="s">
        <v>290</v>
      </c>
      <c r="Z1197" s="116" t="s">
        <v>355</v>
      </c>
      <c r="AA1197" s="116" t="s">
        <v>356</v>
      </c>
      <c r="AB1197" s="116" t="s">
        <v>318</v>
      </c>
      <c r="AC1197" s="116" t="s">
        <v>319</v>
      </c>
      <c r="AD1197" s="116" t="s">
        <v>317</v>
      </c>
      <c r="AE1197" s="140"/>
      <c r="AF1197" s="116" t="s">
        <v>294</v>
      </c>
      <c r="AG1197" s="116" t="s">
        <v>355</v>
      </c>
      <c r="AH1197" s="116" t="s">
        <v>356</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575</v>
      </c>
      <c r="O1198" s="121" t="s">
        <v>133</v>
      </c>
      <c r="P1198" s="169" t="s">
        <v>380</v>
      </c>
      <c r="Q1198" s="169" t="s">
        <v>376</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576</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407</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378</v>
      </c>
      <c r="L1219" s="128" t="s">
        <v>379</v>
      </c>
      <c r="N1219" s="129"/>
      <c r="O1219" s="130" t="s">
        <v>358</v>
      </c>
      <c r="P1219" s="82">
        <f>V1219+AA1219+AH1219</f>
        <v>0</v>
      </c>
      <c r="Q1219" s="131"/>
      <c r="R1219" s="131"/>
      <c r="S1219" s="130"/>
      <c r="T1219" s="127"/>
      <c r="U1219" s="126" t="s">
        <v>352</v>
      </c>
      <c r="V1219" s="127">
        <f>W1219*80</f>
        <v>0</v>
      </c>
      <c r="W1219" s="147">
        <f>SUM(W1198:W1218)</f>
        <v>0</v>
      </c>
      <c r="X1219" s="148"/>
      <c r="Y1219" s="127" t="s">
        <v>353</v>
      </c>
      <c r="Z1219" s="116"/>
      <c r="AA1219" s="116">
        <f>SUM(AA1198:AA1218)</f>
        <v>0</v>
      </c>
      <c r="AB1219" s="149"/>
      <c r="AC1219" s="149"/>
      <c r="AD1219" s="149"/>
      <c r="AE1219" s="149"/>
      <c r="AF1219" s="127" t="s">
        <v>357</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492</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368</v>
      </c>
      <c r="N1220" s="160" t="str">
        <f>N1198</f>
        <v>MSSB powered VRF outdoor units</v>
      </c>
      <c r="O1220" s="160" t="s">
        <v>366</v>
      </c>
      <c r="P1220" s="161" t="e">
        <f>P1219/M1198</f>
        <v>#DIV/0!</v>
      </c>
      <c r="Q1220" s="161"/>
      <c r="R1220" s="161"/>
      <c r="S1220" s="160"/>
      <c r="T1220" s="161"/>
      <c r="U1220" s="463" t="s">
        <v>367</v>
      </c>
      <c r="V1220" s="463"/>
      <c r="W1220" s="162" t="e">
        <f>W1219/M1198</f>
        <v>#DIV/0!</v>
      </c>
      <c r="X1220" s="163"/>
      <c r="Y1220" s="461" t="s">
        <v>366</v>
      </c>
      <c r="Z1220" s="461"/>
      <c r="AA1220" s="164" t="e">
        <f>AA1219/M1198</f>
        <v>#DIV/0!</v>
      </c>
      <c r="AB1220" s="161"/>
      <c r="AC1220" s="161"/>
      <c r="AD1220" s="161"/>
      <c r="AE1220" s="161"/>
      <c r="AF1220" s="461" t="s">
        <v>366</v>
      </c>
      <c r="AG1220" s="461"/>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453</v>
      </c>
      <c r="M1221" s="2" t="s">
        <v>107</v>
      </c>
      <c r="N1221" s="2" t="s">
        <v>108</v>
      </c>
      <c r="O1221" s="97" t="s">
        <v>387</v>
      </c>
      <c r="P1221" s="462" t="s">
        <v>376</v>
      </c>
      <c r="Q1221" s="462"/>
      <c r="R1221" s="101" t="s">
        <v>453</v>
      </c>
      <c r="S1221" s="2" t="s">
        <v>0</v>
      </c>
      <c r="T1221" s="9"/>
      <c r="U1221" s="2" t="s">
        <v>288</v>
      </c>
      <c r="V1221" s="2" t="s">
        <v>289</v>
      </c>
      <c r="W1221" s="2" t="s">
        <v>292</v>
      </c>
      <c r="X1221" s="58"/>
      <c r="Y1221" s="2" t="s">
        <v>290</v>
      </c>
      <c r="Z1221" s="2" t="s">
        <v>355</v>
      </c>
      <c r="AA1221" s="2" t="s">
        <v>356</v>
      </c>
      <c r="AB1221" s="2" t="s">
        <v>318</v>
      </c>
      <c r="AC1221" s="2" t="s">
        <v>319</v>
      </c>
      <c r="AD1221" s="2" t="s">
        <v>317</v>
      </c>
      <c r="AE1221" s="58"/>
      <c r="AF1221" s="2" t="s">
        <v>294</v>
      </c>
      <c r="AG1221" s="2" t="s">
        <v>355</v>
      </c>
      <c r="AH1221" s="2" t="s">
        <v>356</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636</v>
      </c>
      <c r="O1222" s="12" t="s">
        <v>133</v>
      </c>
      <c r="P1222" s="96" t="s">
        <v>380</v>
      </c>
      <c r="Q1222" s="96" t="s">
        <v>376</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447</v>
      </c>
      <c r="P1223" s="12" t="s">
        <v>445</v>
      </c>
      <c r="Q1223" s="12" t="s">
        <v>446</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378</v>
      </c>
      <c r="L1243" s="21" t="s">
        <v>379</v>
      </c>
      <c r="N1243" s="22"/>
      <c r="O1243" s="23" t="s">
        <v>358</v>
      </c>
      <c r="P1243" s="82">
        <f>V1243+AA1243+AH1243</f>
        <v>0</v>
      </c>
      <c r="Q1243" s="24"/>
      <c r="R1243" s="24"/>
      <c r="S1243" s="23"/>
      <c r="T1243" s="20"/>
      <c r="U1243" s="19" t="s">
        <v>352</v>
      </c>
      <c r="V1243" s="20">
        <f>W1243*80</f>
        <v>0</v>
      </c>
      <c r="W1243" s="69">
        <f>SUM(W1222:W1242)</f>
        <v>0</v>
      </c>
      <c r="X1243" s="70"/>
      <c r="Y1243" s="20" t="s">
        <v>353</v>
      </c>
      <c r="Z1243" s="2"/>
      <c r="AA1243" s="2">
        <f>SUM(AA1222:AA1242)</f>
        <v>0</v>
      </c>
      <c r="AB1243" s="71"/>
      <c r="AC1243" s="71"/>
      <c r="AD1243" s="71"/>
      <c r="AE1243" s="71"/>
      <c r="AF1243" s="20" t="s">
        <v>357</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492</v>
      </c>
      <c r="C1244" s="217" t="str">
        <f>N1222</f>
        <v>VRF outdoor units</v>
      </c>
      <c r="D1244" s="260" t="s">
        <v>680</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368</v>
      </c>
      <c r="N1244" s="83" t="str">
        <f>N1222</f>
        <v>VRF outdoor units</v>
      </c>
      <c r="O1244" s="83" t="s">
        <v>366</v>
      </c>
      <c r="P1244" s="84" t="e">
        <f>P1243/M1222</f>
        <v>#DIV/0!</v>
      </c>
      <c r="Q1244" s="84"/>
      <c r="R1244" s="84"/>
      <c r="S1244" s="83"/>
      <c r="T1244" s="84"/>
      <c r="U1244" s="463" t="s">
        <v>367</v>
      </c>
      <c r="V1244" s="463"/>
      <c r="W1244" s="85" t="e">
        <f>W1243/M1222</f>
        <v>#DIV/0!</v>
      </c>
      <c r="X1244" s="86"/>
      <c r="Y1244" s="461" t="s">
        <v>366</v>
      </c>
      <c r="Z1244" s="461"/>
      <c r="AA1244" s="87" t="e">
        <f>AA1243/M1222</f>
        <v>#DIV/0!</v>
      </c>
      <c r="AB1244" s="84"/>
      <c r="AC1244" s="84"/>
      <c r="AD1244" s="84"/>
      <c r="AE1244" s="84"/>
      <c r="AF1244" s="461" t="s">
        <v>366</v>
      </c>
      <c r="AG1244" s="461"/>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453</v>
      </c>
      <c r="M1245" s="116" t="s">
        <v>299</v>
      </c>
      <c r="N1245" s="116" t="s">
        <v>108</v>
      </c>
      <c r="O1245" s="170" t="s">
        <v>387</v>
      </c>
      <c r="P1245" s="462" t="s">
        <v>376</v>
      </c>
      <c r="Q1245" s="462"/>
      <c r="R1245" s="101" t="s">
        <v>453</v>
      </c>
      <c r="S1245" s="116" t="s">
        <v>0</v>
      </c>
      <c r="T1245" s="118"/>
      <c r="U1245" s="116" t="s">
        <v>288</v>
      </c>
      <c r="V1245" s="116" t="s">
        <v>289</v>
      </c>
      <c r="W1245" s="116" t="s">
        <v>292</v>
      </c>
      <c r="X1245" s="140"/>
      <c r="Y1245" s="116" t="s">
        <v>290</v>
      </c>
      <c r="Z1245" s="116" t="s">
        <v>355</v>
      </c>
      <c r="AA1245" s="116" t="s">
        <v>356</v>
      </c>
      <c r="AB1245" s="116" t="s">
        <v>318</v>
      </c>
      <c r="AC1245" s="116" t="s">
        <v>319</v>
      </c>
      <c r="AD1245" s="116" t="s">
        <v>317</v>
      </c>
      <c r="AE1245" s="140"/>
      <c r="AF1245" s="116" t="s">
        <v>294</v>
      </c>
      <c r="AG1245" s="116" t="s">
        <v>355</v>
      </c>
      <c r="AH1245" s="116" t="s">
        <v>356</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593</v>
      </c>
      <c r="O1246" s="121" t="s">
        <v>138</v>
      </c>
      <c r="P1246" s="169" t="s">
        <v>380</v>
      </c>
      <c r="Q1246" s="169" t="s">
        <v>376</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594</v>
      </c>
      <c r="Q1247" s="66" t="s">
        <v>427</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594</v>
      </c>
      <c r="Q1249" s="66" t="s">
        <v>414</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594</v>
      </c>
      <c r="Q1250" s="121" t="s">
        <v>595</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605</v>
      </c>
      <c r="P1252" s="121" t="s">
        <v>594</v>
      </c>
      <c r="Q1252" s="121" t="s">
        <v>604</v>
      </c>
      <c r="R1252" s="121"/>
      <c r="S1252" s="133">
        <f>M1246</f>
        <v>0</v>
      </c>
      <c r="T1252" s="120"/>
      <c r="U1252" s="121" t="s">
        <v>293</v>
      </c>
      <c r="V1252" s="133">
        <f t="shared" si="575"/>
        <v>0</v>
      </c>
      <c r="W1252" s="133">
        <f>VLOOKUP(U1252,Sheet1!$B$6:$C$45,2,FALSE)*V1252</f>
        <v>0</v>
      </c>
      <c r="X1252" s="141"/>
      <c r="Y1252" s="121" t="s">
        <v>423</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599</v>
      </c>
      <c r="P1253" s="121" t="s">
        <v>594</v>
      </c>
      <c r="Q1253" s="121" t="s">
        <v>603</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596</v>
      </c>
      <c r="P1254" s="121" t="s">
        <v>448</v>
      </c>
      <c r="Q1254" s="121" t="s">
        <v>602</v>
      </c>
      <c r="R1254" s="121"/>
      <c r="S1254" s="133">
        <f>M1246</f>
        <v>0</v>
      </c>
      <c r="T1254" s="120"/>
      <c r="U1254" s="117" t="s">
        <v>364</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597</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598</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594</v>
      </c>
      <c r="Q1258" s="121" t="s">
        <v>600</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378</v>
      </c>
      <c r="L1267" s="128" t="s">
        <v>379</v>
      </c>
      <c r="N1267" s="129"/>
      <c r="O1267" s="130" t="s">
        <v>358</v>
      </c>
      <c r="P1267" s="131">
        <f>V1267+AA1267+AH1267</f>
        <v>0</v>
      </c>
      <c r="Q1267" s="131"/>
      <c r="R1267" s="131"/>
      <c r="S1267" s="130"/>
      <c r="T1267" s="127"/>
      <c r="U1267" s="126" t="s">
        <v>352</v>
      </c>
      <c r="V1267" s="127">
        <f>W1267*80</f>
        <v>0</v>
      </c>
      <c r="W1267" s="147">
        <f>SUM(W1246:W1266)</f>
        <v>0</v>
      </c>
      <c r="X1267" s="148"/>
      <c r="Y1267" s="127" t="s">
        <v>353</v>
      </c>
      <c r="Z1267" s="116"/>
      <c r="AA1267" s="116">
        <f>SUM(AA1246:AA1266)</f>
        <v>0</v>
      </c>
      <c r="AB1267" s="149"/>
      <c r="AC1267" s="149"/>
      <c r="AD1267" s="149"/>
      <c r="AE1267" s="149"/>
      <c r="AF1267" s="127" t="s">
        <v>357</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492</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368</v>
      </c>
      <c r="N1268" s="160" t="str">
        <f>N1246</f>
        <v>split AC systems - MSSB powered with run and fault lights ( Excluding field wiring option)</v>
      </c>
      <c r="O1268" s="160" t="s">
        <v>366</v>
      </c>
      <c r="P1268" s="64" t="e">
        <f>P1267/M1246</f>
        <v>#DIV/0!</v>
      </c>
      <c r="Q1268" s="161"/>
      <c r="R1268" s="161"/>
      <c r="S1268" s="160"/>
      <c r="T1268" s="161"/>
      <c r="U1268" s="463" t="s">
        <v>367</v>
      </c>
      <c r="V1268" s="463"/>
      <c r="W1268" s="162" t="e">
        <f>W1267/M1246</f>
        <v>#DIV/0!</v>
      </c>
      <c r="X1268" s="163"/>
      <c r="Y1268" s="461" t="s">
        <v>366</v>
      </c>
      <c r="Z1268" s="461"/>
      <c r="AA1268" s="164" t="e">
        <f>AA1267/M1246</f>
        <v>#DIV/0!</v>
      </c>
      <c r="AB1268" s="161"/>
      <c r="AC1268" s="161"/>
      <c r="AD1268" s="161"/>
      <c r="AE1268" s="161"/>
      <c r="AF1268" s="461" t="s">
        <v>366</v>
      </c>
      <c r="AG1268" s="461"/>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453</v>
      </c>
      <c r="M1269" s="116" t="s">
        <v>299</v>
      </c>
      <c r="N1269" s="116" t="s">
        <v>108</v>
      </c>
      <c r="O1269" s="170" t="s">
        <v>387</v>
      </c>
      <c r="P1269" s="462" t="s">
        <v>376</v>
      </c>
      <c r="Q1269" s="462"/>
      <c r="R1269" s="101" t="s">
        <v>453</v>
      </c>
      <c r="S1269" s="116" t="s">
        <v>0</v>
      </c>
      <c r="T1269" s="118"/>
      <c r="U1269" s="116" t="s">
        <v>288</v>
      </c>
      <c r="V1269" s="116" t="s">
        <v>289</v>
      </c>
      <c r="W1269" s="116" t="s">
        <v>292</v>
      </c>
      <c r="X1269" s="140"/>
      <c r="Y1269" s="116" t="s">
        <v>290</v>
      </c>
      <c r="Z1269" s="116" t="s">
        <v>355</v>
      </c>
      <c r="AA1269" s="116" t="s">
        <v>356</v>
      </c>
      <c r="AB1269" s="116" t="s">
        <v>318</v>
      </c>
      <c r="AC1269" s="116" t="s">
        <v>319</v>
      </c>
      <c r="AD1269" s="116" t="s">
        <v>317</v>
      </c>
      <c r="AE1269" s="140"/>
      <c r="AF1269" s="116" t="s">
        <v>294</v>
      </c>
      <c r="AG1269" s="116" t="s">
        <v>355</v>
      </c>
      <c r="AH1269" s="116" t="s">
        <v>356</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619</v>
      </c>
      <c r="O1270" s="121" t="s">
        <v>138</v>
      </c>
      <c r="P1270" s="169" t="s">
        <v>380</v>
      </c>
      <c r="Q1270" s="169" t="s">
        <v>376</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594</v>
      </c>
      <c r="Q1271" s="66" t="s">
        <v>427</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594</v>
      </c>
      <c r="Q1273" s="66" t="s">
        <v>414</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594</v>
      </c>
      <c r="Q1274" s="121" t="s">
        <v>595</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618</v>
      </c>
      <c r="P1276" s="121"/>
      <c r="Q1276" s="121"/>
      <c r="R1276" s="121"/>
      <c r="S1276" s="133">
        <f>M1270</f>
        <v>0</v>
      </c>
      <c r="T1276" s="120"/>
      <c r="U1276" s="121" t="s">
        <v>293</v>
      </c>
      <c r="V1276" s="133">
        <f t="shared" si="584"/>
        <v>0</v>
      </c>
      <c r="W1276" s="133">
        <f>VLOOKUP(U1276,Sheet1!$B$6:$C$45,2,FALSE)*V1276</f>
        <v>0</v>
      </c>
      <c r="X1276" s="141"/>
      <c r="Y1276" s="121" t="s">
        <v>423</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612</v>
      </c>
      <c r="P1278" s="121"/>
      <c r="Q1278" s="121"/>
      <c r="R1278" s="121"/>
      <c r="S1278" s="133">
        <f>M1270</f>
        <v>0</v>
      </c>
      <c r="T1278" s="120"/>
      <c r="U1278" s="117" t="s">
        <v>364</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597</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598</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594</v>
      </c>
      <c r="Q1282" s="121" t="s">
        <v>600</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378</v>
      </c>
      <c r="L1291" s="128" t="s">
        <v>379</v>
      </c>
      <c r="N1291" s="129"/>
      <c r="O1291" s="130" t="s">
        <v>358</v>
      </c>
      <c r="P1291" s="131">
        <f>V1291+AA1291+AH1291</f>
        <v>0</v>
      </c>
      <c r="Q1291" s="131"/>
      <c r="R1291" s="131"/>
      <c r="S1291" s="130"/>
      <c r="T1291" s="127"/>
      <c r="U1291" s="126" t="s">
        <v>352</v>
      </c>
      <c r="V1291" s="127">
        <f>W1291*80</f>
        <v>0</v>
      </c>
      <c r="W1291" s="147">
        <f>SUM(W1270:W1290)</f>
        <v>0</v>
      </c>
      <c r="X1291" s="148"/>
      <c r="Y1291" s="127" t="s">
        <v>353</v>
      </c>
      <c r="Z1291" s="116"/>
      <c r="AA1291" s="116">
        <f>SUM(AA1270:AA1290)</f>
        <v>0</v>
      </c>
      <c r="AB1291" s="149"/>
      <c r="AC1291" s="149"/>
      <c r="AD1291" s="149"/>
      <c r="AE1291" s="149"/>
      <c r="AF1291" s="127" t="s">
        <v>357</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277.75" x14ac:dyDescent="0.8">
      <c r="A1292" s="262">
        <f>ROW()</f>
        <v>1292</v>
      </c>
      <c r="B1292" s="234" t="s">
        <v>492</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368</v>
      </c>
      <c r="N1292" s="160" t="str">
        <f>N1270</f>
        <v>split AC systems - MSSB powered with run lights ( Excluding field wiring option)</v>
      </c>
      <c r="O1292" s="160" t="s">
        <v>366</v>
      </c>
      <c r="P1292" s="64" t="e">
        <f>P1291/M1270</f>
        <v>#DIV/0!</v>
      </c>
      <c r="Q1292" s="161"/>
      <c r="R1292" s="161"/>
      <c r="S1292" s="160"/>
      <c r="T1292" s="161"/>
      <c r="U1292" s="463" t="s">
        <v>367</v>
      </c>
      <c r="V1292" s="463"/>
      <c r="W1292" s="162" t="e">
        <f>W1291/M1270</f>
        <v>#DIV/0!</v>
      </c>
      <c r="X1292" s="163"/>
      <c r="Y1292" s="461" t="s">
        <v>366</v>
      </c>
      <c r="Z1292" s="461"/>
      <c r="AA1292" s="164" t="e">
        <f>AA1291/M1270</f>
        <v>#DIV/0!</v>
      </c>
      <c r="AB1292" s="161"/>
      <c r="AC1292" s="161"/>
      <c r="AD1292" s="161"/>
      <c r="AE1292" s="161"/>
      <c r="AF1292" s="461" t="s">
        <v>366</v>
      </c>
      <c r="AG1292" s="461"/>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453</v>
      </c>
      <c r="M1293" s="116" t="s">
        <v>299</v>
      </c>
      <c r="N1293" s="116" t="s">
        <v>108</v>
      </c>
      <c r="O1293" s="170" t="s">
        <v>387</v>
      </c>
      <c r="P1293" s="462" t="s">
        <v>376</v>
      </c>
      <c r="Q1293" s="462"/>
      <c r="R1293" s="101" t="s">
        <v>453</v>
      </c>
      <c r="S1293" s="116" t="s">
        <v>0</v>
      </c>
      <c r="T1293" s="118"/>
      <c r="U1293" s="116" t="s">
        <v>288</v>
      </c>
      <c r="V1293" s="116" t="s">
        <v>289</v>
      </c>
      <c r="W1293" s="116" t="s">
        <v>292</v>
      </c>
      <c r="X1293" s="140"/>
      <c r="Y1293" s="116" t="s">
        <v>290</v>
      </c>
      <c r="Z1293" s="116" t="s">
        <v>355</v>
      </c>
      <c r="AA1293" s="116" t="s">
        <v>356</v>
      </c>
      <c r="AB1293" s="116" t="s">
        <v>318</v>
      </c>
      <c r="AC1293" s="116" t="s">
        <v>319</v>
      </c>
      <c r="AD1293" s="116" t="s">
        <v>317</v>
      </c>
      <c r="AE1293" s="140"/>
      <c r="AF1293" s="116" t="s">
        <v>294</v>
      </c>
      <c r="AG1293" s="116" t="s">
        <v>355</v>
      </c>
      <c r="AH1293" s="116" t="s">
        <v>356</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639</v>
      </c>
      <c r="O1294" s="121" t="s">
        <v>138</v>
      </c>
      <c r="P1294" s="169" t="s">
        <v>380</v>
      </c>
      <c r="Q1294" s="169" t="s">
        <v>376</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427</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393</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414</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415</v>
      </c>
      <c r="P1298" s="121" t="s">
        <v>448</v>
      </c>
      <c r="Q1298" s="121" t="s">
        <v>450</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585</v>
      </c>
      <c r="P1299" s="121"/>
      <c r="Q1299" s="121"/>
      <c r="R1299" s="121"/>
      <c r="S1299" s="133">
        <f>M1294</f>
        <v>0</v>
      </c>
      <c r="T1299" s="120"/>
      <c r="U1299" s="117" t="s">
        <v>479</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586</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587</v>
      </c>
      <c r="P1302" s="121" t="s">
        <v>448</v>
      </c>
      <c r="Q1302" s="121" t="s">
        <v>588</v>
      </c>
      <c r="R1302" s="121"/>
      <c r="S1302" s="133">
        <f>M1294</f>
        <v>0</v>
      </c>
      <c r="T1302" s="120"/>
      <c r="U1302" s="117" t="s">
        <v>364</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364</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364</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378</v>
      </c>
      <c r="L1315" s="128" t="s">
        <v>379</v>
      </c>
      <c r="N1315" s="129"/>
      <c r="O1315" s="130" t="s">
        <v>358</v>
      </c>
      <c r="P1315" s="131">
        <f>V1315+AA1315+AH1315</f>
        <v>0</v>
      </c>
      <c r="Q1315" s="131"/>
      <c r="R1315" s="131"/>
      <c r="S1315" s="130"/>
      <c r="T1315" s="127"/>
      <c r="U1315" s="126" t="s">
        <v>352</v>
      </c>
      <c r="V1315" s="127">
        <f>W1315*80</f>
        <v>0</v>
      </c>
      <c r="W1315" s="147">
        <f>SUM(W1294:W1314)</f>
        <v>0</v>
      </c>
      <c r="X1315" s="148"/>
      <c r="Y1315" s="127" t="s">
        <v>353</v>
      </c>
      <c r="Z1315" s="116"/>
      <c r="AA1315" s="116">
        <f>SUM(AA1294:AA1314)</f>
        <v>0</v>
      </c>
      <c r="AB1315" s="149"/>
      <c r="AC1315" s="149"/>
      <c r="AD1315" s="149"/>
      <c r="AE1315" s="149"/>
      <c r="AF1315" s="127" t="s">
        <v>357</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492</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368</v>
      </c>
      <c r="N1316" s="160" t="str">
        <f>N1294</f>
        <v>DX CRAC Systems - MSSB powered with run and fault lights</v>
      </c>
      <c r="O1316" s="160" t="s">
        <v>366</v>
      </c>
      <c r="P1316" s="64" t="e">
        <f>P1315/M1294</f>
        <v>#DIV/0!</v>
      </c>
      <c r="Q1316" s="161"/>
      <c r="R1316" s="161"/>
      <c r="S1316" s="160"/>
      <c r="T1316" s="161"/>
      <c r="U1316" s="463" t="s">
        <v>367</v>
      </c>
      <c r="V1316" s="463"/>
      <c r="W1316" s="162" t="e">
        <f>W1315/M1294</f>
        <v>#DIV/0!</v>
      </c>
      <c r="X1316" s="163"/>
      <c r="Y1316" s="461" t="s">
        <v>366</v>
      </c>
      <c r="Z1316" s="461"/>
      <c r="AA1316" s="164" t="e">
        <f>AA1315/M1294</f>
        <v>#DIV/0!</v>
      </c>
      <c r="AB1316" s="161"/>
      <c r="AC1316" s="161"/>
      <c r="AD1316" s="161"/>
      <c r="AE1316" s="161"/>
      <c r="AF1316" s="461" t="s">
        <v>366</v>
      </c>
      <c r="AG1316" s="461"/>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453</v>
      </c>
      <c r="M1317" s="116" t="s">
        <v>299</v>
      </c>
      <c r="N1317" s="116" t="s">
        <v>108</v>
      </c>
      <c r="O1317" s="170" t="s">
        <v>387</v>
      </c>
      <c r="P1317" s="462" t="s">
        <v>376</v>
      </c>
      <c r="Q1317" s="462"/>
      <c r="R1317" s="101" t="s">
        <v>453</v>
      </c>
      <c r="S1317" s="116" t="s">
        <v>0</v>
      </c>
      <c r="T1317" s="118"/>
      <c r="U1317" s="116" t="s">
        <v>288</v>
      </c>
      <c r="V1317" s="116" t="s">
        <v>289</v>
      </c>
      <c r="W1317" s="116" t="s">
        <v>292</v>
      </c>
      <c r="X1317" s="140"/>
      <c r="Y1317" s="116" t="s">
        <v>290</v>
      </c>
      <c r="Z1317" s="116" t="s">
        <v>355</v>
      </c>
      <c r="AA1317" s="116" t="s">
        <v>356</v>
      </c>
      <c r="AB1317" s="116" t="s">
        <v>318</v>
      </c>
      <c r="AC1317" s="116" t="s">
        <v>319</v>
      </c>
      <c r="AD1317" s="116" t="s">
        <v>317</v>
      </c>
      <c r="AE1317" s="140"/>
      <c r="AF1317" s="116" t="s">
        <v>294</v>
      </c>
      <c r="AG1317" s="116" t="s">
        <v>355</v>
      </c>
      <c r="AH1317" s="116" t="s">
        <v>356</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584</v>
      </c>
      <c r="O1318" s="121" t="s">
        <v>138</v>
      </c>
      <c r="P1318" s="169" t="s">
        <v>380</v>
      </c>
      <c r="Q1318" s="169" t="s">
        <v>376</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427</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393</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414</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415</v>
      </c>
      <c r="P1322" s="121" t="s">
        <v>448</v>
      </c>
      <c r="Q1322" s="121" t="s">
        <v>450</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585</v>
      </c>
      <c r="P1323" s="121"/>
      <c r="Q1323" s="121"/>
      <c r="R1323" s="121"/>
      <c r="S1323" s="133">
        <f>M1318</f>
        <v>0</v>
      </c>
      <c r="T1323" s="120"/>
      <c r="U1323" s="117" t="s">
        <v>479</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586</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587</v>
      </c>
      <c r="P1326" s="121" t="s">
        <v>448</v>
      </c>
      <c r="Q1326" s="121" t="s">
        <v>588</v>
      </c>
      <c r="R1326" s="121"/>
      <c r="S1326" s="133">
        <f>M1318</f>
        <v>0</v>
      </c>
      <c r="T1326" s="120"/>
      <c r="U1326" s="117" t="s">
        <v>364</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378</v>
      </c>
      <c r="L1339" s="128" t="s">
        <v>379</v>
      </c>
      <c r="N1339" s="129"/>
      <c r="O1339" s="130" t="s">
        <v>358</v>
      </c>
      <c r="P1339" s="131">
        <f>V1339+AA1339+AH1339</f>
        <v>0</v>
      </c>
      <c r="Q1339" s="131"/>
      <c r="R1339" s="131"/>
      <c r="S1339" s="130"/>
      <c r="T1339" s="127"/>
      <c r="U1339" s="126" t="s">
        <v>352</v>
      </c>
      <c r="V1339" s="127">
        <f>W1339*80</f>
        <v>0</v>
      </c>
      <c r="W1339" s="147">
        <f>SUM(W1318:W1338)</f>
        <v>0</v>
      </c>
      <c r="X1339" s="148"/>
      <c r="Y1339" s="127" t="s">
        <v>353</v>
      </c>
      <c r="Z1339" s="116"/>
      <c r="AA1339" s="116">
        <f>SUM(AA1318:AA1338)</f>
        <v>0</v>
      </c>
      <c r="AB1339" s="149"/>
      <c r="AC1339" s="149"/>
      <c r="AD1339" s="149"/>
      <c r="AE1339" s="149"/>
      <c r="AF1339" s="127" t="s">
        <v>357</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492</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368</v>
      </c>
      <c r="N1340" s="160" t="str">
        <f>N1318</f>
        <v>split AC systems - MSSB powered with run and fault lights</v>
      </c>
      <c r="O1340" s="160" t="s">
        <v>366</v>
      </c>
      <c r="P1340" s="64" t="e">
        <f>P1339/M1318</f>
        <v>#DIV/0!</v>
      </c>
      <c r="Q1340" s="161"/>
      <c r="R1340" s="161"/>
      <c r="S1340" s="160"/>
      <c r="T1340" s="161"/>
      <c r="U1340" s="463" t="s">
        <v>367</v>
      </c>
      <c r="V1340" s="463"/>
      <c r="W1340" s="162" t="e">
        <f>W1339/M1318</f>
        <v>#DIV/0!</v>
      </c>
      <c r="X1340" s="163"/>
      <c r="Y1340" s="461" t="s">
        <v>366</v>
      </c>
      <c r="Z1340" s="461"/>
      <c r="AA1340" s="164" t="e">
        <f>AA1339/M1318</f>
        <v>#DIV/0!</v>
      </c>
      <c r="AB1340" s="161"/>
      <c r="AC1340" s="161"/>
      <c r="AD1340" s="161"/>
      <c r="AE1340" s="161"/>
      <c r="AF1340" s="461" t="s">
        <v>366</v>
      </c>
      <c r="AG1340" s="461"/>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453</v>
      </c>
      <c r="M1341" s="116" t="s">
        <v>299</v>
      </c>
      <c r="N1341" s="116" t="s">
        <v>108</v>
      </c>
      <c r="O1341" s="170" t="s">
        <v>387</v>
      </c>
      <c r="P1341" s="462" t="s">
        <v>376</v>
      </c>
      <c r="Q1341" s="462"/>
      <c r="R1341" s="101" t="s">
        <v>453</v>
      </c>
      <c r="S1341" s="116" t="s">
        <v>0</v>
      </c>
      <c r="T1341" s="118"/>
      <c r="U1341" s="116" t="s">
        <v>288</v>
      </c>
      <c r="V1341" s="116" t="s">
        <v>289</v>
      </c>
      <c r="W1341" s="116" t="s">
        <v>292</v>
      </c>
      <c r="X1341" s="140"/>
      <c r="Y1341" s="116" t="s">
        <v>290</v>
      </c>
      <c r="Z1341" s="116" t="s">
        <v>355</v>
      </c>
      <c r="AA1341" s="116" t="s">
        <v>356</v>
      </c>
      <c r="AB1341" s="116" t="s">
        <v>318</v>
      </c>
      <c r="AC1341" s="116" t="s">
        <v>319</v>
      </c>
      <c r="AD1341" s="116" t="s">
        <v>317</v>
      </c>
      <c r="AE1341" s="140"/>
      <c r="AF1341" s="116" t="s">
        <v>294</v>
      </c>
      <c r="AG1341" s="116" t="s">
        <v>355</v>
      </c>
      <c r="AH1341" s="116" t="s">
        <v>356</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695</v>
      </c>
      <c r="O1342" s="121" t="s">
        <v>138</v>
      </c>
      <c r="P1342" s="169" t="s">
        <v>380</v>
      </c>
      <c r="Q1342" s="169" t="s">
        <v>376</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427</v>
      </c>
      <c r="P1343" s="121"/>
      <c r="Q1343" s="121"/>
      <c r="R1343" s="121"/>
      <c r="S1343" s="133">
        <f>M1342</f>
        <v>0</v>
      </c>
      <c r="T1343" s="120"/>
      <c r="U1343" s="117" t="s">
        <v>691</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393</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414</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448</v>
      </c>
      <c r="Q1346" s="121" t="s">
        <v>690</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508</v>
      </c>
      <c r="P1347" s="121" t="s">
        <v>421</v>
      </c>
      <c r="Q1347" s="121" t="s">
        <v>692</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378</v>
      </c>
      <c r="L1363" s="128" t="s">
        <v>379</v>
      </c>
      <c r="N1363" s="129"/>
      <c r="O1363" s="130" t="s">
        <v>358</v>
      </c>
      <c r="P1363" s="131">
        <f>V1363+AA1363+AH1363</f>
        <v>0</v>
      </c>
      <c r="Q1363" s="131"/>
      <c r="R1363" s="131"/>
      <c r="S1363" s="130"/>
      <c r="T1363" s="127"/>
      <c r="U1363" s="126" t="s">
        <v>352</v>
      </c>
      <c r="V1363" s="127">
        <f>W1363*80</f>
        <v>0</v>
      </c>
      <c r="W1363" s="147">
        <f>SUM(W1342:W1362)</f>
        <v>0</v>
      </c>
      <c r="X1363" s="148"/>
      <c r="Y1363" s="127" t="s">
        <v>353</v>
      </c>
      <c r="Z1363" s="116"/>
      <c r="AA1363" s="116">
        <f>SUM(AA1342:AA1362)</f>
        <v>0</v>
      </c>
      <c r="AB1363" s="149"/>
      <c r="AC1363" s="149"/>
      <c r="AD1363" s="149"/>
      <c r="AE1363" s="149"/>
      <c r="AF1363" s="127" t="s">
        <v>357</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492</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368</v>
      </c>
      <c r="N1364" s="160" t="str">
        <f>N1342</f>
        <v>Multihead split AC systems (local power supply) - 4 indoor units with wireless controlers</v>
      </c>
      <c r="O1364" s="160" t="s">
        <v>366</v>
      </c>
      <c r="P1364" s="64" t="e">
        <f>P1363/M1342</f>
        <v>#DIV/0!</v>
      </c>
      <c r="Q1364" s="161"/>
      <c r="R1364" s="161"/>
      <c r="S1364" s="160"/>
      <c r="T1364" s="161"/>
      <c r="U1364" s="463" t="s">
        <v>367</v>
      </c>
      <c r="V1364" s="463"/>
      <c r="W1364" s="162" t="e">
        <f>W1363/M1342</f>
        <v>#DIV/0!</v>
      </c>
      <c r="X1364" s="163"/>
      <c r="Y1364" s="461" t="s">
        <v>366</v>
      </c>
      <c r="Z1364" s="461"/>
      <c r="AA1364" s="164" t="e">
        <f>AA1363/M1342</f>
        <v>#DIV/0!</v>
      </c>
      <c r="AB1364" s="161"/>
      <c r="AC1364" s="161"/>
      <c r="AD1364" s="161"/>
      <c r="AE1364" s="161"/>
      <c r="AF1364" s="461" t="s">
        <v>366</v>
      </c>
      <c r="AG1364" s="461"/>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453</v>
      </c>
      <c r="M1365" s="116" t="s">
        <v>299</v>
      </c>
      <c r="N1365" s="116" t="s">
        <v>108</v>
      </c>
      <c r="O1365" s="170" t="s">
        <v>387</v>
      </c>
      <c r="P1365" s="462" t="s">
        <v>376</v>
      </c>
      <c r="Q1365" s="462"/>
      <c r="R1365" s="101" t="s">
        <v>453</v>
      </c>
      <c r="S1365" s="116" t="s">
        <v>0</v>
      </c>
      <c r="T1365" s="118"/>
      <c r="U1365" s="116" t="s">
        <v>288</v>
      </c>
      <c r="V1365" s="116" t="s">
        <v>289</v>
      </c>
      <c r="W1365" s="116" t="s">
        <v>292</v>
      </c>
      <c r="X1365" s="140"/>
      <c r="Y1365" s="116" t="s">
        <v>290</v>
      </c>
      <c r="Z1365" s="116" t="s">
        <v>355</v>
      </c>
      <c r="AA1365" s="116" t="s">
        <v>356</v>
      </c>
      <c r="AB1365" s="116" t="s">
        <v>318</v>
      </c>
      <c r="AC1365" s="116" t="s">
        <v>319</v>
      </c>
      <c r="AD1365" s="116" t="s">
        <v>317</v>
      </c>
      <c r="AE1365" s="140"/>
      <c r="AF1365" s="116" t="s">
        <v>294</v>
      </c>
      <c r="AG1365" s="116" t="s">
        <v>355</v>
      </c>
      <c r="AH1365" s="116" t="s">
        <v>356</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694</v>
      </c>
      <c r="O1366" s="121" t="s">
        <v>138</v>
      </c>
      <c r="P1366" s="169" t="s">
        <v>380</v>
      </c>
      <c r="Q1366" s="169" t="s">
        <v>376</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427</v>
      </c>
      <c r="P1367" s="121"/>
      <c r="Q1367" s="121"/>
      <c r="R1367" s="121"/>
      <c r="S1367" s="133">
        <f>M1366</f>
        <v>0</v>
      </c>
      <c r="T1367" s="120"/>
      <c r="U1367" s="117" t="s">
        <v>365</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393</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414</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448</v>
      </c>
      <c r="Q1370" s="121" t="s">
        <v>690</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508</v>
      </c>
      <c r="P1371" s="121" t="s">
        <v>421</v>
      </c>
      <c r="Q1371" s="121" t="s">
        <v>692</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378</v>
      </c>
      <c r="L1387" s="128" t="s">
        <v>379</v>
      </c>
      <c r="N1387" s="129"/>
      <c r="O1387" s="130" t="s">
        <v>358</v>
      </c>
      <c r="P1387" s="131">
        <f>V1387+AA1387+AH1387</f>
        <v>0</v>
      </c>
      <c r="Q1387" s="131"/>
      <c r="R1387" s="131"/>
      <c r="S1387" s="130"/>
      <c r="T1387" s="127"/>
      <c r="U1387" s="126" t="s">
        <v>352</v>
      </c>
      <c r="V1387" s="127">
        <f>W1387*80</f>
        <v>0</v>
      </c>
      <c r="W1387" s="147">
        <f>SUM(W1366:W1386)</f>
        <v>0</v>
      </c>
      <c r="X1387" s="148"/>
      <c r="Y1387" s="127" t="s">
        <v>353</v>
      </c>
      <c r="Z1387" s="116"/>
      <c r="AA1387" s="116">
        <f>SUM(AA1366:AA1386)</f>
        <v>0</v>
      </c>
      <c r="AB1387" s="149"/>
      <c r="AC1387" s="149"/>
      <c r="AD1387" s="149"/>
      <c r="AE1387" s="149"/>
      <c r="AF1387" s="127" t="s">
        <v>357</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492</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368</v>
      </c>
      <c r="N1388" s="160" t="str">
        <f>N1366</f>
        <v>Multihead split AC systems (local power supply) - 3 indoor units with wireless controlers</v>
      </c>
      <c r="O1388" s="160" t="s">
        <v>366</v>
      </c>
      <c r="P1388" s="64" t="e">
        <f>P1387/M1366</f>
        <v>#DIV/0!</v>
      </c>
      <c r="Q1388" s="161"/>
      <c r="R1388" s="161"/>
      <c r="S1388" s="160"/>
      <c r="T1388" s="161"/>
      <c r="U1388" s="463" t="s">
        <v>367</v>
      </c>
      <c r="V1388" s="463"/>
      <c r="W1388" s="162" t="e">
        <f>W1387/M1366</f>
        <v>#DIV/0!</v>
      </c>
      <c r="X1388" s="163"/>
      <c r="Y1388" s="461" t="s">
        <v>366</v>
      </c>
      <c r="Z1388" s="461"/>
      <c r="AA1388" s="164" t="e">
        <f>AA1387/M1366</f>
        <v>#DIV/0!</v>
      </c>
      <c r="AB1388" s="161"/>
      <c r="AC1388" s="161"/>
      <c r="AD1388" s="161"/>
      <c r="AE1388" s="161"/>
      <c r="AF1388" s="461" t="s">
        <v>366</v>
      </c>
      <c r="AG1388" s="461"/>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453</v>
      </c>
      <c r="M1389" s="116" t="s">
        <v>299</v>
      </c>
      <c r="N1389" s="116" t="s">
        <v>108</v>
      </c>
      <c r="O1389" s="170" t="s">
        <v>387</v>
      </c>
      <c r="P1389" s="462" t="s">
        <v>376</v>
      </c>
      <c r="Q1389" s="462"/>
      <c r="R1389" s="101" t="s">
        <v>453</v>
      </c>
      <c r="S1389" s="116" t="s">
        <v>0</v>
      </c>
      <c r="T1389" s="118"/>
      <c r="U1389" s="116" t="s">
        <v>288</v>
      </c>
      <c r="V1389" s="116" t="s">
        <v>289</v>
      </c>
      <c r="W1389" s="116" t="s">
        <v>292</v>
      </c>
      <c r="X1389" s="140"/>
      <c r="Y1389" s="116" t="s">
        <v>290</v>
      </c>
      <c r="Z1389" s="116" t="s">
        <v>355</v>
      </c>
      <c r="AA1389" s="116" t="s">
        <v>356</v>
      </c>
      <c r="AB1389" s="116" t="s">
        <v>318</v>
      </c>
      <c r="AC1389" s="116" t="s">
        <v>319</v>
      </c>
      <c r="AD1389" s="116" t="s">
        <v>317</v>
      </c>
      <c r="AE1389" s="140"/>
      <c r="AF1389" s="116" t="s">
        <v>294</v>
      </c>
      <c r="AG1389" s="116" t="s">
        <v>355</v>
      </c>
      <c r="AH1389" s="116" t="s">
        <v>356</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693</v>
      </c>
      <c r="O1390" s="121" t="s">
        <v>138</v>
      </c>
      <c r="P1390" s="169" t="s">
        <v>380</v>
      </c>
      <c r="Q1390" s="169" t="s">
        <v>376</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427</v>
      </c>
      <c r="P1391" s="121"/>
      <c r="Q1391" s="121"/>
      <c r="R1391" s="121"/>
      <c r="S1391" s="133">
        <f>M1390</f>
        <v>0</v>
      </c>
      <c r="T1391" s="120"/>
      <c r="U1391" s="117" t="s">
        <v>601</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393</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414</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448</v>
      </c>
      <c r="Q1394" s="121" t="s">
        <v>690</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508</v>
      </c>
      <c r="P1395" s="121" t="s">
        <v>421</v>
      </c>
      <c r="Q1395" s="121" t="s">
        <v>692</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378</v>
      </c>
      <c r="L1411" s="128" t="s">
        <v>379</v>
      </c>
      <c r="N1411" s="129"/>
      <c r="O1411" s="130" t="s">
        <v>358</v>
      </c>
      <c r="P1411" s="131">
        <f>V1411+AA1411+AH1411</f>
        <v>0</v>
      </c>
      <c r="Q1411" s="131"/>
      <c r="R1411" s="131"/>
      <c r="S1411" s="130"/>
      <c r="T1411" s="127"/>
      <c r="U1411" s="126" t="s">
        <v>352</v>
      </c>
      <c r="V1411" s="127">
        <f>W1411*80</f>
        <v>0</v>
      </c>
      <c r="W1411" s="147">
        <f>SUM(W1390:W1410)</f>
        <v>0</v>
      </c>
      <c r="X1411" s="148"/>
      <c r="Y1411" s="127" t="s">
        <v>353</v>
      </c>
      <c r="Z1411" s="116"/>
      <c r="AA1411" s="116">
        <f>SUM(AA1390:AA1410)</f>
        <v>0</v>
      </c>
      <c r="AB1411" s="149"/>
      <c r="AC1411" s="149"/>
      <c r="AD1411" s="149"/>
      <c r="AE1411" s="149"/>
      <c r="AF1411" s="127" t="s">
        <v>357</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492</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368</v>
      </c>
      <c r="N1412" s="160" t="str">
        <f>N1390</f>
        <v>Multihead split AC systems (local power supply) - 2 indoor units with wireless controlers</v>
      </c>
      <c r="O1412" s="160" t="s">
        <v>366</v>
      </c>
      <c r="P1412" s="64" t="e">
        <f>P1411/M1390</f>
        <v>#DIV/0!</v>
      </c>
      <c r="Q1412" s="161"/>
      <c r="R1412" s="161"/>
      <c r="S1412" s="160"/>
      <c r="T1412" s="161"/>
      <c r="U1412" s="463" t="s">
        <v>367</v>
      </c>
      <c r="V1412" s="463"/>
      <c r="W1412" s="162" t="e">
        <f>W1411/M1390</f>
        <v>#DIV/0!</v>
      </c>
      <c r="X1412" s="163"/>
      <c r="Y1412" s="461" t="s">
        <v>366</v>
      </c>
      <c r="Z1412" s="461"/>
      <c r="AA1412" s="164" t="e">
        <f>AA1411/M1390</f>
        <v>#DIV/0!</v>
      </c>
      <c r="AB1412" s="161"/>
      <c r="AC1412" s="161"/>
      <c r="AD1412" s="161"/>
      <c r="AE1412" s="161"/>
      <c r="AF1412" s="461" t="s">
        <v>366</v>
      </c>
      <c r="AG1412" s="461"/>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453</v>
      </c>
      <c r="M1413" s="116" t="s">
        <v>299</v>
      </c>
      <c r="N1413" s="116" t="s">
        <v>108</v>
      </c>
      <c r="O1413" s="170" t="s">
        <v>387</v>
      </c>
      <c r="P1413" s="462" t="s">
        <v>376</v>
      </c>
      <c r="Q1413" s="462"/>
      <c r="R1413" s="101" t="s">
        <v>453</v>
      </c>
      <c r="S1413" s="116" t="s">
        <v>0</v>
      </c>
      <c r="T1413" s="118"/>
      <c r="U1413" s="116" t="s">
        <v>288</v>
      </c>
      <c r="V1413" s="116" t="s">
        <v>289</v>
      </c>
      <c r="W1413" s="116" t="s">
        <v>292</v>
      </c>
      <c r="X1413" s="140"/>
      <c r="Y1413" s="116" t="s">
        <v>290</v>
      </c>
      <c r="Z1413" s="116" t="s">
        <v>355</v>
      </c>
      <c r="AA1413" s="116" t="s">
        <v>356</v>
      </c>
      <c r="AB1413" s="116" t="s">
        <v>318</v>
      </c>
      <c r="AC1413" s="116" t="s">
        <v>319</v>
      </c>
      <c r="AD1413" s="116" t="s">
        <v>317</v>
      </c>
      <c r="AE1413" s="140"/>
      <c r="AF1413" s="116" t="s">
        <v>294</v>
      </c>
      <c r="AG1413" s="116" t="s">
        <v>355</v>
      </c>
      <c r="AH1413" s="116" t="s">
        <v>356</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567</v>
      </c>
      <c r="O1414" s="121" t="s">
        <v>138</v>
      </c>
      <c r="P1414" s="169" t="s">
        <v>380</v>
      </c>
      <c r="Q1414" s="169" t="s">
        <v>376</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427</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393</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414</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415</v>
      </c>
      <c r="P1418" s="121" t="s">
        <v>448</v>
      </c>
      <c r="Q1418" s="121" t="s">
        <v>450</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568</v>
      </c>
      <c r="P1419" s="121"/>
      <c r="Q1419" s="121"/>
      <c r="R1419" s="121"/>
      <c r="S1419" s="133">
        <f>M1414</f>
        <v>0</v>
      </c>
      <c r="T1419" s="120"/>
      <c r="U1419" s="117" t="s">
        <v>479</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378</v>
      </c>
      <c r="L1435" s="128" t="s">
        <v>379</v>
      </c>
      <c r="N1435" s="129"/>
      <c r="O1435" s="130" t="s">
        <v>358</v>
      </c>
      <c r="P1435" s="131">
        <f>V1435+AA1435+AH1435</f>
        <v>0</v>
      </c>
      <c r="Q1435" s="131"/>
      <c r="R1435" s="131"/>
      <c r="S1435" s="130"/>
      <c r="T1435" s="127"/>
      <c r="U1435" s="126" t="s">
        <v>352</v>
      </c>
      <c r="V1435" s="127">
        <f>W1435*80</f>
        <v>0</v>
      </c>
      <c r="W1435" s="147">
        <f>SUM(W1414:W1434)</f>
        <v>0</v>
      </c>
      <c r="X1435" s="148"/>
      <c r="Y1435" s="127" t="s">
        <v>353</v>
      </c>
      <c r="Z1435" s="116"/>
      <c r="AA1435" s="116">
        <f>SUM(AA1414:AA1434)</f>
        <v>0</v>
      </c>
      <c r="AB1435" s="149"/>
      <c r="AC1435" s="149"/>
      <c r="AD1435" s="149"/>
      <c r="AE1435" s="149"/>
      <c r="AF1435" s="127" t="s">
        <v>357</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492</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368</v>
      </c>
      <c r="N1436" s="160" t="str">
        <f>N1414</f>
        <v>split AC systems (local power supply)</v>
      </c>
      <c r="O1436" s="160" t="s">
        <v>366</v>
      </c>
      <c r="P1436" s="64" t="e">
        <f>P1435/M1414</f>
        <v>#DIV/0!</v>
      </c>
      <c r="Q1436" s="161"/>
      <c r="R1436" s="161"/>
      <c r="S1436" s="160"/>
      <c r="T1436" s="161"/>
      <c r="U1436" s="463" t="s">
        <v>367</v>
      </c>
      <c r="V1436" s="463"/>
      <c r="W1436" s="162" t="e">
        <f>W1435/M1414</f>
        <v>#DIV/0!</v>
      </c>
      <c r="X1436" s="163"/>
      <c r="Y1436" s="461" t="s">
        <v>366</v>
      </c>
      <c r="Z1436" s="461"/>
      <c r="AA1436" s="164" t="e">
        <f>AA1435/M1414</f>
        <v>#DIV/0!</v>
      </c>
      <c r="AB1436" s="161"/>
      <c r="AC1436" s="161"/>
      <c r="AD1436" s="161"/>
      <c r="AE1436" s="161"/>
      <c r="AF1436" s="461" t="s">
        <v>366</v>
      </c>
      <c r="AG1436" s="461"/>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453</v>
      </c>
      <c r="M1437" s="2" t="s">
        <v>299</v>
      </c>
      <c r="N1437" s="2" t="s">
        <v>108</v>
      </c>
      <c r="O1437" s="97" t="s">
        <v>387</v>
      </c>
      <c r="P1437" s="462" t="s">
        <v>376</v>
      </c>
      <c r="Q1437" s="462"/>
      <c r="R1437" s="101" t="s">
        <v>453</v>
      </c>
      <c r="S1437" s="2" t="s">
        <v>0</v>
      </c>
      <c r="T1437" s="9"/>
      <c r="U1437" s="2" t="s">
        <v>288</v>
      </c>
      <c r="V1437" s="2" t="s">
        <v>289</v>
      </c>
      <c r="W1437" s="2" t="s">
        <v>292</v>
      </c>
      <c r="X1437" s="58"/>
      <c r="Y1437" s="2" t="s">
        <v>290</v>
      </c>
      <c r="Z1437" s="2" t="s">
        <v>355</v>
      </c>
      <c r="AA1437" s="2" t="s">
        <v>356</v>
      </c>
      <c r="AB1437" s="2" t="s">
        <v>318</v>
      </c>
      <c r="AC1437" s="2" t="s">
        <v>319</v>
      </c>
      <c r="AD1437" s="2" t="s">
        <v>317</v>
      </c>
      <c r="AE1437" s="58"/>
      <c r="AF1437" s="2" t="s">
        <v>294</v>
      </c>
      <c r="AG1437" s="2" t="s">
        <v>355</v>
      </c>
      <c r="AH1437" s="2" t="s">
        <v>356</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428</v>
      </c>
      <c r="O1438" s="12" t="s">
        <v>138</v>
      </c>
      <c r="P1438" s="96" t="s">
        <v>380</v>
      </c>
      <c r="Q1438" s="96" t="s">
        <v>376</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427</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393</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414</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415</v>
      </c>
      <c r="P1442" s="12" t="s">
        <v>448</v>
      </c>
      <c r="Q1442" s="12" t="s">
        <v>450</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508</v>
      </c>
      <c r="P1443" s="12" t="s">
        <v>449</v>
      </c>
      <c r="Q1443" s="12" t="s">
        <v>416</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378</v>
      </c>
      <c r="L1459" s="21" t="s">
        <v>379</v>
      </c>
      <c r="N1459" s="22"/>
      <c r="O1459" s="23" t="s">
        <v>358</v>
      </c>
      <c r="P1459" s="24">
        <f>V1459+AA1459+AH1459</f>
        <v>0</v>
      </c>
      <c r="Q1459" s="24"/>
      <c r="R1459" s="24"/>
      <c r="S1459" s="23"/>
      <c r="T1459" s="20"/>
      <c r="U1459" s="19" t="s">
        <v>352</v>
      </c>
      <c r="V1459" s="20">
        <f>W1459*80</f>
        <v>0</v>
      </c>
      <c r="W1459" s="69">
        <f>SUM(W1438:W1458)</f>
        <v>0</v>
      </c>
      <c r="X1459" s="70"/>
      <c r="Y1459" s="20" t="s">
        <v>353</v>
      </c>
      <c r="Z1459" s="2"/>
      <c r="AA1459" s="2">
        <f>SUM(AA1438:AA1458)</f>
        <v>0</v>
      </c>
      <c r="AB1459" s="71"/>
      <c r="AC1459" s="71"/>
      <c r="AD1459" s="71"/>
      <c r="AE1459" s="71"/>
      <c r="AF1459" s="20" t="s">
        <v>357</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492</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368</v>
      </c>
      <c r="N1460" s="83" t="str">
        <f>N1438</f>
        <v>common area split AC systems (local power supply)</v>
      </c>
      <c r="O1460" s="83" t="s">
        <v>366</v>
      </c>
      <c r="P1460" s="64" t="e">
        <f>P1459/M1438</f>
        <v>#DIV/0!</v>
      </c>
      <c r="Q1460" s="84"/>
      <c r="R1460" s="84"/>
      <c r="S1460" s="83"/>
      <c r="T1460" s="84"/>
      <c r="U1460" s="463" t="s">
        <v>367</v>
      </c>
      <c r="V1460" s="463"/>
      <c r="W1460" s="85" t="e">
        <f>W1459/M1438</f>
        <v>#DIV/0!</v>
      </c>
      <c r="X1460" s="86"/>
      <c r="Y1460" s="461" t="s">
        <v>366</v>
      </c>
      <c r="Z1460" s="461"/>
      <c r="AA1460" s="87" t="e">
        <f>AA1459/M1438</f>
        <v>#DIV/0!</v>
      </c>
      <c r="AB1460" s="84"/>
      <c r="AC1460" s="84"/>
      <c r="AD1460" s="84"/>
      <c r="AE1460" s="84"/>
      <c r="AF1460" s="461" t="s">
        <v>366</v>
      </c>
      <c r="AG1460" s="461"/>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453</v>
      </c>
      <c r="M1461" s="116" t="s">
        <v>299</v>
      </c>
      <c r="N1461" s="116" t="s">
        <v>108</v>
      </c>
      <c r="O1461" s="170" t="s">
        <v>387</v>
      </c>
      <c r="P1461" s="462" t="s">
        <v>376</v>
      </c>
      <c r="Q1461" s="462"/>
      <c r="R1461" s="101" t="s">
        <v>453</v>
      </c>
      <c r="S1461" s="116" t="s">
        <v>0</v>
      </c>
      <c r="T1461" s="118"/>
      <c r="U1461" s="116" t="s">
        <v>288</v>
      </c>
      <c r="V1461" s="116" t="s">
        <v>289</v>
      </c>
      <c r="W1461" s="116" t="s">
        <v>292</v>
      </c>
      <c r="X1461" s="140"/>
      <c r="Y1461" s="116" t="s">
        <v>290</v>
      </c>
      <c r="Z1461" s="116" t="s">
        <v>355</v>
      </c>
      <c r="AA1461" s="116" t="s">
        <v>356</v>
      </c>
      <c r="AB1461" s="116" t="s">
        <v>318</v>
      </c>
      <c r="AC1461" s="116" t="s">
        <v>319</v>
      </c>
      <c r="AD1461" s="116" t="s">
        <v>317</v>
      </c>
      <c r="AE1461" s="140"/>
      <c r="AF1461" s="116" t="s">
        <v>294</v>
      </c>
      <c r="AG1461" s="116" t="s">
        <v>355</v>
      </c>
      <c r="AH1461" s="116" t="s">
        <v>356</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644</v>
      </c>
      <c r="O1462" s="121" t="s">
        <v>138</v>
      </c>
      <c r="P1462" s="169" t="s">
        <v>380</v>
      </c>
      <c r="Q1462" s="169" t="s">
        <v>376</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427</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394</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451</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415</v>
      </c>
      <c r="P1466" s="121" t="s">
        <v>448</v>
      </c>
      <c r="Q1466" s="121" t="s">
        <v>384</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641</v>
      </c>
      <c r="P1467" s="121" t="s">
        <v>448</v>
      </c>
      <c r="Q1467" s="121" t="s">
        <v>645</v>
      </c>
      <c r="R1467" s="121"/>
      <c r="S1467" s="133">
        <f>M1462</f>
        <v>0</v>
      </c>
      <c r="T1467" s="120"/>
      <c r="U1467" s="117" t="s">
        <v>364</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378</v>
      </c>
      <c r="L1483" s="128" t="s">
        <v>379</v>
      </c>
      <c r="N1483" s="129"/>
      <c r="O1483" s="130" t="s">
        <v>358</v>
      </c>
      <c r="P1483" s="131">
        <f>V1483+AA1483+AH1483</f>
        <v>0</v>
      </c>
      <c r="Q1483" s="131"/>
      <c r="R1483" s="131"/>
      <c r="S1483" s="130"/>
      <c r="T1483" s="127"/>
      <c r="U1483" s="126" t="s">
        <v>352</v>
      </c>
      <c r="V1483" s="127">
        <f>W1483*80</f>
        <v>0</v>
      </c>
      <c r="W1483" s="147">
        <f>SUM(W1462:W1482)</f>
        <v>0</v>
      </c>
      <c r="X1483" s="148"/>
      <c r="Y1483" s="127" t="s">
        <v>353</v>
      </c>
      <c r="Z1483" s="116"/>
      <c r="AA1483" s="116">
        <f>SUM(AA1462:AA1482)</f>
        <v>0</v>
      </c>
      <c r="AB1483" s="149"/>
      <c r="AC1483" s="149"/>
      <c r="AD1483" s="149"/>
      <c r="AE1483" s="149"/>
      <c r="AF1483" s="127" t="s">
        <v>357</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492</v>
      </c>
      <c r="C1484" s="217" t="str">
        <f>N1462</f>
        <v>VRF indoor units with cabling for on/off control from other system/s to unit</v>
      </c>
      <c r="D1484" s="260" t="s">
        <v>679</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368</v>
      </c>
      <c r="N1484" s="160" t="str">
        <f>N1462</f>
        <v>VRF indoor units with cabling for on/off control from other system/s to unit</v>
      </c>
      <c r="O1484" s="160" t="s">
        <v>366</v>
      </c>
      <c r="P1484" s="82" t="e">
        <f>P1483/M1462</f>
        <v>#DIV/0!</v>
      </c>
      <c r="Q1484" s="161"/>
      <c r="R1484" s="161"/>
      <c r="S1484" s="160"/>
      <c r="T1484" s="161"/>
      <c r="U1484" s="463" t="s">
        <v>367</v>
      </c>
      <c r="V1484" s="463"/>
      <c r="W1484" s="162" t="e">
        <f>W1483/M1462</f>
        <v>#DIV/0!</v>
      </c>
      <c r="X1484" s="163"/>
      <c r="Y1484" s="461" t="s">
        <v>366</v>
      </c>
      <c r="Z1484" s="461"/>
      <c r="AA1484" s="164" t="e">
        <f>AA1483/M1462</f>
        <v>#DIV/0!</v>
      </c>
      <c r="AB1484" s="161"/>
      <c r="AC1484" s="161"/>
      <c r="AD1484" s="161"/>
      <c r="AE1484" s="161"/>
      <c r="AF1484" s="461" t="s">
        <v>366</v>
      </c>
      <c r="AG1484" s="461"/>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453</v>
      </c>
      <c r="M1485" s="116" t="s">
        <v>299</v>
      </c>
      <c r="N1485" s="116" t="s">
        <v>108</v>
      </c>
      <c r="O1485" s="170" t="s">
        <v>387</v>
      </c>
      <c r="P1485" s="462" t="s">
        <v>376</v>
      </c>
      <c r="Q1485" s="462"/>
      <c r="R1485" s="101" t="s">
        <v>453</v>
      </c>
      <c r="S1485" s="116" t="s">
        <v>0</v>
      </c>
      <c r="T1485" s="118"/>
      <c r="U1485" s="116" t="s">
        <v>288</v>
      </c>
      <c r="V1485" s="116" t="s">
        <v>289</v>
      </c>
      <c r="W1485" s="116" t="s">
        <v>292</v>
      </c>
      <c r="X1485" s="140"/>
      <c r="Y1485" s="116" t="s">
        <v>290</v>
      </c>
      <c r="Z1485" s="116" t="s">
        <v>355</v>
      </c>
      <c r="AA1485" s="116" t="s">
        <v>356</v>
      </c>
      <c r="AB1485" s="116" t="s">
        <v>318</v>
      </c>
      <c r="AC1485" s="116" t="s">
        <v>319</v>
      </c>
      <c r="AD1485" s="116" t="s">
        <v>317</v>
      </c>
      <c r="AE1485" s="140"/>
      <c r="AF1485" s="116" t="s">
        <v>294</v>
      </c>
      <c r="AG1485" s="116" t="s">
        <v>355</v>
      </c>
      <c r="AH1485" s="116" t="s">
        <v>356</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643</v>
      </c>
      <c r="O1486" s="121" t="s">
        <v>138</v>
      </c>
      <c r="P1486" s="169" t="s">
        <v>380</v>
      </c>
      <c r="Q1486" s="169" t="s">
        <v>376</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427</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394</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451</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415</v>
      </c>
      <c r="P1490" s="121" t="s">
        <v>448</v>
      </c>
      <c r="Q1490" s="121" t="s">
        <v>384</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641</v>
      </c>
      <c r="P1491" s="121" t="s">
        <v>448</v>
      </c>
      <c r="Q1491" s="121" t="s">
        <v>642</v>
      </c>
      <c r="R1491" s="121"/>
      <c r="S1491" s="133">
        <f>M1486</f>
        <v>0</v>
      </c>
      <c r="T1491" s="120"/>
      <c r="U1491" s="117" t="s">
        <v>364</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378</v>
      </c>
      <c r="L1507" s="128" t="s">
        <v>379</v>
      </c>
      <c r="N1507" s="129"/>
      <c r="O1507" s="130" t="s">
        <v>358</v>
      </c>
      <c r="P1507" s="131">
        <f>V1507+AA1507+AH1507</f>
        <v>0</v>
      </c>
      <c r="Q1507" s="131"/>
      <c r="R1507" s="131"/>
      <c r="S1507" s="130"/>
      <c r="T1507" s="127"/>
      <c r="U1507" s="126" t="s">
        <v>352</v>
      </c>
      <c r="V1507" s="127">
        <f>W1507*80</f>
        <v>0</v>
      </c>
      <c r="W1507" s="147">
        <f>SUM(W1486:W1506)</f>
        <v>0</v>
      </c>
      <c r="X1507" s="148"/>
      <c r="Y1507" s="127" t="s">
        <v>353</v>
      </c>
      <c r="Z1507" s="116"/>
      <c r="AA1507" s="116">
        <f>SUM(AA1486:AA1506)</f>
        <v>0</v>
      </c>
      <c r="AB1507" s="149"/>
      <c r="AC1507" s="149"/>
      <c r="AD1507" s="149"/>
      <c r="AE1507" s="149"/>
      <c r="AF1507" s="127" t="s">
        <v>357</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492</v>
      </c>
      <c r="C1508" s="217" t="str">
        <f>N1486</f>
        <v>VRF indoor units with cabling for run status from unit to other system/s</v>
      </c>
      <c r="D1508" s="260" t="s">
        <v>679</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368</v>
      </c>
      <c r="N1508" s="160" t="str">
        <f>N1486</f>
        <v>VRF indoor units with cabling for run status from unit to other system/s</v>
      </c>
      <c r="O1508" s="160" t="s">
        <v>366</v>
      </c>
      <c r="P1508" s="82" t="e">
        <f>P1507/M1486</f>
        <v>#DIV/0!</v>
      </c>
      <c r="Q1508" s="161"/>
      <c r="R1508" s="161"/>
      <c r="S1508" s="160"/>
      <c r="T1508" s="161"/>
      <c r="U1508" s="463" t="s">
        <v>367</v>
      </c>
      <c r="V1508" s="463"/>
      <c r="W1508" s="162" t="e">
        <f>W1507/M1486</f>
        <v>#DIV/0!</v>
      </c>
      <c r="X1508" s="163"/>
      <c r="Y1508" s="461" t="s">
        <v>366</v>
      </c>
      <c r="Z1508" s="461"/>
      <c r="AA1508" s="164" t="e">
        <f>AA1507/M1486</f>
        <v>#DIV/0!</v>
      </c>
      <c r="AB1508" s="161"/>
      <c r="AC1508" s="161"/>
      <c r="AD1508" s="161"/>
      <c r="AE1508" s="161"/>
      <c r="AF1508" s="461" t="s">
        <v>366</v>
      </c>
      <c r="AG1508" s="461"/>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453</v>
      </c>
      <c r="M1509" s="2" t="s">
        <v>299</v>
      </c>
      <c r="N1509" s="2" t="s">
        <v>108</v>
      </c>
      <c r="O1509" s="97" t="s">
        <v>387</v>
      </c>
      <c r="P1509" s="462" t="s">
        <v>376</v>
      </c>
      <c r="Q1509" s="462"/>
      <c r="R1509" s="101" t="s">
        <v>453</v>
      </c>
      <c r="S1509" s="2" t="s">
        <v>0</v>
      </c>
      <c r="T1509" s="9"/>
      <c r="U1509" s="2" t="s">
        <v>288</v>
      </c>
      <c r="V1509" s="2" t="s">
        <v>289</v>
      </c>
      <c r="W1509" s="2" t="s">
        <v>292</v>
      </c>
      <c r="X1509" s="58"/>
      <c r="Y1509" s="2" t="s">
        <v>290</v>
      </c>
      <c r="Z1509" s="2" t="s">
        <v>355</v>
      </c>
      <c r="AA1509" s="2" t="s">
        <v>356</v>
      </c>
      <c r="AB1509" s="2" t="s">
        <v>318</v>
      </c>
      <c r="AC1509" s="2" t="s">
        <v>319</v>
      </c>
      <c r="AD1509" s="2" t="s">
        <v>317</v>
      </c>
      <c r="AE1509" s="58"/>
      <c r="AF1509" s="2" t="s">
        <v>294</v>
      </c>
      <c r="AG1509" s="2" t="s">
        <v>355</v>
      </c>
      <c r="AH1509" s="2" t="s">
        <v>356</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637</v>
      </c>
      <c r="O1510" s="12" t="s">
        <v>138</v>
      </c>
      <c r="P1510" s="96" t="s">
        <v>380</v>
      </c>
      <c r="Q1510" s="96" t="s">
        <v>376</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394</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451</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415</v>
      </c>
      <c r="P1514" s="12" t="s">
        <v>448</v>
      </c>
      <c r="Q1514" s="12" t="s">
        <v>384</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378</v>
      </c>
      <c r="L1531" s="21" t="s">
        <v>379</v>
      </c>
      <c r="N1531" s="22"/>
      <c r="O1531" s="23" t="s">
        <v>358</v>
      </c>
      <c r="P1531" s="24">
        <f>V1531+AA1531+AH1531</f>
        <v>0</v>
      </c>
      <c r="Q1531" s="24"/>
      <c r="R1531" s="24"/>
      <c r="S1531" s="23"/>
      <c r="T1531" s="20"/>
      <c r="U1531" s="19" t="s">
        <v>352</v>
      </c>
      <c r="V1531" s="20">
        <f>W1531*80</f>
        <v>0</v>
      </c>
      <c r="W1531" s="69">
        <f>SUM(W1510:W1530)</f>
        <v>0</v>
      </c>
      <c r="X1531" s="70"/>
      <c r="Y1531" s="20" t="s">
        <v>353</v>
      </c>
      <c r="Z1531" s="2"/>
      <c r="AA1531" s="2">
        <f>SUM(AA1510:AA1530)</f>
        <v>0</v>
      </c>
      <c r="AB1531" s="71"/>
      <c r="AC1531" s="71"/>
      <c r="AD1531" s="71"/>
      <c r="AE1531" s="71"/>
      <c r="AF1531" s="20" t="s">
        <v>357</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492</v>
      </c>
      <c r="C1532" s="217" t="str">
        <f>N1510</f>
        <v>VRF indoor units</v>
      </c>
      <c r="D1532" s="260" t="s">
        <v>678</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368</v>
      </c>
      <c r="N1532" s="83" t="str">
        <f>N1510</f>
        <v>VRF indoor units</v>
      </c>
      <c r="O1532" s="83" t="s">
        <v>366</v>
      </c>
      <c r="P1532" s="82" t="e">
        <f>P1531/M1510</f>
        <v>#DIV/0!</v>
      </c>
      <c r="Q1532" s="84"/>
      <c r="R1532" s="84"/>
      <c r="S1532" s="83"/>
      <c r="T1532" s="84"/>
      <c r="U1532" s="463" t="s">
        <v>367</v>
      </c>
      <c r="V1532" s="463"/>
      <c r="W1532" s="85" t="e">
        <f>W1531/M1510</f>
        <v>#DIV/0!</v>
      </c>
      <c r="X1532" s="86"/>
      <c r="Y1532" s="461" t="s">
        <v>366</v>
      </c>
      <c r="Z1532" s="461"/>
      <c r="AA1532" s="87" t="e">
        <f>AA1531/M1510</f>
        <v>#DIV/0!</v>
      </c>
      <c r="AB1532" s="84"/>
      <c r="AC1532" s="84"/>
      <c r="AD1532" s="84"/>
      <c r="AE1532" s="84"/>
      <c r="AF1532" s="461" t="s">
        <v>366</v>
      </c>
      <c r="AG1532" s="461"/>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453</v>
      </c>
      <c r="M1533" s="2" t="s">
        <v>299</v>
      </c>
      <c r="N1533" s="2" t="s">
        <v>108</v>
      </c>
      <c r="O1533" s="97" t="s">
        <v>387</v>
      </c>
      <c r="P1533" s="462" t="s">
        <v>376</v>
      </c>
      <c r="Q1533" s="462"/>
      <c r="R1533" s="101" t="s">
        <v>453</v>
      </c>
      <c r="S1533" s="2" t="s">
        <v>0</v>
      </c>
      <c r="T1533" s="9"/>
      <c r="U1533" s="2" t="s">
        <v>288</v>
      </c>
      <c r="V1533" s="2" t="s">
        <v>289</v>
      </c>
      <c r="W1533" s="2" t="s">
        <v>292</v>
      </c>
      <c r="X1533" s="58"/>
      <c r="Y1533" s="2" t="s">
        <v>290</v>
      </c>
      <c r="Z1533" s="2" t="s">
        <v>355</v>
      </c>
      <c r="AA1533" s="2" t="s">
        <v>356</v>
      </c>
      <c r="AB1533" s="2" t="s">
        <v>318</v>
      </c>
      <c r="AC1533" s="2" t="s">
        <v>319</v>
      </c>
      <c r="AD1533" s="2" t="s">
        <v>317</v>
      </c>
      <c r="AE1533" s="58"/>
      <c r="AF1533" s="2" t="s">
        <v>294</v>
      </c>
      <c r="AG1533" s="2" t="s">
        <v>355</v>
      </c>
      <c r="AH1533" s="2" t="s">
        <v>356</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574</v>
      </c>
      <c r="O1534" s="12" t="s">
        <v>138</v>
      </c>
      <c r="P1534" s="96" t="s">
        <v>380</v>
      </c>
      <c r="Q1534" s="96" t="s">
        <v>376</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394</v>
      </c>
      <c r="P1536" s="12"/>
      <c r="Q1536" s="12"/>
      <c r="R1536" s="12"/>
      <c r="S1536" s="28">
        <f>M1534</f>
        <v>0</v>
      </c>
      <c r="T1536" s="11"/>
      <c r="U1536" s="73" t="s">
        <v>429</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451</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395</v>
      </c>
      <c r="P1538" s="12" t="s">
        <v>382</v>
      </c>
      <c r="Q1538" s="12" t="s">
        <v>450</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452</v>
      </c>
      <c r="P1539" s="12" t="s">
        <v>382</v>
      </c>
      <c r="Q1539" s="12" t="s">
        <v>383</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378</v>
      </c>
      <c r="L1555" s="21" t="s">
        <v>379</v>
      </c>
      <c r="N1555" s="22"/>
      <c r="O1555" s="23" t="s">
        <v>358</v>
      </c>
      <c r="P1555" s="24">
        <f>V1555+AA1555+AH1555</f>
        <v>0</v>
      </c>
      <c r="Q1555" s="24"/>
      <c r="R1555" s="24"/>
      <c r="S1555" s="23"/>
      <c r="T1555" s="20"/>
      <c r="U1555" s="19" t="s">
        <v>352</v>
      </c>
      <c r="V1555" s="20">
        <f>W1555*80</f>
        <v>0</v>
      </c>
      <c r="W1555" s="69">
        <f>SUM(W1534:W1554)</f>
        <v>0</v>
      </c>
      <c r="X1555" s="70"/>
      <c r="Y1555" s="20" t="s">
        <v>353</v>
      </c>
      <c r="Z1555" s="2"/>
      <c r="AA1555" s="2">
        <f>SUM(AA1534:AA1554)</f>
        <v>0</v>
      </c>
      <c r="AB1555" s="71"/>
      <c r="AC1555" s="71"/>
      <c r="AD1555" s="71"/>
      <c r="AE1555" s="71"/>
      <c r="AF1555" s="20" t="s">
        <v>357</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492</v>
      </c>
      <c r="C1556" s="217" t="str">
        <f>N1534</f>
        <v>Ducted VRF indoor fan coil units</v>
      </c>
      <c r="D1556" s="260" t="s">
        <v>678</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368</v>
      </c>
      <c r="N1556" s="83" t="str">
        <f>N1534</f>
        <v>Ducted VRF indoor fan coil units</v>
      </c>
      <c r="O1556" s="83" t="s">
        <v>366</v>
      </c>
      <c r="P1556" s="64" t="e">
        <f>P1555/M1534</f>
        <v>#DIV/0!</v>
      </c>
      <c r="Q1556" s="84"/>
      <c r="R1556" s="84"/>
      <c r="S1556" s="83"/>
      <c r="T1556" s="84"/>
      <c r="U1556" s="463" t="s">
        <v>367</v>
      </c>
      <c r="V1556" s="463"/>
      <c r="W1556" s="85" t="e">
        <f>W1555/M1534</f>
        <v>#DIV/0!</v>
      </c>
      <c r="X1556" s="86"/>
      <c r="Y1556" s="461" t="s">
        <v>366</v>
      </c>
      <c r="Z1556" s="461"/>
      <c r="AA1556" s="87" t="e">
        <f>AA1555/M1534</f>
        <v>#DIV/0!</v>
      </c>
      <c r="AB1556" s="84"/>
      <c r="AC1556" s="84"/>
      <c r="AD1556" s="84"/>
      <c r="AE1556" s="84"/>
      <c r="AF1556" s="461" t="s">
        <v>366</v>
      </c>
      <c r="AG1556" s="461"/>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453</v>
      </c>
      <c r="M1559" s="116" t="s">
        <v>107</v>
      </c>
      <c r="N1559" s="116" t="s">
        <v>108</v>
      </c>
      <c r="O1559" s="170" t="s">
        <v>387</v>
      </c>
      <c r="P1559" s="462" t="s">
        <v>376</v>
      </c>
      <c r="Q1559" s="462"/>
      <c r="R1559" s="101" t="s">
        <v>453</v>
      </c>
      <c r="S1559" s="116" t="s">
        <v>0</v>
      </c>
      <c r="T1559" s="118"/>
      <c r="U1559" s="116" t="s">
        <v>288</v>
      </c>
      <c r="V1559" s="116" t="s">
        <v>289</v>
      </c>
      <c r="W1559" s="116" t="s">
        <v>292</v>
      </c>
      <c r="X1559" s="140"/>
      <c r="Y1559" s="116" t="s">
        <v>290</v>
      </c>
      <c r="Z1559" s="116" t="s">
        <v>355</v>
      </c>
      <c r="AA1559" s="116" t="s">
        <v>356</v>
      </c>
      <c r="AB1559" s="116" t="s">
        <v>318</v>
      </c>
      <c r="AC1559" s="116" t="s">
        <v>319</v>
      </c>
      <c r="AD1559" s="116" t="s">
        <v>317</v>
      </c>
      <c r="AE1559" s="140"/>
      <c r="AF1559" s="116" t="s">
        <v>294</v>
      </c>
      <c r="AG1559" s="116" t="s">
        <v>355</v>
      </c>
      <c r="AH1559" s="116" t="s">
        <v>356</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566</v>
      </c>
      <c r="O1560" s="121" t="s">
        <v>133</v>
      </c>
      <c r="P1560" s="169" t="s">
        <v>380</v>
      </c>
      <c r="Q1560" s="169" t="s">
        <v>376</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396</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364</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364</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378</v>
      </c>
      <c r="L1581" s="128" t="s">
        <v>379</v>
      </c>
      <c r="N1581" s="129"/>
      <c r="O1581" s="130" t="s">
        <v>358</v>
      </c>
      <c r="P1581" s="131">
        <f>V1581+AA1581+AH1581</f>
        <v>0</v>
      </c>
      <c r="Q1581" s="131"/>
      <c r="R1581" s="131"/>
      <c r="S1581" s="130"/>
      <c r="T1581" s="127"/>
      <c r="U1581" s="126" t="s">
        <v>352</v>
      </c>
      <c r="V1581" s="127">
        <f>W1581*80</f>
        <v>0</v>
      </c>
      <c r="W1581" s="147">
        <f>SUM(W1560:W1580)</f>
        <v>0</v>
      </c>
      <c r="X1581" s="148"/>
      <c r="Y1581" s="127" t="s">
        <v>353</v>
      </c>
      <c r="Z1581" s="116"/>
      <c r="AA1581" s="116">
        <f>SUM(AA1560:AA1580)</f>
        <v>0</v>
      </c>
      <c r="AB1581" s="149"/>
      <c r="AC1581" s="149"/>
      <c r="AD1581" s="149"/>
      <c r="AE1581" s="149"/>
      <c r="AF1581" s="127" t="s">
        <v>357</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492</v>
      </c>
      <c r="C1582" s="217" t="str">
        <f>N1560</f>
        <v>Packaged units</v>
      </c>
      <c r="D1582" s="260" t="s">
        <v>679</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368</v>
      </c>
      <c r="N1582" s="160" t="str">
        <f>N1560</f>
        <v>Packaged units</v>
      </c>
      <c r="O1582" s="160" t="s">
        <v>366</v>
      </c>
      <c r="P1582" s="64" t="e">
        <f>P1581/M1560</f>
        <v>#DIV/0!</v>
      </c>
      <c r="Q1582" s="161"/>
      <c r="R1582" s="161"/>
      <c r="S1582" s="160"/>
      <c r="T1582" s="161"/>
      <c r="U1582" s="463" t="s">
        <v>367</v>
      </c>
      <c r="V1582" s="463"/>
      <c r="W1582" s="162" t="e">
        <f>W1581/M1560</f>
        <v>#DIV/0!</v>
      </c>
      <c r="X1582" s="163"/>
      <c r="Y1582" s="461" t="s">
        <v>366</v>
      </c>
      <c r="Z1582" s="461"/>
      <c r="AA1582" s="164" t="e">
        <f>AA1581/M1560</f>
        <v>#DIV/0!</v>
      </c>
      <c r="AB1582" s="161"/>
      <c r="AC1582" s="161"/>
      <c r="AD1582" s="161"/>
      <c r="AE1582" s="161"/>
      <c r="AF1582" s="461" t="s">
        <v>366</v>
      </c>
      <c r="AG1582" s="461"/>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453</v>
      </c>
      <c r="M1583" s="116" t="s">
        <v>107</v>
      </c>
      <c r="N1583" s="116" t="s">
        <v>108</v>
      </c>
      <c r="O1583" s="170" t="s">
        <v>387</v>
      </c>
      <c r="P1583" s="462" t="s">
        <v>376</v>
      </c>
      <c r="Q1583" s="462"/>
      <c r="R1583" s="101" t="s">
        <v>453</v>
      </c>
      <c r="S1583" s="116" t="s">
        <v>0</v>
      </c>
      <c r="T1583" s="118"/>
      <c r="U1583" s="116" t="s">
        <v>288</v>
      </c>
      <c r="V1583" s="116" t="s">
        <v>289</v>
      </c>
      <c r="W1583" s="116" t="s">
        <v>292</v>
      </c>
      <c r="X1583" s="140"/>
      <c r="Y1583" s="116" t="s">
        <v>290</v>
      </c>
      <c r="Z1583" s="116" t="s">
        <v>355</v>
      </c>
      <c r="AA1583" s="116" t="s">
        <v>356</v>
      </c>
      <c r="AB1583" s="116" t="s">
        <v>318</v>
      </c>
      <c r="AC1583" s="116" t="s">
        <v>319</v>
      </c>
      <c r="AD1583" s="116" t="s">
        <v>317</v>
      </c>
      <c r="AE1583" s="140"/>
      <c r="AF1583" s="116" t="s">
        <v>294</v>
      </c>
      <c r="AG1583" s="116" t="s">
        <v>355</v>
      </c>
      <c r="AH1583" s="116" t="s">
        <v>356</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620</v>
      </c>
      <c r="O1584" s="121" t="s">
        <v>133</v>
      </c>
      <c r="P1584" s="169" t="s">
        <v>380</v>
      </c>
      <c r="Q1584" s="169" t="s">
        <v>376</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622</v>
      </c>
      <c r="P1586" s="121"/>
      <c r="Q1586" s="66"/>
      <c r="R1586" s="121"/>
      <c r="S1586" s="133">
        <f>M1584</f>
        <v>0</v>
      </c>
      <c r="T1586" s="120"/>
      <c r="U1586" s="117" t="s">
        <v>364</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594</v>
      </c>
      <c r="Q1587" s="66" t="s">
        <v>623</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612</v>
      </c>
      <c r="P1588" s="121" t="s">
        <v>594</v>
      </c>
      <c r="Q1588" s="121" t="s">
        <v>595</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597</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598</v>
      </c>
      <c r="P1590" s="121" t="s">
        <v>594</v>
      </c>
      <c r="Q1590" s="66" t="s">
        <v>624</v>
      </c>
      <c r="R1590" s="121"/>
      <c r="S1590" s="133">
        <f>M1584</f>
        <v>0</v>
      </c>
      <c r="T1590" s="120"/>
      <c r="U1590" s="117" t="s">
        <v>364</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594</v>
      </c>
      <c r="Q1596" s="121" t="s">
        <v>621</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378</v>
      </c>
      <c r="L1605" s="128" t="s">
        <v>379</v>
      </c>
      <c r="N1605" s="129"/>
      <c r="O1605" s="130" t="s">
        <v>358</v>
      </c>
      <c r="P1605" s="131">
        <f>V1605+AA1605+AH1605</f>
        <v>0</v>
      </c>
      <c r="Q1605" s="131"/>
      <c r="R1605" s="131"/>
      <c r="S1605" s="130"/>
      <c r="T1605" s="127"/>
      <c r="U1605" s="126" t="s">
        <v>352</v>
      </c>
      <c r="V1605" s="127">
        <f>W1605*80</f>
        <v>0</v>
      </c>
      <c r="W1605" s="147">
        <f>SUM(W1584:W1604)</f>
        <v>0</v>
      </c>
      <c r="X1605" s="148"/>
      <c r="Y1605" s="127" t="s">
        <v>353</v>
      </c>
      <c r="Z1605" s="116"/>
      <c r="AA1605" s="116">
        <f>SUM(AA1584:AA1604)</f>
        <v>0</v>
      </c>
      <c r="AB1605" s="149"/>
      <c r="AC1605" s="149"/>
      <c r="AD1605" s="149"/>
      <c r="AE1605" s="149"/>
      <c r="AF1605" s="127" t="s">
        <v>357</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492</v>
      </c>
      <c r="C1606" s="217" t="str">
        <f>N1584</f>
        <v>Packaged units (Field wiring by customer)</v>
      </c>
      <c r="D1606" s="260" t="s">
        <v>679</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368</v>
      </c>
      <c r="N1606" s="160" t="str">
        <f>N1584</f>
        <v>Packaged units (Field wiring by customer)</v>
      </c>
      <c r="O1606" s="160" t="s">
        <v>366</v>
      </c>
      <c r="P1606" s="64" t="e">
        <f>P1605/M1584</f>
        <v>#DIV/0!</v>
      </c>
      <c r="Q1606" s="161"/>
      <c r="R1606" s="161"/>
      <c r="S1606" s="160"/>
      <c r="T1606" s="161"/>
      <c r="U1606" s="463" t="s">
        <v>367</v>
      </c>
      <c r="V1606" s="463"/>
      <c r="W1606" s="162" t="e">
        <f>W1605/M1584</f>
        <v>#DIV/0!</v>
      </c>
      <c r="X1606" s="163"/>
      <c r="Y1606" s="461" t="s">
        <v>366</v>
      </c>
      <c r="Z1606" s="461"/>
      <c r="AA1606" s="164" t="e">
        <f>AA1605/M1584</f>
        <v>#DIV/0!</v>
      </c>
      <c r="AB1606" s="161"/>
      <c r="AC1606" s="161"/>
      <c r="AD1606" s="161"/>
      <c r="AE1606" s="161"/>
      <c r="AF1606" s="461" t="s">
        <v>366</v>
      </c>
      <c r="AG1606" s="461"/>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453</v>
      </c>
      <c r="M1607" s="2" t="s">
        <v>107</v>
      </c>
      <c r="N1607" s="2" t="s">
        <v>108</v>
      </c>
      <c r="O1607" s="97" t="s">
        <v>387</v>
      </c>
      <c r="P1607" s="462" t="s">
        <v>376</v>
      </c>
      <c r="Q1607" s="462"/>
      <c r="R1607" s="101" t="s">
        <v>453</v>
      </c>
      <c r="S1607" s="2" t="s">
        <v>0</v>
      </c>
      <c r="T1607" s="9"/>
      <c r="U1607" s="2" t="s">
        <v>288</v>
      </c>
      <c r="V1607" s="2" t="s">
        <v>289</v>
      </c>
      <c r="W1607" s="2" t="s">
        <v>292</v>
      </c>
      <c r="X1607" s="58"/>
      <c r="Y1607" s="2" t="s">
        <v>290</v>
      </c>
      <c r="Z1607" s="2" t="s">
        <v>355</v>
      </c>
      <c r="AA1607" s="2" t="s">
        <v>356</v>
      </c>
      <c r="AB1607" s="2" t="s">
        <v>318</v>
      </c>
      <c r="AC1607" s="2" t="s">
        <v>319</v>
      </c>
      <c r="AD1607" s="2" t="s">
        <v>317</v>
      </c>
      <c r="AE1607" s="58"/>
      <c r="AF1607" s="2" t="s">
        <v>294</v>
      </c>
      <c r="AG1607" s="2" t="s">
        <v>355</v>
      </c>
      <c r="AH1607" s="2" t="s">
        <v>356</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380</v>
      </c>
      <c r="Q1608" s="96" t="s">
        <v>376</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396</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407</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378</v>
      </c>
      <c r="L1629" s="21" t="s">
        <v>379</v>
      </c>
      <c r="N1629" s="22"/>
      <c r="O1629" s="23" t="s">
        <v>358</v>
      </c>
      <c r="P1629" s="24">
        <f>V1629+AA1629+AH1629</f>
        <v>0</v>
      </c>
      <c r="Q1629" s="24"/>
      <c r="R1629" s="24"/>
      <c r="S1629" s="23"/>
      <c r="T1629" s="20"/>
      <c r="U1629" s="19" t="s">
        <v>352</v>
      </c>
      <c r="V1629" s="20">
        <f>W1629*80</f>
        <v>0</v>
      </c>
      <c r="W1629" s="69">
        <f>SUM(W1608:W1628)</f>
        <v>0</v>
      </c>
      <c r="X1629" s="70"/>
      <c r="Y1629" s="20" t="s">
        <v>353</v>
      </c>
      <c r="Z1629" s="2"/>
      <c r="AA1629" s="2">
        <f>SUM(AA1608:AA1628)</f>
        <v>0</v>
      </c>
      <c r="AB1629" s="71"/>
      <c r="AC1629" s="71"/>
      <c r="AD1629" s="71"/>
      <c r="AE1629" s="71"/>
      <c r="AF1629" s="20" t="s">
        <v>357</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492</v>
      </c>
      <c r="C1630" s="217" t="str">
        <f>N1608</f>
        <v>Office VRF outdoor units</v>
      </c>
      <c r="D1630" s="260" t="s">
        <v>679</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368</v>
      </c>
      <c r="N1630" s="83" t="str">
        <f>N1608</f>
        <v>Office VRF outdoor units</v>
      </c>
      <c r="O1630" s="83" t="s">
        <v>366</v>
      </c>
      <c r="P1630" s="64" t="e">
        <f>P1629/M1608</f>
        <v>#DIV/0!</v>
      </c>
      <c r="Q1630" s="84"/>
      <c r="R1630" s="84"/>
      <c r="S1630" s="83"/>
      <c r="T1630" s="84"/>
      <c r="U1630" s="463" t="s">
        <v>367</v>
      </c>
      <c r="V1630" s="463"/>
      <c r="W1630" s="85" t="e">
        <f>W1629/M1608</f>
        <v>#DIV/0!</v>
      </c>
      <c r="X1630" s="86"/>
      <c r="Y1630" s="461" t="s">
        <v>366</v>
      </c>
      <c r="Z1630" s="461"/>
      <c r="AA1630" s="87" t="e">
        <f>AA1629/M1608</f>
        <v>#DIV/0!</v>
      </c>
      <c r="AB1630" s="84"/>
      <c r="AC1630" s="84"/>
      <c r="AD1630" s="84"/>
      <c r="AE1630" s="84"/>
      <c r="AF1630" s="461" t="s">
        <v>366</v>
      </c>
      <c r="AG1630" s="461"/>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492</v>
      </c>
      <c r="D1631" s="261" t="str">
        <f>IF(B1631="Shopping List",IF(ISNUMBER(SEARCH("MSSB",C1631)),"MSSB",IF(ISNUMBER(SEARCH("local",C1631)),"LOCAL","")))</f>
        <v/>
      </c>
      <c r="I1631" s="269">
        <f>SUM(I1655:I1775)</f>
        <v>0</v>
      </c>
      <c r="J1631" s="261" t="s">
        <v>495</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453</v>
      </c>
      <c r="M1632" s="116" t="s">
        <v>107</v>
      </c>
      <c r="N1632" s="116" t="s">
        <v>108</v>
      </c>
      <c r="O1632" s="170" t="s">
        <v>387</v>
      </c>
      <c r="P1632" s="462" t="s">
        <v>376</v>
      </c>
      <c r="Q1632" s="462"/>
      <c r="R1632" s="101" t="s">
        <v>453</v>
      </c>
      <c r="S1632" s="116" t="s">
        <v>0</v>
      </c>
      <c r="T1632" s="118"/>
      <c r="U1632" s="116" t="s">
        <v>288</v>
      </c>
      <c r="V1632" s="116" t="s">
        <v>289</v>
      </c>
      <c r="W1632" s="116" t="s">
        <v>292</v>
      </c>
      <c r="X1632" s="140"/>
      <c r="Y1632" s="116" t="s">
        <v>290</v>
      </c>
      <c r="Z1632" s="116" t="s">
        <v>355</v>
      </c>
      <c r="AA1632" s="116" t="s">
        <v>356</v>
      </c>
      <c r="AB1632" s="116" t="s">
        <v>318</v>
      </c>
      <c r="AC1632" s="116" t="s">
        <v>319</v>
      </c>
      <c r="AD1632" s="116" t="s">
        <v>317</v>
      </c>
      <c r="AE1632" s="140"/>
      <c r="AF1632" s="116" t="s">
        <v>294</v>
      </c>
      <c r="AG1632" s="116" t="s">
        <v>355</v>
      </c>
      <c r="AH1632" s="116" t="s">
        <v>356</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638</v>
      </c>
      <c r="O1633" s="175" t="s">
        <v>133</v>
      </c>
      <c r="P1633" s="173" t="s">
        <v>380</v>
      </c>
      <c r="Q1633" s="173" t="s">
        <v>376</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531</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532</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408</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409</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378</v>
      </c>
      <c r="L1654" s="128" t="s">
        <v>379</v>
      </c>
      <c r="N1654" s="129"/>
      <c r="O1654" s="175" t="s">
        <v>358</v>
      </c>
      <c r="P1654" s="172">
        <f>P1655*M1633</f>
        <v>0</v>
      </c>
      <c r="Q1654" s="172"/>
      <c r="R1654" s="172"/>
      <c r="S1654" s="175"/>
      <c r="T1654" s="172"/>
      <c r="U1654" s="175" t="s">
        <v>352</v>
      </c>
      <c r="V1654" s="172">
        <f>W1654*80</f>
        <v>0</v>
      </c>
      <c r="W1654" s="177">
        <f>SUM(W1633:W1653)</f>
        <v>0</v>
      </c>
      <c r="X1654" s="178"/>
      <c r="Y1654" s="172" t="s">
        <v>353</v>
      </c>
      <c r="Z1654" s="168"/>
      <c r="AA1654" s="168">
        <f>SUM(AA1633:AA1653)</f>
        <v>0</v>
      </c>
      <c r="AB1654" s="179"/>
      <c r="AC1654" s="179"/>
      <c r="AD1654" s="179"/>
      <c r="AE1654" s="179"/>
      <c r="AF1654" s="172" t="s">
        <v>357</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492</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368</v>
      </c>
      <c r="N1655" s="160" t="str">
        <f>N1633</f>
        <v>Small Coolingwater Aircooled Chillers - from Chiller MSSB</v>
      </c>
      <c r="O1655" s="175" t="s">
        <v>366</v>
      </c>
      <c r="P1655" s="64">
        <v>1000</v>
      </c>
      <c r="Q1655" s="172"/>
      <c r="R1655" s="172"/>
      <c r="S1655" s="175"/>
      <c r="T1655" s="172"/>
      <c r="U1655" s="465" t="s">
        <v>367</v>
      </c>
      <c r="V1655" s="465"/>
      <c r="W1655" s="177" t="e">
        <f>W1654/M1633</f>
        <v>#DIV/0!</v>
      </c>
      <c r="X1655" s="178"/>
      <c r="Y1655" s="466" t="s">
        <v>366</v>
      </c>
      <c r="Z1655" s="466"/>
      <c r="AA1655" s="181" t="e">
        <f>AA1654/M1633</f>
        <v>#DIV/0!</v>
      </c>
      <c r="AB1655" s="172"/>
      <c r="AC1655" s="172"/>
      <c r="AD1655" s="172"/>
      <c r="AE1655" s="172"/>
      <c r="AF1655" s="466" t="s">
        <v>366</v>
      </c>
      <c r="AG1655" s="466"/>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453</v>
      </c>
      <c r="M1656" s="116" t="s">
        <v>107</v>
      </c>
      <c r="N1656" s="116" t="s">
        <v>108</v>
      </c>
      <c r="O1656" s="170" t="s">
        <v>387</v>
      </c>
      <c r="P1656" s="462" t="s">
        <v>376</v>
      </c>
      <c r="Q1656" s="462"/>
      <c r="R1656" s="101" t="s">
        <v>453</v>
      </c>
      <c r="S1656" s="116" t="s">
        <v>0</v>
      </c>
      <c r="T1656" s="118"/>
      <c r="U1656" s="116" t="s">
        <v>288</v>
      </c>
      <c r="V1656" s="116" t="s">
        <v>289</v>
      </c>
      <c r="W1656" s="116" t="s">
        <v>292</v>
      </c>
      <c r="X1656" s="140"/>
      <c r="Y1656" s="116" t="s">
        <v>290</v>
      </c>
      <c r="Z1656" s="116" t="s">
        <v>355</v>
      </c>
      <c r="AA1656" s="116" t="s">
        <v>356</v>
      </c>
      <c r="AB1656" s="116" t="s">
        <v>318</v>
      </c>
      <c r="AC1656" s="116" t="s">
        <v>319</v>
      </c>
      <c r="AD1656" s="116" t="s">
        <v>317</v>
      </c>
      <c r="AE1656" s="140"/>
      <c r="AF1656" s="116" t="s">
        <v>294</v>
      </c>
      <c r="AG1656" s="116" t="s">
        <v>355</v>
      </c>
      <c r="AH1656" s="116" t="s">
        <v>356</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563</v>
      </c>
      <c r="O1657" s="175" t="s">
        <v>133</v>
      </c>
      <c r="P1657" s="173" t="s">
        <v>380</v>
      </c>
      <c r="Q1657" s="173" t="s">
        <v>376</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531</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532</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408</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409</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533</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378</v>
      </c>
      <c r="L1678" s="128" t="s">
        <v>379</v>
      </c>
      <c r="N1678" s="129"/>
      <c r="O1678" s="175" t="s">
        <v>358</v>
      </c>
      <c r="P1678" s="172">
        <f>P1679*M1657</f>
        <v>0</v>
      </c>
      <c r="Q1678" s="172"/>
      <c r="R1678" s="172"/>
      <c r="S1678" s="175"/>
      <c r="T1678" s="172"/>
      <c r="U1678" s="175" t="s">
        <v>352</v>
      </c>
      <c r="V1678" s="172">
        <f>W1678*80</f>
        <v>0</v>
      </c>
      <c r="W1678" s="177">
        <f>SUM(W1657:W1677)</f>
        <v>0</v>
      </c>
      <c r="X1678" s="178"/>
      <c r="Y1678" s="172" t="s">
        <v>353</v>
      </c>
      <c r="Z1678" s="168"/>
      <c r="AA1678" s="168">
        <f>SUM(AA1657:AA1677)</f>
        <v>0</v>
      </c>
      <c r="AB1678" s="179"/>
      <c r="AC1678" s="179"/>
      <c r="AD1678" s="179"/>
      <c r="AE1678" s="179"/>
      <c r="AF1678" s="172" t="s">
        <v>357</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492</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368</v>
      </c>
      <c r="N1679" s="160" t="str">
        <f>N1657</f>
        <v>Small Aircooled Chillers - from Chiller MSSB</v>
      </c>
      <c r="O1679" s="175" t="s">
        <v>366</v>
      </c>
      <c r="P1679" s="64">
        <v>2000</v>
      </c>
      <c r="Q1679" s="172"/>
      <c r="R1679" s="172"/>
      <c r="S1679" s="175"/>
      <c r="T1679" s="172"/>
      <c r="U1679" s="465" t="s">
        <v>367</v>
      </c>
      <c r="V1679" s="465"/>
      <c r="W1679" s="177" t="e">
        <f>W1678/M1657</f>
        <v>#DIV/0!</v>
      </c>
      <c r="X1679" s="178"/>
      <c r="Y1679" s="466" t="s">
        <v>366</v>
      </c>
      <c r="Z1679" s="466"/>
      <c r="AA1679" s="181" t="e">
        <f>AA1678/M1657</f>
        <v>#DIV/0!</v>
      </c>
      <c r="AB1679" s="172"/>
      <c r="AC1679" s="172"/>
      <c r="AD1679" s="172"/>
      <c r="AE1679" s="172"/>
      <c r="AF1679" s="466" t="s">
        <v>366</v>
      </c>
      <c r="AG1679" s="466"/>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453</v>
      </c>
      <c r="M1680" s="116" t="s">
        <v>107</v>
      </c>
      <c r="N1680" s="116" t="s">
        <v>108</v>
      </c>
      <c r="O1680" s="170" t="s">
        <v>387</v>
      </c>
      <c r="P1680" s="462" t="s">
        <v>376</v>
      </c>
      <c r="Q1680" s="462"/>
      <c r="R1680" s="101" t="s">
        <v>453</v>
      </c>
      <c r="S1680" s="116" t="s">
        <v>0</v>
      </c>
      <c r="T1680" s="118"/>
      <c r="U1680" s="116" t="s">
        <v>288</v>
      </c>
      <c r="V1680" s="116" t="s">
        <v>289</v>
      </c>
      <c r="W1680" s="116" t="s">
        <v>292</v>
      </c>
      <c r="X1680" s="140"/>
      <c r="Y1680" s="116" t="s">
        <v>290</v>
      </c>
      <c r="Z1680" s="116" t="s">
        <v>355</v>
      </c>
      <c r="AA1680" s="116" t="s">
        <v>356</v>
      </c>
      <c r="AB1680" s="116" t="s">
        <v>318</v>
      </c>
      <c r="AC1680" s="116" t="s">
        <v>319</v>
      </c>
      <c r="AD1680" s="116" t="s">
        <v>317</v>
      </c>
      <c r="AE1680" s="140"/>
      <c r="AF1680" s="116" t="s">
        <v>294</v>
      </c>
      <c r="AG1680" s="116" t="s">
        <v>355</v>
      </c>
      <c r="AH1680" s="116" t="s">
        <v>356</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562</v>
      </c>
      <c r="O1681" s="175" t="s">
        <v>133</v>
      </c>
      <c r="P1681" s="173" t="s">
        <v>380</v>
      </c>
      <c r="Q1681" s="173" t="s">
        <v>376</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531</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532</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408</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409</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533</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378</v>
      </c>
      <c r="L1702" s="128" t="s">
        <v>379</v>
      </c>
      <c r="N1702" s="129"/>
      <c r="O1702" s="175" t="s">
        <v>358</v>
      </c>
      <c r="P1702" s="172">
        <f>P1703*M1681</f>
        <v>0</v>
      </c>
      <c r="Q1702" s="172"/>
      <c r="R1702" s="172"/>
      <c r="S1702" s="175"/>
      <c r="T1702" s="172"/>
      <c r="U1702" s="175" t="s">
        <v>352</v>
      </c>
      <c r="V1702" s="172">
        <f>W1702*80</f>
        <v>0</v>
      </c>
      <c r="W1702" s="177">
        <f>SUM(W1681:W1701)</f>
        <v>0</v>
      </c>
      <c r="X1702" s="178"/>
      <c r="Y1702" s="172" t="s">
        <v>353</v>
      </c>
      <c r="Z1702" s="168"/>
      <c r="AA1702" s="168">
        <f>SUM(AA1681:AA1701)</f>
        <v>0</v>
      </c>
      <c r="AB1702" s="179"/>
      <c r="AC1702" s="179"/>
      <c r="AD1702" s="179"/>
      <c r="AE1702" s="179"/>
      <c r="AF1702" s="172" t="s">
        <v>357</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492</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368</v>
      </c>
      <c r="N1703" s="160" t="str">
        <f>N1681</f>
        <v>Medium Aircooled Chillers - from Chiller MSSB</v>
      </c>
      <c r="O1703" s="175" t="s">
        <v>366</v>
      </c>
      <c r="P1703" s="64">
        <v>2500</v>
      </c>
      <c r="Q1703" s="172"/>
      <c r="R1703" s="172"/>
      <c r="S1703" s="175"/>
      <c r="T1703" s="172"/>
      <c r="U1703" s="465" t="s">
        <v>367</v>
      </c>
      <c r="V1703" s="465"/>
      <c r="W1703" s="177" t="e">
        <f>W1702/M1681</f>
        <v>#DIV/0!</v>
      </c>
      <c r="X1703" s="178"/>
      <c r="Y1703" s="466" t="s">
        <v>366</v>
      </c>
      <c r="Z1703" s="466"/>
      <c r="AA1703" s="181" t="e">
        <f>AA1702/M1681</f>
        <v>#DIV/0!</v>
      </c>
      <c r="AB1703" s="172"/>
      <c r="AC1703" s="172"/>
      <c r="AD1703" s="172"/>
      <c r="AE1703" s="172"/>
      <c r="AF1703" s="466" t="s">
        <v>366</v>
      </c>
      <c r="AG1703" s="466"/>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453</v>
      </c>
      <c r="M1704" s="116" t="s">
        <v>107</v>
      </c>
      <c r="N1704" s="116" t="s">
        <v>108</v>
      </c>
      <c r="O1704" s="170" t="s">
        <v>387</v>
      </c>
      <c r="P1704" s="462" t="s">
        <v>376</v>
      </c>
      <c r="Q1704" s="462"/>
      <c r="R1704" s="101" t="s">
        <v>453</v>
      </c>
      <c r="S1704" s="116" t="s">
        <v>0</v>
      </c>
      <c r="T1704" s="118"/>
      <c r="U1704" s="116" t="s">
        <v>288</v>
      </c>
      <c r="V1704" s="116" t="s">
        <v>289</v>
      </c>
      <c r="W1704" s="116" t="s">
        <v>292</v>
      </c>
      <c r="X1704" s="140"/>
      <c r="Y1704" s="116" t="s">
        <v>290</v>
      </c>
      <c r="Z1704" s="116" t="s">
        <v>355</v>
      </c>
      <c r="AA1704" s="116" t="s">
        <v>356</v>
      </c>
      <c r="AB1704" s="116" t="s">
        <v>318</v>
      </c>
      <c r="AC1704" s="116" t="s">
        <v>319</v>
      </c>
      <c r="AD1704" s="116" t="s">
        <v>317</v>
      </c>
      <c r="AE1704" s="140"/>
      <c r="AF1704" s="116" t="s">
        <v>294</v>
      </c>
      <c r="AG1704" s="116" t="s">
        <v>355</v>
      </c>
      <c r="AH1704" s="116" t="s">
        <v>356</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559</v>
      </c>
      <c r="O1705" s="121" t="s">
        <v>489</v>
      </c>
      <c r="P1705" s="169" t="s">
        <v>380</v>
      </c>
      <c r="Q1705" s="169" t="s">
        <v>376</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341</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479</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324</v>
      </c>
      <c r="P1709" s="121"/>
      <c r="Q1709" s="121"/>
      <c r="R1709" s="121"/>
      <c r="S1709" s="133">
        <f>M1705</f>
        <v>0</v>
      </c>
      <c r="T1709" s="120"/>
      <c r="U1709" s="121" t="s">
        <v>235</v>
      </c>
      <c r="V1709" s="133">
        <f t="shared" si="785"/>
        <v>0</v>
      </c>
      <c r="W1709" s="133">
        <f>VLOOKUP(U1709,Sheet1!$B$6:$C$45,2,FALSE)*V1709</f>
        <v>0</v>
      </c>
      <c r="X1709" s="141"/>
      <c r="Y1709" s="135" t="s">
        <v>547</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391</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329</v>
      </c>
      <c r="P1713" s="121"/>
      <c r="Q1713" s="121"/>
      <c r="R1713" s="121"/>
      <c r="S1713" s="133">
        <f>M1705</f>
        <v>0</v>
      </c>
      <c r="T1713" s="120"/>
      <c r="U1713" s="121" t="s">
        <v>365</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419</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338</v>
      </c>
      <c r="P1720" s="121"/>
      <c r="Q1720" s="121"/>
      <c r="R1720" s="121" t="s">
        <v>332</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509</v>
      </c>
      <c r="P1721" s="121"/>
      <c r="Q1721" s="121"/>
      <c r="R1721" s="121"/>
      <c r="S1721" s="133">
        <f>M1705</f>
        <v>0</v>
      </c>
      <c r="T1721" s="120"/>
      <c r="U1721" s="121" t="s">
        <v>293</v>
      </c>
      <c r="V1721" s="133">
        <f t="shared" si="785"/>
        <v>0</v>
      </c>
      <c r="W1721" s="133">
        <f>VLOOKUP(U1721,Sheet1!$B$6:$C$45,2,FALSE)*V1721</f>
        <v>0</v>
      </c>
      <c r="X1721" s="141"/>
      <c r="Y1721" s="135" t="s">
        <v>423</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330</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501</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408</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409</v>
      </c>
      <c r="P1725" s="121"/>
      <c r="Q1725" s="121"/>
      <c r="R1725" s="121"/>
      <c r="S1725" s="133">
        <f>M1705</f>
        <v>0</v>
      </c>
      <c r="T1725" s="120"/>
      <c r="U1725" s="121" t="s">
        <v>363</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378</v>
      </c>
      <c r="L1726" s="128" t="s">
        <v>379</v>
      </c>
      <c r="N1726" s="129"/>
      <c r="O1726" s="130" t="s">
        <v>358</v>
      </c>
      <c r="P1726" s="131">
        <f>V1726+AA1726+AH1726</f>
        <v>0</v>
      </c>
      <c r="Q1726" s="131"/>
      <c r="R1726" s="131"/>
      <c r="S1726" s="130"/>
      <c r="T1726" s="127"/>
      <c r="U1726" s="126" t="s">
        <v>352</v>
      </c>
      <c r="V1726" s="127">
        <f>W1726*80</f>
        <v>0</v>
      </c>
      <c r="W1726" s="147">
        <f>SUM(W1705:W1725)</f>
        <v>0</v>
      </c>
      <c r="X1726" s="148"/>
      <c r="Y1726" s="127" t="s">
        <v>353</v>
      </c>
      <c r="Z1726" s="116"/>
      <c r="AA1726" s="116">
        <f>SUM(AA1705:AA1725)</f>
        <v>0</v>
      </c>
      <c r="AB1726" s="149"/>
      <c r="AC1726" s="149"/>
      <c r="AD1726" s="149"/>
      <c r="AE1726" s="149"/>
      <c r="AF1726" s="127" t="s">
        <v>357</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492</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368</v>
      </c>
      <c r="N1727" s="160" t="str">
        <f>N1705</f>
        <v>Small VSD pump - from MSSB power supply and BMS interface provisions</v>
      </c>
      <c r="O1727" s="160" t="s">
        <v>366</v>
      </c>
      <c r="P1727" s="64" t="e">
        <f>P1726/M1705</f>
        <v>#DIV/0!</v>
      </c>
      <c r="Q1727" s="161"/>
      <c r="R1727" s="161"/>
      <c r="S1727" s="160"/>
      <c r="T1727" s="161"/>
      <c r="U1727" s="463" t="s">
        <v>367</v>
      </c>
      <c r="V1727" s="463"/>
      <c r="W1727" s="162" t="e">
        <f>W1726/M1705</f>
        <v>#DIV/0!</v>
      </c>
      <c r="X1727" s="163"/>
      <c r="Y1727" s="461" t="s">
        <v>366</v>
      </c>
      <c r="Z1727" s="461"/>
      <c r="AA1727" s="164" t="e">
        <f>AA1726/M1705</f>
        <v>#DIV/0!</v>
      </c>
      <c r="AB1727" s="161"/>
      <c r="AC1727" s="161"/>
      <c r="AD1727" s="161"/>
      <c r="AE1727" s="161"/>
      <c r="AF1727" s="461" t="s">
        <v>366</v>
      </c>
      <c r="AG1727" s="461"/>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453</v>
      </c>
      <c r="M1728" s="116" t="s">
        <v>107</v>
      </c>
      <c r="N1728" s="116" t="s">
        <v>108</v>
      </c>
      <c r="O1728" s="170" t="s">
        <v>387</v>
      </c>
      <c r="P1728" s="462" t="s">
        <v>376</v>
      </c>
      <c r="Q1728" s="462"/>
      <c r="R1728" s="101" t="s">
        <v>453</v>
      </c>
      <c r="S1728" s="116" t="s">
        <v>0</v>
      </c>
      <c r="T1728" s="118"/>
      <c r="U1728" s="116" t="s">
        <v>288</v>
      </c>
      <c r="V1728" s="116" t="s">
        <v>289</v>
      </c>
      <c r="W1728" s="116" t="s">
        <v>292</v>
      </c>
      <c r="X1728" s="140"/>
      <c r="Y1728" s="116" t="s">
        <v>290</v>
      </c>
      <c r="Z1728" s="116" t="s">
        <v>355</v>
      </c>
      <c r="AA1728" s="116" t="s">
        <v>356</v>
      </c>
      <c r="AB1728" s="116" t="s">
        <v>318</v>
      </c>
      <c r="AC1728" s="116" t="s">
        <v>319</v>
      </c>
      <c r="AD1728" s="116" t="s">
        <v>317</v>
      </c>
      <c r="AE1728" s="140"/>
      <c r="AF1728" s="116" t="s">
        <v>294</v>
      </c>
      <c r="AG1728" s="116" t="s">
        <v>355</v>
      </c>
      <c r="AH1728" s="116" t="s">
        <v>356</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561</v>
      </c>
      <c r="O1729" s="121" t="s">
        <v>489</v>
      </c>
      <c r="P1729" s="169" t="s">
        <v>380</v>
      </c>
      <c r="Q1729" s="169" t="s">
        <v>376</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341</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479</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324</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391</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329</v>
      </c>
      <c r="P1737" s="121"/>
      <c r="Q1737" s="121"/>
      <c r="R1737" s="121"/>
      <c r="S1737" s="133">
        <f>M1729</f>
        <v>0</v>
      </c>
      <c r="T1737" s="120"/>
      <c r="U1737" s="121" t="s">
        <v>365</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419</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338</v>
      </c>
      <c r="P1744" s="121"/>
      <c r="Q1744" s="121"/>
      <c r="R1744" s="121" t="s">
        <v>332</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509</v>
      </c>
      <c r="P1745" s="121"/>
      <c r="Q1745" s="121"/>
      <c r="R1745" s="121"/>
      <c r="S1745" s="133">
        <f>M1729</f>
        <v>0</v>
      </c>
      <c r="T1745" s="120"/>
      <c r="U1745" s="121" t="s">
        <v>293</v>
      </c>
      <c r="V1745" s="133">
        <f t="shared" si="794"/>
        <v>0</v>
      </c>
      <c r="W1745" s="133">
        <f>VLOOKUP(U1745,Sheet1!$B$6:$C$45,2,FALSE)*V1745</f>
        <v>0</v>
      </c>
      <c r="X1745" s="141"/>
      <c r="Y1745" s="135" t="s">
        <v>423</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330</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501</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408</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409</v>
      </c>
      <c r="P1749" s="121"/>
      <c r="Q1749" s="121"/>
      <c r="R1749" s="121"/>
      <c r="S1749" s="133">
        <f>M1729</f>
        <v>0</v>
      </c>
      <c r="T1749" s="120"/>
      <c r="U1749" s="121" t="s">
        <v>363</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378</v>
      </c>
      <c r="L1750" s="128" t="s">
        <v>379</v>
      </c>
      <c r="N1750" s="129"/>
      <c r="O1750" s="130" t="s">
        <v>358</v>
      </c>
      <c r="P1750" s="131">
        <f>V1750+AA1750+AH1750</f>
        <v>0</v>
      </c>
      <c r="Q1750" s="131"/>
      <c r="R1750" s="131"/>
      <c r="S1750" s="130"/>
      <c r="T1750" s="127"/>
      <c r="U1750" s="126" t="s">
        <v>352</v>
      </c>
      <c r="V1750" s="127">
        <f>W1750*80</f>
        <v>0</v>
      </c>
      <c r="W1750" s="147">
        <f>SUM(W1729:W1749)</f>
        <v>0</v>
      </c>
      <c r="X1750" s="148"/>
      <c r="Y1750" s="127" t="s">
        <v>353</v>
      </c>
      <c r="Z1750" s="116"/>
      <c r="AA1750" s="116">
        <f>SUM(AA1729:AA1749)</f>
        <v>0</v>
      </c>
      <c r="AB1750" s="149"/>
      <c r="AC1750" s="149"/>
      <c r="AD1750" s="149"/>
      <c r="AE1750" s="149"/>
      <c r="AF1750" s="127" t="s">
        <v>357</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492</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368</v>
      </c>
      <c r="N1751" s="160" t="str">
        <f>N1729</f>
        <v>Small DOL pump - from MSSB power supply and BMS interface provisions</v>
      </c>
      <c r="O1751" s="160" t="s">
        <v>366</v>
      </c>
      <c r="P1751" s="64" t="e">
        <f>P1750/M1729</f>
        <v>#DIV/0!</v>
      </c>
      <c r="Q1751" s="161"/>
      <c r="R1751" s="161"/>
      <c r="S1751" s="160"/>
      <c r="T1751" s="161"/>
      <c r="U1751" s="463" t="s">
        <v>367</v>
      </c>
      <c r="V1751" s="463"/>
      <c r="W1751" s="162" t="e">
        <f>W1750/M1729</f>
        <v>#DIV/0!</v>
      </c>
      <c r="X1751" s="163"/>
      <c r="Y1751" s="461" t="s">
        <v>366</v>
      </c>
      <c r="Z1751" s="461"/>
      <c r="AA1751" s="164" t="e">
        <f>AA1750/M1729</f>
        <v>#DIV/0!</v>
      </c>
      <c r="AB1751" s="161"/>
      <c r="AC1751" s="161"/>
      <c r="AD1751" s="161"/>
      <c r="AE1751" s="161"/>
      <c r="AF1751" s="461" t="s">
        <v>366</v>
      </c>
      <c r="AG1751" s="461"/>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453</v>
      </c>
      <c r="M1752" s="116" t="s">
        <v>107</v>
      </c>
      <c r="N1752" s="116" t="s">
        <v>108</v>
      </c>
      <c r="O1752" s="170" t="s">
        <v>387</v>
      </c>
      <c r="P1752" s="462" t="s">
        <v>376</v>
      </c>
      <c r="Q1752" s="462"/>
      <c r="R1752" s="101" t="s">
        <v>453</v>
      </c>
      <c r="S1752" s="116" t="s">
        <v>0</v>
      </c>
      <c r="T1752" s="118"/>
      <c r="U1752" s="116" t="s">
        <v>288</v>
      </c>
      <c r="V1752" s="116" t="s">
        <v>289</v>
      </c>
      <c r="W1752" s="116" t="s">
        <v>292</v>
      </c>
      <c r="X1752" s="140"/>
      <c r="Y1752" s="116" t="s">
        <v>290</v>
      </c>
      <c r="Z1752" s="116" t="s">
        <v>355</v>
      </c>
      <c r="AA1752" s="116" t="s">
        <v>356</v>
      </c>
      <c r="AB1752" s="116" t="s">
        <v>318</v>
      </c>
      <c r="AC1752" s="116" t="s">
        <v>319</v>
      </c>
      <c r="AD1752" s="116" t="s">
        <v>317</v>
      </c>
      <c r="AE1752" s="140"/>
      <c r="AF1752" s="116" t="s">
        <v>294</v>
      </c>
      <c r="AG1752" s="116" t="s">
        <v>355</v>
      </c>
      <c r="AH1752" s="116" t="s">
        <v>356</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560</v>
      </c>
      <c r="O1753" s="121" t="s">
        <v>489</v>
      </c>
      <c r="P1753" s="169" t="s">
        <v>380</v>
      </c>
      <c r="Q1753" s="169" t="s">
        <v>376</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341</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479</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324</v>
      </c>
      <c r="P1757" s="121"/>
      <c r="Q1757" s="121"/>
      <c r="R1757" s="121"/>
      <c r="S1757" s="133">
        <f>M1753</f>
        <v>0</v>
      </c>
      <c r="T1757" s="120"/>
      <c r="U1757" s="121" t="s">
        <v>235</v>
      </c>
      <c r="V1757" s="133">
        <f t="shared" si="808"/>
        <v>0</v>
      </c>
      <c r="W1757" s="133">
        <f>VLOOKUP(U1757,Sheet1!$B$6:$C$45,2,FALSE)*V1757</f>
        <v>0</v>
      </c>
      <c r="X1757" s="141"/>
      <c r="Y1757" s="135" t="s">
        <v>491</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391</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329</v>
      </c>
      <c r="P1761" s="121"/>
      <c r="Q1761" s="121"/>
      <c r="R1761" s="121"/>
      <c r="S1761" s="133">
        <f>M1753</f>
        <v>0</v>
      </c>
      <c r="T1761" s="120"/>
      <c r="U1761" s="121" t="s">
        <v>365</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419</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338</v>
      </c>
      <c r="P1768" s="121"/>
      <c r="Q1768" s="121"/>
      <c r="R1768" s="121" t="s">
        <v>332</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509</v>
      </c>
      <c r="P1769" s="121"/>
      <c r="Q1769" s="121"/>
      <c r="R1769" s="121"/>
      <c r="S1769" s="133">
        <f>M1753</f>
        <v>0</v>
      </c>
      <c r="T1769" s="120"/>
      <c r="U1769" s="121" t="s">
        <v>293</v>
      </c>
      <c r="V1769" s="133">
        <f t="shared" si="808"/>
        <v>0</v>
      </c>
      <c r="W1769" s="133">
        <f>VLOOKUP(U1769,Sheet1!$B$6:$C$45,2,FALSE)*V1769</f>
        <v>0</v>
      </c>
      <c r="X1769" s="141"/>
      <c r="Y1769" s="135" t="s">
        <v>423</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330</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501</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408</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409</v>
      </c>
      <c r="P1773" s="121"/>
      <c r="Q1773" s="121"/>
      <c r="R1773" s="121"/>
      <c r="S1773" s="133">
        <f>M1753</f>
        <v>0</v>
      </c>
      <c r="T1773" s="120"/>
      <c r="U1773" s="121" t="s">
        <v>363</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378</v>
      </c>
      <c r="L1774" s="128" t="s">
        <v>379</v>
      </c>
      <c r="N1774" s="129"/>
      <c r="O1774" s="130" t="s">
        <v>358</v>
      </c>
      <c r="P1774" s="131">
        <f>V1774+AA1774+AH1774</f>
        <v>0</v>
      </c>
      <c r="Q1774" s="131"/>
      <c r="R1774" s="131"/>
      <c r="S1774" s="130"/>
      <c r="T1774" s="127"/>
      <c r="U1774" s="126" t="s">
        <v>352</v>
      </c>
      <c r="V1774" s="127">
        <f>W1774*80</f>
        <v>0</v>
      </c>
      <c r="W1774" s="147">
        <f>SUM(W1753:W1773)</f>
        <v>0</v>
      </c>
      <c r="X1774" s="148"/>
      <c r="Y1774" s="127" t="s">
        <v>353</v>
      </c>
      <c r="Z1774" s="116"/>
      <c r="AA1774" s="116">
        <f>SUM(AA1753:AA1773)</f>
        <v>0</v>
      </c>
      <c r="AB1774" s="149"/>
      <c r="AC1774" s="149"/>
      <c r="AD1774" s="149"/>
      <c r="AE1774" s="149"/>
      <c r="AF1774" s="127" t="s">
        <v>357</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492</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368</v>
      </c>
      <c r="N1775" s="160" t="str">
        <f>N1753</f>
        <v>Medium VSD pump - from MSSB power supply and BMS interface provisions</v>
      </c>
      <c r="O1775" s="160" t="s">
        <v>366</v>
      </c>
      <c r="P1775" s="64" t="e">
        <f>P1774/M1753</f>
        <v>#DIV/0!</v>
      </c>
      <c r="Q1775" s="161"/>
      <c r="R1775" s="161"/>
      <c r="S1775" s="160"/>
      <c r="T1775" s="161"/>
      <c r="U1775" s="463" t="s">
        <v>367</v>
      </c>
      <c r="V1775" s="463"/>
      <c r="W1775" s="162" t="e">
        <f>W1774/M1753</f>
        <v>#DIV/0!</v>
      </c>
      <c r="X1775" s="163"/>
      <c r="Y1775" s="461" t="s">
        <v>366</v>
      </c>
      <c r="Z1775" s="461"/>
      <c r="AA1775" s="164" t="e">
        <f>AA1774/M1753</f>
        <v>#DIV/0!</v>
      </c>
      <c r="AB1775" s="161"/>
      <c r="AC1775" s="161"/>
      <c r="AD1775" s="161"/>
      <c r="AE1775" s="161"/>
      <c r="AF1775" s="461" t="s">
        <v>366</v>
      </c>
      <c r="AG1775" s="461"/>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492</v>
      </c>
      <c r="D1776" s="261" t="str">
        <f>IF(B1776="Shopping List",IF(ISNUMBER(SEARCH("MSSB",C1776)),"MSSB",IF(ISNUMBER(SEARCH("local",C1776)),"LOCAL","")))</f>
        <v/>
      </c>
      <c r="I1776" s="269">
        <f>SUM(I1800:I1896)</f>
        <v>0</v>
      </c>
      <c r="J1776" s="261" t="s">
        <v>496</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453</v>
      </c>
      <c r="M1777" s="116" t="s">
        <v>107</v>
      </c>
      <c r="N1777" s="116" t="s">
        <v>108</v>
      </c>
      <c r="O1777" s="170" t="s">
        <v>387</v>
      </c>
      <c r="P1777" s="462" t="s">
        <v>376</v>
      </c>
      <c r="Q1777" s="462"/>
      <c r="R1777" s="101" t="s">
        <v>453</v>
      </c>
      <c r="S1777" s="116" t="s">
        <v>0</v>
      </c>
      <c r="T1777" s="118"/>
      <c r="U1777" s="116" t="s">
        <v>288</v>
      </c>
      <c r="V1777" s="116" t="s">
        <v>289</v>
      </c>
      <c r="W1777" s="116" t="s">
        <v>292</v>
      </c>
      <c r="X1777" s="140"/>
      <c r="Y1777" s="116" t="s">
        <v>290</v>
      </c>
      <c r="Z1777" s="116" t="s">
        <v>355</v>
      </c>
      <c r="AA1777" s="116" t="s">
        <v>356</v>
      </c>
      <c r="AB1777" s="116" t="s">
        <v>318</v>
      </c>
      <c r="AC1777" s="116" t="s">
        <v>319</v>
      </c>
      <c r="AD1777" s="116" t="s">
        <v>317</v>
      </c>
      <c r="AE1777" s="140"/>
      <c r="AF1777" s="116" t="s">
        <v>294</v>
      </c>
      <c r="AG1777" s="116" t="s">
        <v>355</v>
      </c>
      <c r="AH1777" s="116" t="s">
        <v>356</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569</v>
      </c>
      <c r="O1778" s="121" t="s">
        <v>348</v>
      </c>
      <c r="P1778" s="169" t="s">
        <v>380</v>
      </c>
      <c r="Q1778" s="169" t="s">
        <v>376</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412</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362</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392</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391</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365</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365</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364</v>
      </c>
      <c r="V1792" s="133">
        <f t="shared" si="817"/>
        <v>0</v>
      </c>
      <c r="W1792" s="133">
        <f>VLOOKUP(U1792,Sheet1!$B$6:$C$45,2,FALSE)*V1792</f>
        <v>0</v>
      </c>
      <c r="X1792" s="141"/>
      <c r="Y1792" s="122" t="s">
        <v>322</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456</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330</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413</v>
      </c>
      <c r="P1797" s="121" t="s">
        <v>381</v>
      </c>
      <c r="Q1797" s="121" t="s">
        <v>385</v>
      </c>
      <c r="R1797" s="121"/>
      <c r="S1797" s="133">
        <f>M1778</f>
        <v>0</v>
      </c>
      <c r="T1797" s="120"/>
      <c r="U1797" s="121" t="s">
        <v>293</v>
      </c>
      <c r="V1797" s="133">
        <f t="shared" si="817"/>
        <v>0</v>
      </c>
      <c r="W1797" s="133">
        <f>VLOOKUP(U1797,Sheet1!$B$6:$C$45,2,FALSE)*V1797</f>
        <v>0</v>
      </c>
      <c r="X1797" s="141"/>
      <c r="Y1797" s="122" t="s">
        <v>323</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409</v>
      </c>
      <c r="P1798" s="121"/>
      <c r="Q1798" s="121"/>
      <c r="R1798" s="121"/>
      <c r="S1798" s="133">
        <f>M1778</f>
        <v>0</v>
      </c>
      <c r="T1798" s="120"/>
      <c r="U1798" s="121" t="s">
        <v>365</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378</v>
      </c>
      <c r="L1799" s="128" t="s">
        <v>379</v>
      </c>
      <c r="N1799" s="129"/>
      <c r="O1799" s="130" t="s">
        <v>358</v>
      </c>
      <c r="P1799" s="131">
        <f>V1799+AA1799+AH1799</f>
        <v>0</v>
      </c>
      <c r="Q1799" s="131"/>
      <c r="R1799" s="131"/>
      <c r="S1799" s="130"/>
      <c r="T1799" s="127"/>
      <c r="U1799" s="126" t="s">
        <v>352</v>
      </c>
      <c r="V1799" s="127">
        <f>W1799*80</f>
        <v>0</v>
      </c>
      <c r="W1799" s="147">
        <f>SUM(W1778:W1798)</f>
        <v>0</v>
      </c>
      <c r="X1799" s="148"/>
      <c r="Y1799" s="127" t="s">
        <v>353</v>
      </c>
      <c r="Z1799" s="116"/>
      <c r="AA1799" s="116">
        <f>SUM(AA1778:AA1798)</f>
        <v>0</v>
      </c>
      <c r="AB1799" s="149"/>
      <c r="AC1799" s="149"/>
      <c r="AD1799" s="149"/>
      <c r="AE1799" s="149"/>
      <c r="AF1799" s="127" t="s">
        <v>357</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492</v>
      </c>
      <c r="C1800" s="217" t="str">
        <f>N1778</f>
        <v>smoke exhaust systems</v>
      </c>
      <c r="D1800" s="260" t="s">
        <v>678</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368</v>
      </c>
      <c r="N1800" s="160" t="str">
        <f>N1778</f>
        <v>smoke exhaust systems</v>
      </c>
      <c r="O1800" s="160" t="s">
        <v>366</v>
      </c>
      <c r="P1800" s="64" t="e">
        <f>P1799/M1778</f>
        <v>#DIV/0!</v>
      </c>
      <c r="Q1800" s="161"/>
      <c r="R1800" s="161"/>
      <c r="S1800" s="160"/>
      <c r="T1800" s="161"/>
      <c r="U1800" s="463" t="s">
        <v>367</v>
      </c>
      <c r="V1800" s="463"/>
      <c r="W1800" s="162" t="e">
        <f>W1799/M1778</f>
        <v>#DIV/0!</v>
      </c>
      <c r="X1800" s="163"/>
      <c r="Y1800" s="461" t="s">
        <v>366</v>
      </c>
      <c r="Z1800" s="461"/>
      <c r="AA1800" s="164" t="e">
        <f>AA1799/M1778</f>
        <v>#DIV/0!</v>
      </c>
      <c r="AB1800" s="161"/>
      <c r="AC1800" s="161"/>
      <c r="AD1800" s="161"/>
      <c r="AE1800" s="161"/>
      <c r="AF1800" s="461" t="s">
        <v>366</v>
      </c>
      <c r="AG1800" s="461"/>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453</v>
      </c>
      <c r="M1801" s="2" t="s">
        <v>107</v>
      </c>
      <c r="N1801" s="2" t="s">
        <v>108</v>
      </c>
      <c r="O1801" s="97" t="s">
        <v>387</v>
      </c>
      <c r="P1801" s="462" t="s">
        <v>376</v>
      </c>
      <c r="Q1801" s="462"/>
      <c r="R1801" s="101" t="s">
        <v>453</v>
      </c>
      <c r="S1801" s="2" t="s">
        <v>0</v>
      </c>
      <c r="T1801" s="9"/>
      <c r="U1801" s="2" t="s">
        <v>288</v>
      </c>
      <c r="V1801" s="2" t="s">
        <v>289</v>
      </c>
      <c r="W1801" s="2" t="s">
        <v>292</v>
      </c>
      <c r="X1801" s="58"/>
      <c r="Y1801" s="2" t="s">
        <v>290</v>
      </c>
      <c r="Z1801" s="2" t="s">
        <v>355</v>
      </c>
      <c r="AA1801" s="2" t="s">
        <v>356</v>
      </c>
      <c r="AB1801" s="2" t="s">
        <v>318</v>
      </c>
      <c r="AC1801" s="2" t="s">
        <v>319</v>
      </c>
      <c r="AD1801" s="2" t="s">
        <v>317</v>
      </c>
      <c r="AE1801" s="58"/>
      <c r="AF1801" s="2" t="s">
        <v>294</v>
      </c>
      <c r="AG1801" s="2" t="s">
        <v>355</v>
      </c>
      <c r="AH1801" s="2" t="s">
        <v>356</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348</v>
      </c>
      <c r="P1802" s="96" t="s">
        <v>380</v>
      </c>
      <c r="Q1802" s="96" t="s">
        <v>376</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412</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362</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392</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391</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365</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939</v>
      </c>
      <c r="P1812" s="12"/>
      <c r="Q1812" s="12"/>
      <c r="R1812" s="12"/>
      <c r="S1812" s="28">
        <f>M1802</f>
        <v>0</v>
      </c>
      <c r="T1812" s="11"/>
      <c r="U1812" s="12" t="s">
        <v>364</v>
      </c>
      <c r="V1812" s="28">
        <f t="shared" si="826"/>
        <v>0</v>
      </c>
      <c r="W1812" s="28">
        <f>VLOOKUP(U1812,Sheet1!$B$6:$C$45,2,FALSE)*V1812</f>
        <v>0</v>
      </c>
      <c r="X1812" s="59"/>
      <c r="Y1812" s="13" t="s">
        <v>320</v>
      </c>
      <c r="Z1812" s="68">
        <v>200</v>
      </c>
      <c r="AA1812" s="68">
        <f t="shared" si="827"/>
        <v>0</v>
      </c>
      <c r="AB1812" s="63">
        <f t="shared" si="828"/>
        <v>0</v>
      </c>
      <c r="AC1812" s="28">
        <f t="shared" si="833"/>
        <v>0</v>
      </c>
      <c r="AD1812" s="61">
        <v>1</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364</v>
      </c>
      <c r="V1813" s="28">
        <f t="shared" si="826"/>
        <v>0</v>
      </c>
      <c r="W1813" s="28">
        <f>VLOOKUP(U1813,Sheet1!$B$6:$C$45,2,FALSE)*V1813</f>
        <v>0</v>
      </c>
      <c r="X1813" s="59"/>
      <c r="Y1813" s="12" t="s">
        <v>937</v>
      </c>
      <c r="Z1813" s="416">
        <f>Sheet1!M66</f>
        <v>56.4</v>
      </c>
      <c r="AA1813" s="68">
        <f t="shared" si="827"/>
        <v>0</v>
      </c>
      <c r="AB1813" s="63">
        <f t="shared" si="828"/>
        <v>0</v>
      </c>
      <c r="AC1813" s="28">
        <f t="shared" si="833"/>
        <v>0</v>
      </c>
      <c r="AD1813" s="61">
        <v>1</v>
      </c>
      <c r="AE1813" s="59"/>
      <c r="AF1813" s="13" t="s">
        <v>321</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365</v>
      </c>
      <c r="V1814" s="28">
        <f t="shared" si="826"/>
        <v>0</v>
      </c>
      <c r="W1814" s="28">
        <f>VLOOKUP(U1814,Sheet1!$B$6:$C$45,2,FALSE)*V1814</f>
        <v>0</v>
      </c>
      <c r="X1814" s="59"/>
      <c r="Y1814" s="12" t="s">
        <v>938</v>
      </c>
      <c r="Z1814" s="416">
        <f>Sheet1!M59</f>
        <v>10.139999999999999</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364</v>
      </c>
      <c r="V1816" s="28">
        <f t="shared" si="826"/>
        <v>0</v>
      </c>
      <c r="W1816" s="28">
        <f>VLOOKUP(U1816,Sheet1!$B$6:$C$45,2,FALSE)*V1816</f>
        <v>0</v>
      </c>
      <c r="X1816" s="59"/>
      <c r="Y1816" s="13" t="s">
        <v>322</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456</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330</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413</v>
      </c>
      <c r="P1821" s="12" t="s">
        <v>381</v>
      </c>
      <c r="Q1821" s="12" t="s">
        <v>385</v>
      </c>
      <c r="R1821" s="12"/>
      <c r="S1821" s="28">
        <f>M1802</f>
        <v>0</v>
      </c>
      <c r="T1821" s="11"/>
      <c r="U1821" s="12" t="s">
        <v>293</v>
      </c>
      <c r="V1821" s="28">
        <f t="shared" si="826"/>
        <v>0</v>
      </c>
      <c r="W1821" s="28">
        <f>VLOOKUP(U1821,Sheet1!$B$6:$C$45,2,FALSE)*V1821</f>
        <v>0</v>
      </c>
      <c r="X1821" s="59"/>
      <c r="Y1821" s="13" t="s">
        <v>323</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409</v>
      </c>
      <c r="P1822" s="12"/>
      <c r="Q1822" s="12"/>
      <c r="R1822" s="12"/>
      <c r="S1822" s="28">
        <f>M1802</f>
        <v>0</v>
      </c>
      <c r="T1822" s="11"/>
      <c r="U1822" s="12" t="s">
        <v>365</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378</v>
      </c>
      <c r="L1823" s="21" t="s">
        <v>379</v>
      </c>
      <c r="N1823" s="22"/>
      <c r="O1823" s="23" t="s">
        <v>358</v>
      </c>
      <c r="P1823" s="24">
        <f>V1823+AA1823+AH1823</f>
        <v>0</v>
      </c>
      <c r="Q1823" s="24"/>
      <c r="R1823" s="24"/>
      <c r="S1823" s="23"/>
      <c r="T1823" s="20"/>
      <c r="U1823" s="19" t="s">
        <v>352</v>
      </c>
      <c r="V1823" s="20">
        <f>W1823*80</f>
        <v>0</v>
      </c>
      <c r="W1823" s="69">
        <f>SUM(W1802:W1822)</f>
        <v>0</v>
      </c>
      <c r="X1823" s="70"/>
      <c r="Y1823" s="20" t="s">
        <v>353</v>
      </c>
      <c r="Z1823" s="2"/>
      <c r="AA1823" s="2">
        <f>SUM(AA1802:AA1822)</f>
        <v>0</v>
      </c>
      <c r="AB1823" s="71"/>
      <c r="AC1823" s="71"/>
      <c r="AD1823" s="71"/>
      <c r="AE1823" s="71"/>
      <c r="AF1823" s="20" t="s">
        <v>357</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492</v>
      </c>
      <c r="C1824" s="217" t="str">
        <f>N1802</f>
        <v>stair  pressurisation systems</v>
      </c>
      <c r="D1824" s="260" t="s">
        <v>678</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368</v>
      </c>
      <c r="N1824" s="83" t="str">
        <f>N1802</f>
        <v>stair  pressurisation systems</v>
      </c>
      <c r="O1824" s="83" t="s">
        <v>366</v>
      </c>
      <c r="P1824" s="64" t="e">
        <f>P1823/M1802</f>
        <v>#DIV/0!</v>
      </c>
      <c r="Q1824" s="84"/>
      <c r="R1824" s="84"/>
      <c r="S1824" s="83"/>
      <c r="T1824" s="84"/>
      <c r="U1824" s="463" t="s">
        <v>367</v>
      </c>
      <c r="V1824" s="463"/>
      <c r="W1824" s="85" t="e">
        <f>W1823/M1802</f>
        <v>#DIV/0!</v>
      </c>
      <c r="X1824" s="86"/>
      <c r="Y1824" s="461" t="s">
        <v>366</v>
      </c>
      <c r="Z1824" s="461"/>
      <c r="AA1824" s="87" t="e">
        <f>AA1823/M1802</f>
        <v>#DIV/0!</v>
      </c>
      <c r="AB1824" s="84"/>
      <c r="AC1824" s="84"/>
      <c r="AD1824" s="84"/>
      <c r="AE1824" s="84"/>
      <c r="AF1824" s="461" t="s">
        <v>366</v>
      </c>
      <c r="AG1824" s="461"/>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453</v>
      </c>
      <c r="M1825" s="2" t="s">
        <v>107</v>
      </c>
      <c r="N1825" s="2" t="s">
        <v>108</v>
      </c>
      <c r="O1825" s="97" t="s">
        <v>387</v>
      </c>
      <c r="P1825" s="462" t="s">
        <v>376</v>
      </c>
      <c r="Q1825" s="462"/>
      <c r="R1825" s="101" t="s">
        <v>453</v>
      </c>
      <c r="S1825" s="2" t="s">
        <v>0</v>
      </c>
      <c r="T1825" s="9"/>
      <c r="U1825" s="2" t="s">
        <v>288</v>
      </c>
      <c r="V1825" s="2" t="s">
        <v>289</v>
      </c>
      <c r="W1825" s="2" t="s">
        <v>292</v>
      </c>
      <c r="X1825" s="58"/>
      <c r="Y1825" s="2" t="s">
        <v>290</v>
      </c>
      <c r="Z1825" s="2" t="s">
        <v>355</v>
      </c>
      <c r="AA1825" s="2" t="s">
        <v>356</v>
      </c>
      <c r="AB1825" s="2" t="s">
        <v>318</v>
      </c>
      <c r="AC1825" s="2" t="s">
        <v>319</v>
      </c>
      <c r="AD1825" s="2" t="s">
        <v>317</v>
      </c>
      <c r="AE1825" s="58"/>
      <c r="AF1825" s="2" t="s">
        <v>294</v>
      </c>
      <c r="AG1825" s="2" t="s">
        <v>355</v>
      </c>
      <c r="AH1825" s="2" t="s">
        <v>356</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328</v>
      </c>
      <c r="O1826" s="12" t="s">
        <v>348</v>
      </c>
      <c r="P1826" s="96" t="s">
        <v>380</v>
      </c>
      <c r="Q1826" s="96" t="s">
        <v>376</v>
      </c>
      <c r="R1826" s="96"/>
      <c r="S1826" s="28">
        <f>M1826</f>
        <v>0</v>
      </c>
      <c r="T1826" s="10"/>
      <c r="U1826" s="74" t="s">
        <v>293</v>
      </c>
      <c r="V1826" s="28">
        <f>S1826</f>
        <v>0</v>
      </c>
      <c r="W1826" s="28">
        <f>VLOOKUP(U1826,Sheet1!$B$6:$C$45,2,FALSE)*V1826</f>
        <v>0</v>
      </c>
      <c r="X1826" s="59"/>
      <c r="Y1826" s="12" t="s">
        <v>293</v>
      </c>
      <c r="Z1826" s="68" t="s">
        <v>355</v>
      </c>
      <c r="AA1826" s="68" t="s">
        <v>356</v>
      </c>
      <c r="AB1826" s="63">
        <f>AD1826*AC1826</f>
        <v>0</v>
      </c>
      <c r="AC1826" s="28">
        <f>S1826</f>
        <v>0</v>
      </c>
      <c r="AD1826" s="61">
        <v>1</v>
      </c>
      <c r="AE1826" s="59"/>
      <c r="AF1826" s="12" t="s">
        <v>293</v>
      </c>
      <c r="AG1826" s="68" t="s">
        <v>355</v>
      </c>
      <c r="AH1826" s="68" t="s">
        <v>356</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341</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362</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324</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391</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325</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329</v>
      </c>
      <c r="P1835" s="12"/>
      <c r="Q1835" s="12"/>
      <c r="R1835" s="12"/>
      <c r="S1835" s="28">
        <f>M1826</f>
        <v>0</v>
      </c>
      <c r="T1835" s="11"/>
      <c r="U1835" s="12" t="s">
        <v>365</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410</v>
      </c>
      <c r="P1836" s="12"/>
      <c r="Q1836" s="12"/>
      <c r="R1836" s="12"/>
      <c r="S1836" s="28">
        <f>M1826</f>
        <v>0</v>
      </c>
      <c r="T1836" s="11"/>
      <c r="U1836" s="12" t="s">
        <v>364</v>
      </c>
      <c r="V1836" s="28">
        <f>3*M1826</f>
        <v>0</v>
      </c>
      <c r="W1836" s="28">
        <f>VLOOKUP(U1836,Sheet1!$B$6:$C$45,2,FALSE)*V1836</f>
        <v>0</v>
      </c>
      <c r="X1836" s="59"/>
      <c r="Y1836" s="13" t="s">
        <v>327</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411</v>
      </c>
      <c r="P1837" s="12"/>
      <c r="Q1837" s="12"/>
      <c r="R1837" s="12"/>
      <c r="S1837" s="28">
        <f>M1826</f>
        <v>0</v>
      </c>
      <c r="T1837" s="11"/>
      <c r="U1837" s="12" t="s">
        <v>364</v>
      </c>
      <c r="V1837" s="28">
        <f>14*M1826</f>
        <v>0</v>
      </c>
      <c r="W1837" s="28">
        <f>VLOOKUP(U1837,Sheet1!$B$6:$C$45,2,FALSE)*V1837</f>
        <v>0</v>
      </c>
      <c r="X1837" s="59"/>
      <c r="Y1837" s="13" t="s">
        <v>326</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365</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364</v>
      </c>
      <c r="V1840" s="28">
        <f t="shared" si="840"/>
        <v>0</v>
      </c>
      <c r="W1840" s="28">
        <f>VLOOKUP(U1840,Sheet1!$B$6:$C$45,2,FALSE)*V1840</f>
        <v>0</v>
      </c>
      <c r="X1840" s="59"/>
      <c r="Y1840" s="13" t="s">
        <v>322</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425</v>
      </c>
      <c r="P1841" s="12"/>
      <c r="Q1841" s="12"/>
      <c r="R1841" s="12"/>
      <c r="S1841" s="28">
        <f>M1826</f>
        <v>0</v>
      </c>
      <c r="T1841" s="11"/>
      <c r="U1841" s="12" t="s">
        <v>293</v>
      </c>
      <c r="V1841" s="28">
        <f t="shared" si="840"/>
        <v>0</v>
      </c>
      <c r="W1841" s="28">
        <f>VLOOKUP(U1841,Sheet1!$B$6:$C$45,2,FALSE)*V1841</f>
        <v>0</v>
      </c>
      <c r="X1841" s="59"/>
      <c r="Y1841" s="13" t="s">
        <v>320</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424</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426</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413</v>
      </c>
      <c r="P1845" s="12" t="s">
        <v>381</v>
      </c>
      <c r="Q1845" s="12" t="s">
        <v>385</v>
      </c>
      <c r="R1845" s="12"/>
      <c r="S1845" s="28">
        <f>M1826</f>
        <v>0</v>
      </c>
      <c r="T1845" s="11"/>
      <c r="U1845" s="12" t="s">
        <v>293</v>
      </c>
      <c r="V1845" s="28">
        <f t="shared" si="840"/>
        <v>0</v>
      </c>
      <c r="W1845" s="28">
        <f>VLOOKUP(U1845,Sheet1!$B$6:$C$45,2,FALSE)*V1845</f>
        <v>0</v>
      </c>
      <c r="X1845" s="59"/>
      <c r="Y1845" s="13" t="s">
        <v>323</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409</v>
      </c>
      <c r="P1846" s="12"/>
      <c r="Q1846" s="12"/>
      <c r="R1846" s="12"/>
      <c r="S1846" s="28">
        <f>M1826</f>
        <v>0</v>
      </c>
      <c r="T1846" s="11"/>
      <c r="U1846" s="12" t="s">
        <v>364</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378</v>
      </c>
      <c r="L1847" s="21" t="s">
        <v>379</v>
      </c>
      <c r="N1847" s="22"/>
      <c r="O1847" s="23" t="s">
        <v>358</v>
      </c>
      <c r="P1847" s="24">
        <f>V1847+AA1847+AH1847</f>
        <v>0</v>
      </c>
      <c r="Q1847" s="24"/>
      <c r="R1847" s="24"/>
      <c r="S1847" s="23"/>
      <c r="T1847" s="20"/>
      <c r="U1847" s="19" t="s">
        <v>352</v>
      </c>
      <c r="V1847" s="20">
        <f>W1847*80</f>
        <v>0</v>
      </c>
      <c r="W1847" s="69">
        <f>SUM(W1826:W1846)</f>
        <v>0</v>
      </c>
      <c r="X1847" s="70"/>
      <c r="Y1847" s="20" t="s">
        <v>353</v>
      </c>
      <c r="Z1847" s="2"/>
      <c r="AA1847" s="2">
        <f>SUM(AA1826:AA1846)</f>
        <v>0</v>
      </c>
      <c r="AB1847" s="71"/>
      <c r="AC1847" s="71"/>
      <c r="AD1847" s="71"/>
      <c r="AE1847" s="71"/>
      <c r="AF1847" s="20" t="s">
        <v>357</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492</v>
      </c>
      <c r="C1848" s="217" t="str">
        <f>N1826</f>
        <v>lobby relief system ( including on floor relief dampers)</v>
      </c>
      <c r="D1848" s="260" t="s">
        <v>678</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368</v>
      </c>
      <c r="N1848" s="83" t="str">
        <f>N1826</f>
        <v>lobby relief system ( including on floor relief dampers)</v>
      </c>
      <c r="O1848" s="83" t="s">
        <v>366</v>
      </c>
      <c r="P1848" s="98" t="e">
        <f>P1847/M1826</f>
        <v>#DIV/0!</v>
      </c>
      <c r="Q1848" s="84"/>
      <c r="R1848" s="84"/>
      <c r="S1848" s="83"/>
      <c r="T1848" s="84"/>
      <c r="U1848" s="463" t="s">
        <v>367</v>
      </c>
      <c r="V1848" s="463"/>
      <c r="W1848" s="85" t="e">
        <f>W1847/M1826</f>
        <v>#DIV/0!</v>
      </c>
      <c r="X1848" s="86"/>
      <c r="Y1848" s="461" t="s">
        <v>366</v>
      </c>
      <c r="Z1848" s="461"/>
      <c r="AA1848" s="87" t="e">
        <f>AA1847/M1826</f>
        <v>#DIV/0!</v>
      </c>
      <c r="AB1848" s="84"/>
      <c r="AC1848" s="84"/>
      <c r="AD1848" s="84"/>
      <c r="AE1848" s="84"/>
      <c r="AF1848" s="461" t="s">
        <v>366</v>
      </c>
      <c r="AG1848" s="461"/>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453</v>
      </c>
      <c r="M1849" s="116" t="s">
        <v>107</v>
      </c>
      <c r="N1849" s="116" t="s">
        <v>108</v>
      </c>
      <c r="O1849" s="170" t="s">
        <v>387</v>
      </c>
      <c r="P1849" s="462" t="s">
        <v>376</v>
      </c>
      <c r="Q1849" s="462"/>
      <c r="R1849" s="101" t="s">
        <v>453</v>
      </c>
      <c r="S1849" s="116" t="s">
        <v>0</v>
      </c>
      <c r="T1849" s="118"/>
      <c r="U1849" s="116" t="s">
        <v>288</v>
      </c>
      <c r="V1849" s="116" t="s">
        <v>289</v>
      </c>
      <c r="W1849" s="116" t="s">
        <v>292</v>
      </c>
      <c r="X1849" s="140"/>
      <c r="Y1849" s="116" t="s">
        <v>290</v>
      </c>
      <c r="Z1849" s="116" t="s">
        <v>355</v>
      </c>
      <c r="AA1849" s="116" t="s">
        <v>356</v>
      </c>
      <c r="AB1849" s="116" t="s">
        <v>318</v>
      </c>
      <c r="AC1849" s="116" t="s">
        <v>319</v>
      </c>
      <c r="AD1849" s="116" t="s">
        <v>317</v>
      </c>
      <c r="AE1849" s="140"/>
      <c r="AF1849" s="116" t="s">
        <v>294</v>
      </c>
      <c r="AG1849" s="116" t="s">
        <v>355</v>
      </c>
      <c r="AH1849" s="116" t="s">
        <v>356</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486</v>
      </c>
      <c r="O1850" s="121" t="s">
        <v>348</v>
      </c>
      <c r="P1850" s="169" t="s">
        <v>380</v>
      </c>
      <c r="Q1850" s="169" t="s">
        <v>376</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505</v>
      </c>
      <c r="P1860" s="121"/>
      <c r="Q1860" s="121"/>
      <c r="R1860" s="121"/>
      <c r="S1860" s="133">
        <f>M1850</f>
        <v>0</v>
      </c>
      <c r="T1860" s="120"/>
      <c r="U1860" s="121" t="s">
        <v>293</v>
      </c>
      <c r="V1860" s="133">
        <f t="shared" si="849"/>
        <v>0</v>
      </c>
      <c r="W1860" s="133">
        <f>VLOOKUP(U1860,Sheet1!$B$6:$C$45,2,FALSE)*V1860</f>
        <v>0</v>
      </c>
      <c r="X1860" s="141"/>
      <c r="Y1860" s="122" t="s">
        <v>326</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479</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413</v>
      </c>
      <c r="P1869" s="121" t="s">
        <v>381</v>
      </c>
      <c r="Q1869" s="121" t="s">
        <v>385</v>
      </c>
      <c r="R1869" s="121"/>
      <c r="S1869" s="133">
        <f>M1850</f>
        <v>0</v>
      </c>
      <c r="T1869" s="120"/>
      <c r="U1869" s="121" t="s">
        <v>293</v>
      </c>
      <c r="V1869" s="133">
        <f t="shared" si="849"/>
        <v>0</v>
      </c>
      <c r="W1869" s="133">
        <f>VLOOKUP(U1869,Sheet1!$B$6:$C$45,2,FALSE)*V1869</f>
        <v>0</v>
      </c>
      <c r="X1869" s="141"/>
      <c r="Y1869" s="122" t="s">
        <v>323</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409</v>
      </c>
      <c r="P1870" s="121"/>
      <c r="Q1870" s="121"/>
      <c r="R1870" s="121"/>
      <c r="S1870" s="133">
        <f>M1850</f>
        <v>0</v>
      </c>
      <c r="T1870" s="120"/>
      <c r="U1870" s="121" t="s">
        <v>364</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378</v>
      </c>
      <c r="L1871" s="128" t="s">
        <v>379</v>
      </c>
      <c r="N1871" s="129"/>
      <c r="O1871" s="130" t="s">
        <v>358</v>
      </c>
      <c r="P1871" s="131">
        <f>V1871+AA1871+AH1871</f>
        <v>0</v>
      </c>
      <c r="Q1871" s="131"/>
      <c r="R1871" s="131"/>
      <c r="S1871" s="130"/>
      <c r="T1871" s="127"/>
      <c r="U1871" s="126" t="s">
        <v>352</v>
      </c>
      <c r="V1871" s="127">
        <f>W1871*80</f>
        <v>0</v>
      </c>
      <c r="W1871" s="147">
        <f>SUM(W1850:W1870)</f>
        <v>0</v>
      </c>
      <c r="X1871" s="148"/>
      <c r="Y1871" s="127" t="s">
        <v>353</v>
      </c>
      <c r="Z1871" s="116"/>
      <c r="AA1871" s="116">
        <f>SUM(AA1850:AA1870)</f>
        <v>0</v>
      </c>
      <c r="AB1871" s="149"/>
      <c r="AC1871" s="149"/>
      <c r="AD1871" s="149"/>
      <c r="AE1871" s="149"/>
      <c r="AF1871" s="127" t="s">
        <v>357</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492</v>
      </c>
      <c r="C1872" s="217" t="str">
        <f>N1850</f>
        <v>Fire essential spring return damper actuator</v>
      </c>
      <c r="D1872" s="260" t="s">
        <v>678</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368</v>
      </c>
      <c r="N1872" s="160" t="str">
        <f>N1850</f>
        <v>Fire essential spring return damper actuator</v>
      </c>
      <c r="O1872" s="160" t="s">
        <v>366</v>
      </c>
      <c r="P1872" s="64" t="e">
        <f>P1871/M1850</f>
        <v>#DIV/0!</v>
      </c>
      <c r="Q1872" s="161"/>
      <c r="R1872" s="161"/>
      <c r="S1872" s="160"/>
      <c r="T1872" s="161"/>
      <c r="U1872" s="463" t="s">
        <v>367</v>
      </c>
      <c r="V1872" s="463"/>
      <c r="W1872" s="162" t="e">
        <f>W1871/M1850</f>
        <v>#DIV/0!</v>
      </c>
      <c r="X1872" s="163"/>
      <c r="Y1872" s="461" t="s">
        <v>366</v>
      </c>
      <c r="Z1872" s="461"/>
      <c r="AA1872" s="164" t="e">
        <f>AA1871/M1850</f>
        <v>#DIV/0!</v>
      </c>
      <c r="AB1872" s="161"/>
      <c r="AC1872" s="161"/>
      <c r="AD1872" s="161"/>
      <c r="AE1872" s="161"/>
      <c r="AF1872" s="461" t="s">
        <v>366</v>
      </c>
      <c r="AG1872" s="461"/>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453</v>
      </c>
      <c r="M1873" s="116" t="s">
        <v>107</v>
      </c>
      <c r="N1873" s="116" t="s">
        <v>108</v>
      </c>
      <c r="O1873" s="170" t="s">
        <v>387</v>
      </c>
      <c r="P1873" s="462" t="s">
        <v>376</v>
      </c>
      <c r="Q1873" s="462"/>
      <c r="R1873" s="101" t="s">
        <v>453</v>
      </c>
      <c r="S1873" s="116" t="s">
        <v>0</v>
      </c>
      <c r="T1873" s="118"/>
      <c r="U1873" s="116" t="s">
        <v>288</v>
      </c>
      <c r="V1873" s="116" t="s">
        <v>289</v>
      </c>
      <c r="W1873" s="116" t="s">
        <v>292</v>
      </c>
      <c r="X1873" s="140"/>
      <c r="Y1873" s="116" t="s">
        <v>290</v>
      </c>
      <c r="Z1873" s="116" t="s">
        <v>355</v>
      </c>
      <c r="AA1873" s="116" t="s">
        <v>356</v>
      </c>
      <c r="AB1873" s="116" t="s">
        <v>318</v>
      </c>
      <c r="AC1873" s="116" t="s">
        <v>319</v>
      </c>
      <c r="AD1873" s="116" t="s">
        <v>317</v>
      </c>
      <c r="AE1873" s="140"/>
      <c r="AF1873" s="116" t="s">
        <v>294</v>
      </c>
      <c r="AG1873" s="116" t="s">
        <v>355</v>
      </c>
      <c r="AH1873" s="116" t="s">
        <v>356</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487</v>
      </c>
      <c r="O1874" s="121" t="s">
        <v>348</v>
      </c>
      <c r="P1874" s="169" t="s">
        <v>380</v>
      </c>
      <c r="Q1874" s="169" t="s">
        <v>376</v>
      </c>
      <c r="R1874" s="169"/>
      <c r="S1874" s="133">
        <f>M1874</f>
        <v>0</v>
      </c>
      <c r="T1874" s="119"/>
      <c r="U1874" s="153" t="s">
        <v>293</v>
      </c>
      <c r="V1874" s="133">
        <f>S1874</f>
        <v>0</v>
      </c>
      <c r="W1874" s="133">
        <f>VLOOKUP(U1874,Sheet1!$B$6:$C$45,2,FALSE)*V1874</f>
        <v>0</v>
      </c>
      <c r="X1874" s="141"/>
      <c r="Y1874" s="121" t="s">
        <v>293</v>
      </c>
      <c r="Z1874" s="146" t="s">
        <v>355</v>
      </c>
      <c r="AA1874" s="146" t="s">
        <v>356</v>
      </c>
      <c r="AB1874" s="143">
        <f>AD1874*AC1874</f>
        <v>0</v>
      </c>
      <c r="AC1874" s="133">
        <f>S1874</f>
        <v>0</v>
      </c>
      <c r="AD1874" s="142">
        <v>1</v>
      </c>
      <c r="AE1874" s="141"/>
      <c r="AF1874" s="121" t="s">
        <v>293</v>
      </c>
      <c r="AG1874" s="146" t="s">
        <v>355</v>
      </c>
      <c r="AH1874" s="146" t="s">
        <v>356</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341</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362</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324</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391</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325</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329</v>
      </c>
      <c r="P1883" s="121"/>
      <c r="Q1883" s="121"/>
      <c r="R1883" s="121"/>
      <c r="S1883" s="133">
        <f>M1874</f>
        <v>0</v>
      </c>
      <c r="T1883" s="120"/>
      <c r="U1883" s="121" t="s">
        <v>365</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410</v>
      </c>
      <c r="P1884" s="121"/>
      <c r="Q1884" s="121"/>
      <c r="R1884" s="121"/>
      <c r="S1884" s="133">
        <f>M1874</f>
        <v>0</v>
      </c>
      <c r="T1884" s="120"/>
      <c r="U1884" s="121" t="s">
        <v>364</v>
      </c>
      <c r="V1884" s="133">
        <f>3*M1874</f>
        <v>0</v>
      </c>
      <c r="W1884" s="133">
        <f>VLOOKUP(U1884,Sheet1!$B$6:$C$45,2,FALSE)*V1884</f>
        <v>0</v>
      </c>
      <c r="X1884" s="141"/>
      <c r="Y1884" s="122" t="s">
        <v>327</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411</v>
      </c>
      <c r="P1885" s="121"/>
      <c r="Q1885" s="121"/>
      <c r="R1885" s="121"/>
      <c r="S1885" s="133">
        <f>M1874</f>
        <v>0</v>
      </c>
      <c r="T1885" s="120"/>
      <c r="U1885" s="121" t="s">
        <v>364</v>
      </c>
      <c r="V1885" s="133">
        <f>14*M1874</f>
        <v>0</v>
      </c>
      <c r="W1885" s="133">
        <f>VLOOKUP(U1885,Sheet1!$B$6:$C$45,2,FALSE)*V1885</f>
        <v>0</v>
      </c>
      <c r="X1885" s="141"/>
      <c r="Y1885" s="122" t="s">
        <v>326</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365</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364</v>
      </c>
      <c r="V1888" s="133">
        <f t="shared" si="872"/>
        <v>0</v>
      </c>
      <c r="W1888" s="133">
        <f>VLOOKUP(U1888,Sheet1!$B$6:$C$45,2,FALSE)*V1888</f>
        <v>0</v>
      </c>
      <c r="X1888" s="141"/>
      <c r="Y1888" s="122" t="s">
        <v>322</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425</v>
      </c>
      <c r="P1889" s="121"/>
      <c r="Q1889" s="121"/>
      <c r="R1889" s="121"/>
      <c r="S1889" s="133">
        <f>M1874</f>
        <v>0</v>
      </c>
      <c r="T1889" s="120"/>
      <c r="U1889" s="121" t="s">
        <v>293</v>
      </c>
      <c r="V1889" s="133">
        <f t="shared" si="872"/>
        <v>0</v>
      </c>
      <c r="W1889" s="133">
        <f>VLOOKUP(U1889,Sheet1!$B$6:$C$45,2,FALSE)*V1889</f>
        <v>0</v>
      </c>
      <c r="X1889" s="141"/>
      <c r="Y1889" s="122" t="s">
        <v>320</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424</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426</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413</v>
      </c>
      <c r="P1893" s="121" t="s">
        <v>381</v>
      </c>
      <c r="Q1893" s="121" t="s">
        <v>385</v>
      </c>
      <c r="R1893" s="121"/>
      <c r="S1893" s="133">
        <f>M1874</f>
        <v>0</v>
      </c>
      <c r="T1893" s="120"/>
      <c r="U1893" s="121" t="s">
        <v>293</v>
      </c>
      <c r="V1893" s="133">
        <f t="shared" si="872"/>
        <v>0</v>
      </c>
      <c r="W1893" s="133">
        <f>VLOOKUP(U1893,Sheet1!$B$6:$C$45,2,FALSE)*V1893</f>
        <v>0</v>
      </c>
      <c r="X1893" s="141"/>
      <c r="Y1893" s="122" t="s">
        <v>323</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409</v>
      </c>
      <c r="P1894" s="121"/>
      <c r="Q1894" s="121"/>
      <c r="R1894" s="121"/>
      <c r="S1894" s="133">
        <f>M1874</f>
        <v>0</v>
      </c>
      <c r="T1894" s="120"/>
      <c r="U1894" s="121" t="s">
        <v>364</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378</v>
      </c>
      <c r="L1895" s="128" t="s">
        <v>379</v>
      </c>
      <c r="N1895" s="129"/>
      <c r="O1895" s="130" t="s">
        <v>358</v>
      </c>
      <c r="P1895" s="131">
        <f>V1895+AA1895+AH1895</f>
        <v>0</v>
      </c>
      <c r="Q1895" s="131"/>
      <c r="R1895" s="131"/>
      <c r="S1895" s="130"/>
      <c r="T1895" s="127"/>
      <c r="U1895" s="126" t="s">
        <v>352</v>
      </c>
      <c r="V1895" s="127">
        <f>W1895*80</f>
        <v>0</v>
      </c>
      <c r="W1895" s="147">
        <f>SUM(W1874:W1894)</f>
        <v>0</v>
      </c>
      <c r="X1895" s="148"/>
      <c r="Y1895" s="127" t="s">
        <v>353</v>
      </c>
      <c r="Z1895" s="116"/>
      <c r="AA1895" s="116">
        <f>SUM(AA1874:AA1894)</f>
        <v>0</v>
      </c>
      <c r="AB1895" s="149"/>
      <c r="AC1895" s="149"/>
      <c r="AD1895" s="149"/>
      <c r="AE1895" s="149"/>
      <c r="AF1895" s="127" t="s">
        <v>357</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492</v>
      </c>
      <c r="C1896" s="217" t="str">
        <f>N1874</f>
        <v>Smoke Exhaust system ( including on floor dampers)</v>
      </c>
      <c r="D1896" s="260" t="s">
        <v>678</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368</v>
      </c>
      <c r="N1896" s="160" t="str">
        <f>N1874</f>
        <v>Smoke Exhaust system ( including on floor dampers)</v>
      </c>
      <c r="O1896" s="160" t="s">
        <v>366</v>
      </c>
      <c r="P1896" s="183" t="e">
        <f>P1895/M1874</f>
        <v>#DIV/0!</v>
      </c>
      <c r="Q1896" s="191"/>
      <c r="R1896" s="161"/>
      <c r="S1896" s="160"/>
      <c r="T1896" s="161"/>
      <c r="U1896" s="463" t="s">
        <v>367</v>
      </c>
      <c r="V1896" s="463"/>
      <c r="W1896" s="162" t="e">
        <f>W1895/M1874</f>
        <v>#DIV/0!</v>
      </c>
      <c r="X1896" s="163"/>
      <c r="Y1896" s="461" t="s">
        <v>366</v>
      </c>
      <c r="Z1896" s="461"/>
      <c r="AA1896" s="164" t="e">
        <f>AA1895/M1874</f>
        <v>#DIV/0!</v>
      </c>
      <c r="AB1896" s="161"/>
      <c r="AC1896" s="161"/>
      <c r="AD1896" s="161"/>
      <c r="AE1896" s="161"/>
      <c r="AF1896" s="461" t="s">
        <v>366</v>
      </c>
      <c r="AG1896" s="461"/>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492</v>
      </c>
      <c r="D1897" s="261" t="str">
        <f>IF(B1897="Shopping List",IF(ISNUMBER(SEARCH("MSSB",C1897)),"MSSB",IF(ISNUMBER(SEARCH("local",C1897)),"LOCAL","")))</f>
        <v/>
      </c>
      <c r="I1897" s="269">
        <f>SUM(I1946:I1994)</f>
        <v>0</v>
      </c>
      <c r="J1897" s="261" t="s">
        <v>498</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453</v>
      </c>
      <c r="M1899" s="116" t="s">
        <v>107</v>
      </c>
      <c r="N1899" s="116" t="s">
        <v>108</v>
      </c>
      <c r="O1899" s="170" t="s">
        <v>387</v>
      </c>
      <c r="P1899" s="462" t="s">
        <v>376</v>
      </c>
      <c r="Q1899" s="462"/>
      <c r="R1899" s="101" t="s">
        <v>453</v>
      </c>
      <c r="S1899" s="116" t="s">
        <v>0</v>
      </c>
      <c r="T1899" s="118"/>
      <c r="U1899" s="116" t="s">
        <v>288</v>
      </c>
      <c r="V1899" s="116" t="s">
        <v>289</v>
      </c>
      <c r="W1899" s="116" t="s">
        <v>292</v>
      </c>
      <c r="X1899" s="140"/>
      <c r="Y1899" s="116" t="s">
        <v>290</v>
      </c>
      <c r="Z1899" s="116" t="s">
        <v>355</v>
      </c>
      <c r="AA1899" s="116" t="s">
        <v>356</v>
      </c>
      <c r="AB1899" s="116" t="s">
        <v>318</v>
      </c>
      <c r="AC1899" s="116" t="s">
        <v>319</v>
      </c>
      <c r="AD1899" s="116" t="s">
        <v>317</v>
      </c>
      <c r="AE1899" s="140"/>
      <c r="AF1899" s="116" t="s">
        <v>294</v>
      </c>
      <c r="AG1899" s="116" t="s">
        <v>355</v>
      </c>
      <c r="AH1899" s="116" t="s">
        <v>356</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466</v>
      </c>
      <c r="O1900" s="121" t="s">
        <v>348</v>
      </c>
      <c r="P1900" s="169" t="s">
        <v>380</v>
      </c>
      <c r="Q1900" s="169" t="s">
        <v>376</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412</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511</v>
      </c>
      <c r="P1903" s="121" t="s">
        <v>464</v>
      </c>
      <c r="Q1903" s="121" t="s">
        <v>465</v>
      </c>
      <c r="R1903" s="121"/>
      <c r="S1903" s="133">
        <f>M1900</f>
        <v>0</v>
      </c>
      <c r="T1903" s="120"/>
      <c r="U1903" s="121" t="s">
        <v>362</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512</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391</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513</v>
      </c>
      <c r="P1910" s="121"/>
      <c r="Q1910" s="121"/>
      <c r="R1910" s="121"/>
      <c r="S1910" s="133">
        <f>M1900</f>
        <v>0</v>
      </c>
      <c r="T1910" s="120"/>
      <c r="U1910" s="121" t="s">
        <v>364</v>
      </c>
      <c r="V1910" s="133">
        <f t="shared" si="874"/>
        <v>0</v>
      </c>
      <c r="W1910" s="133">
        <f>VLOOKUP(U1910,Sheet1!$B$6:$C$45,2,FALSE)*V1910</f>
        <v>0</v>
      </c>
      <c r="X1910" s="141"/>
      <c r="Y1910" s="122" t="s">
        <v>322</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468</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364</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514</v>
      </c>
      <c r="P1919" s="121" t="s">
        <v>381</v>
      </c>
      <c r="Q1919" s="121" t="s">
        <v>467</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409</v>
      </c>
      <c r="P1920" s="121"/>
      <c r="Q1920" s="121"/>
      <c r="R1920" s="121"/>
      <c r="S1920" s="133">
        <f>M1900</f>
        <v>0</v>
      </c>
      <c r="T1920" s="120"/>
      <c r="U1920" s="121" t="s">
        <v>364</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378</v>
      </c>
      <c r="L1921" s="128" t="s">
        <v>379</v>
      </c>
      <c r="N1921" s="129"/>
      <c r="O1921" s="130" t="s">
        <v>358</v>
      </c>
      <c r="P1921" s="171">
        <f>V1921+AA1921+AH1921</f>
        <v>0</v>
      </c>
      <c r="Q1921" s="144"/>
      <c r="R1921" s="144"/>
      <c r="S1921" s="130"/>
      <c r="T1921" s="127"/>
      <c r="U1921" s="126" t="s">
        <v>352</v>
      </c>
      <c r="V1921" s="127">
        <f>W1921*80</f>
        <v>0</v>
      </c>
      <c r="W1921" s="147">
        <f>SUM(W1900:W1920)</f>
        <v>0</v>
      </c>
      <c r="X1921" s="148"/>
      <c r="Y1921" s="127" t="s">
        <v>353</v>
      </c>
      <c r="Z1921" s="116"/>
      <c r="AA1921" s="116">
        <f>SUM(AA1900:AA1920)</f>
        <v>0</v>
      </c>
      <c r="AB1921" s="149"/>
      <c r="AC1921" s="149"/>
      <c r="AD1921" s="149"/>
      <c r="AE1921" s="149"/>
      <c r="AF1921" s="127" t="s">
        <v>357</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492</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368</v>
      </c>
      <c r="N1922" s="160" t="str">
        <f>N1900</f>
        <v>Kitchen Hood Make Up Supply Sytem ( from local power supply)</v>
      </c>
      <c r="O1922" s="160" t="s">
        <v>366</v>
      </c>
      <c r="P1922" s="64" t="e">
        <f>P1921/M1900</f>
        <v>#DIV/0!</v>
      </c>
      <c r="Q1922" s="161"/>
      <c r="R1922" s="161"/>
      <c r="S1922" s="160"/>
      <c r="T1922" s="161"/>
      <c r="U1922" s="463" t="s">
        <v>367</v>
      </c>
      <c r="V1922" s="463"/>
      <c r="W1922" s="162" t="e">
        <f>W1921/M1900</f>
        <v>#DIV/0!</v>
      </c>
      <c r="X1922" s="163"/>
      <c r="Y1922" s="461" t="s">
        <v>366</v>
      </c>
      <c r="Z1922" s="461"/>
      <c r="AA1922" s="164" t="e">
        <f>AA1921/M1900</f>
        <v>#DIV/0!</v>
      </c>
      <c r="AB1922" s="161"/>
      <c r="AC1922" s="161"/>
      <c r="AD1922" s="161"/>
      <c r="AE1922" s="161"/>
      <c r="AF1922" s="461" t="s">
        <v>366</v>
      </c>
      <c r="AG1922" s="461"/>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453</v>
      </c>
      <c r="M1923" s="116" t="s">
        <v>107</v>
      </c>
      <c r="N1923" s="116" t="s">
        <v>108</v>
      </c>
      <c r="O1923" s="170" t="s">
        <v>387</v>
      </c>
      <c r="P1923" s="462" t="s">
        <v>376</v>
      </c>
      <c r="Q1923" s="462"/>
      <c r="R1923" s="101" t="s">
        <v>453</v>
      </c>
      <c r="S1923" s="116" t="s">
        <v>0</v>
      </c>
      <c r="T1923" s="118"/>
      <c r="U1923" s="116" t="s">
        <v>288</v>
      </c>
      <c r="V1923" s="116" t="s">
        <v>289</v>
      </c>
      <c r="W1923" s="116" t="s">
        <v>292</v>
      </c>
      <c r="X1923" s="140"/>
      <c r="Y1923" s="116" t="s">
        <v>290</v>
      </c>
      <c r="Z1923" s="116" t="s">
        <v>355</v>
      </c>
      <c r="AA1923" s="116" t="s">
        <v>356</v>
      </c>
      <c r="AB1923" s="116" t="s">
        <v>318</v>
      </c>
      <c r="AC1923" s="116" t="s">
        <v>319</v>
      </c>
      <c r="AD1923" s="116" t="s">
        <v>317</v>
      </c>
      <c r="AE1923" s="140"/>
      <c r="AF1923" s="116" t="s">
        <v>294</v>
      </c>
      <c r="AG1923" s="116" t="s">
        <v>355</v>
      </c>
      <c r="AH1923" s="116" t="s">
        <v>356</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711</v>
      </c>
      <c r="O1924" s="121" t="s">
        <v>348</v>
      </c>
      <c r="P1924" s="169" t="s">
        <v>380</v>
      </c>
      <c r="Q1924" s="169" t="s">
        <v>376</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412</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479</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512</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391</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513</v>
      </c>
      <c r="P1934" s="121"/>
      <c r="Q1934" s="121"/>
      <c r="R1934" s="121"/>
      <c r="S1934" s="133">
        <f>M1924</f>
        <v>0</v>
      </c>
      <c r="T1934" s="120"/>
      <c r="U1934" s="121" t="s">
        <v>364</v>
      </c>
      <c r="V1934" s="133">
        <f t="shared" si="882"/>
        <v>0</v>
      </c>
      <c r="W1934" s="133">
        <f>VLOOKUP(U1934,Sheet1!$B$6:$C$45,2,FALSE)*V1934</f>
        <v>0</v>
      </c>
      <c r="X1934" s="141"/>
      <c r="Y1934" s="122" t="s">
        <v>322</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468</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364</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712</v>
      </c>
      <c r="P1943" s="121" t="s">
        <v>381</v>
      </c>
      <c r="Q1943" s="121" t="s">
        <v>713</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409</v>
      </c>
      <c r="P1944" s="121"/>
      <c r="Q1944" s="121"/>
      <c r="R1944" s="121"/>
      <c r="S1944" s="133">
        <f>M1924</f>
        <v>0</v>
      </c>
      <c r="T1944" s="120"/>
      <c r="U1944" s="121" t="s">
        <v>364</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378</v>
      </c>
      <c r="L1945" s="128" t="s">
        <v>379</v>
      </c>
      <c r="N1945" s="129"/>
      <c r="O1945" s="130" t="s">
        <v>358</v>
      </c>
      <c r="P1945" s="171">
        <f>V1945+AA1945+AH1945</f>
        <v>0</v>
      </c>
      <c r="Q1945" s="144"/>
      <c r="R1945" s="144"/>
      <c r="S1945" s="130"/>
      <c r="T1945" s="127"/>
      <c r="U1945" s="126" t="s">
        <v>352</v>
      </c>
      <c r="V1945" s="127">
        <f>W1945*80</f>
        <v>0</v>
      </c>
      <c r="W1945" s="147">
        <f>SUM(W1924:W1944)</f>
        <v>0</v>
      </c>
      <c r="X1945" s="148"/>
      <c r="Y1945" s="127" t="s">
        <v>353</v>
      </c>
      <c r="Z1945" s="116"/>
      <c r="AA1945" s="116">
        <f>SUM(AA1924:AA1944)</f>
        <v>0</v>
      </c>
      <c r="AB1945" s="149"/>
      <c r="AC1945" s="149"/>
      <c r="AD1945" s="149"/>
      <c r="AE1945" s="149"/>
      <c r="AF1945" s="127" t="s">
        <v>357</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492</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368</v>
      </c>
      <c r="N1946" s="160" t="str">
        <f>N1924</f>
        <v>Kitchen Hood Make Up Supply Sytem ( from MSSB power supply)</v>
      </c>
      <c r="O1946" s="160" t="s">
        <v>366</v>
      </c>
      <c r="P1946" s="64" t="e">
        <f>P1945/M1924</f>
        <v>#DIV/0!</v>
      </c>
      <c r="Q1946" s="161"/>
      <c r="R1946" s="161"/>
      <c r="S1946" s="160"/>
      <c r="T1946" s="161"/>
      <c r="U1946" s="463" t="s">
        <v>367</v>
      </c>
      <c r="V1946" s="463"/>
      <c r="W1946" s="162" t="e">
        <f>W1945/M1924</f>
        <v>#DIV/0!</v>
      </c>
      <c r="X1946" s="163"/>
      <c r="Y1946" s="461" t="s">
        <v>366</v>
      </c>
      <c r="Z1946" s="461"/>
      <c r="AA1946" s="164" t="e">
        <f>AA1945/M1924</f>
        <v>#DIV/0!</v>
      </c>
      <c r="AB1946" s="161"/>
      <c r="AC1946" s="161"/>
      <c r="AD1946" s="161"/>
      <c r="AE1946" s="161"/>
      <c r="AF1946" s="461" t="s">
        <v>366</v>
      </c>
      <c r="AG1946" s="461"/>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453</v>
      </c>
      <c r="M1947" s="116" t="s">
        <v>107</v>
      </c>
      <c r="N1947" s="116" t="s">
        <v>108</v>
      </c>
      <c r="O1947" s="170" t="s">
        <v>387</v>
      </c>
      <c r="P1947" s="462" t="s">
        <v>376</v>
      </c>
      <c r="Q1947" s="462"/>
      <c r="R1947" s="101" t="s">
        <v>453</v>
      </c>
      <c r="S1947" s="116" t="s">
        <v>0</v>
      </c>
      <c r="T1947" s="118"/>
      <c r="U1947" s="116" t="s">
        <v>288</v>
      </c>
      <c r="V1947" s="116" t="s">
        <v>289</v>
      </c>
      <c r="W1947" s="116" t="s">
        <v>292</v>
      </c>
      <c r="X1947" s="140"/>
      <c r="Y1947" s="116" t="s">
        <v>290</v>
      </c>
      <c r="Z1947" s="116" t="s">
        <v>355</v>
      </c>
      <c r="AA1947" s="116" t="s">
        <v>356</v>
      </c>
      <c r="AB1947" s="116" t="s">
        <v>318</v>
      </c>
      <c r="AC1947" s="116" t="s">
        <v>319</v>
      </c>
      <c r="AD1947" s="116" t="s">
        <v>317</v>
      </c>
      <c r="AE1947" s="140"/>
      <c r="AF1947" s="116" t="s">
        <v>294</v>
      </c>
      <c r="AG1947" s="116" t="s">
        <v>355</v>
      </c>
      <c r="AH1947" s="116" t="s">
        <v>356</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463</v>
      </c>
      <c r="O1948" s="121" t="s">
        <v>348</v>
      </c>
      <c r="P1948" s="169" t="s">
        <v>380</v>
      </c>
      <c r="Q1948" s="169" t="s">
        <v>376</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412</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511</v>
      </c>
      <c r="P1951" s="121" t="s">
        <v>464</v>
      </c>
      <c r="Q1951" s="121" t="s">
        <v>465</v>
      </c>
      <c r="R1951" s="121"/>
      <c r="S1951" s="133">
        <f>M1948</f>
        <v>0</v>
      </c>
      <c r="T1951" s="120"/>
      <c r="U1951" s="121" t="s">
        <v>362</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324</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391</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515</v>
      </c>
      <c r="P1956" s="121"/>
      <c r="Q1956" s="121"/>
      <c r="R1956" s="121"/>
      <c r="S1956" s="133">
        <f>M1948</f>
        <v>0</v>
      </c>
      <c r="T1956" s="120"/>
      <c r="U1956" s="121" t="s">
        <v>293</v>
      </c>
      <c r="V1956" s="133">
        <f t="shared" si="895"/>
        <v>0</v>
      </c>
      <c r="W1956" s="133">
        <f>VLOOKUP(U1956,Sheet1!$B$6:$C$45,2,FALSE)*V1956</f>
        <v>0</v>
      </c>
      <c r="X1956" s="141"/>
      <c r="Y1956" s="152" t="s">
        <v>334</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516</v>
      </c>
      <c r="P1957" s="121"/>
      <c r="Q1957" s="121"/>
      <c r="R1957" s="121"/>
      <c r="S1957" s="133">
        <f>M1948</f>
        <v>0</v>
      </c>
      <c r="T1957" s="120"/>
      <c r="U1957" s="121" t="s">
        <v>293</v>
      </c>
      <c r="V1957" s="133">
        <f t="shared" si="895"/>
        <v>0</v>
      </c>
      <c r="W1957" s="133">
        <f>VLOOKUP(U1957,Sheet1!$B$6:$C$45,2,FALSE)*V1957</f>
        <v>0</v>
      </c>
      <c r="X1957" s="141"/>
      <c r="Y1957" s="152" t="s">
        <v>335</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513</v>
      </c>
      <c r="P1958" s="121"/>
      <c r="Q1958" s="121"/>
      <c r="R1958" s="121"/>
      <c r="S1958" s="133">
        <f>M1948</f>
        <v>0</v>
      </c>
      <c r="T1958" s="120"/>
      <c r="U1958" s="121" t="s">
        <v>364</v>
      </c>
      <c r="V1958" s="133">
        <f t="shared" si="895"/>
        <v>0</v>
      </c>
      <c r="W1958" s="133">
        <f>VLOOKUP(U1958,Sheet1!$B$6:$C$45,2,FALSE)*V1958</f>
        <v>0</v>
      </c>
      <c r="X1958" s="141"/>
      <c r="Y1958" s="122" t="s">
        <v>322</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517</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364</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518</v>
      </c>
      <c r="P1962" s="121"/>
      <c r="Q1962" s="121"/>
      <c r="R1962" s="121"/>
      <c r="S1962" s="133">
        <f>M1948</f>
        <v>0</v>
      </c>
      <c r="T1962" s="120"/>
      <c r="U1962" s="121" t="s">
        <v>365</v>
      </c>
      <c r="V1962" s="133">
        <f t="shared" si="895"/>
        <v>0</v>
      </c>
      <c r="W1962" s="133">
        <f>VLOOKUP(U1962,Sheet1!$B$6:$C$45,2,FALSE)*V1962</f>
        <v>0</v>
      </c>
      <c r="X1962" s="141"/>
      <c r="Y1962" s="135" t="s">
        <v>462</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519</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520</v>
      </c>
      <c r="P1964" s="121"/>
      <c r="Q1964" s="121"/>
      <c r="R1964" s="121"/>
      <c r="S1964" s="133">
        <f>M1948</f>
        <v>0</v>
      </c>
      <c r="T1964" s="120"/>
      <c r="U1964" s="121" t="s">
        <v>293</v>
      </c>
      <c r="V1964" s="133">
        <f t="shared" si="895"/>
        <v>0</v>
      </c>
      <c r="W1964" s="133">
        <f>VLOOKUP(U1964,Sheet1!$B$6:$C$45,2,FALSE)*V1964</f>
        <v>0</v>
      </c>
      <c r="X1964" s="141"/>
      <c r="Y1964" s="152" t="s">
        <v>460</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521</v>
      </c>
      <c r="P1965" s="121"/>
      <c r="Q1965" s="121"/>
      <c r="R1965" s="121"/>
      <c r="S1965" s="133">
        <f>M1948</f>
        <v>0</v>
      </c>
      <c r="T1965" s="120"/>
      <c r="U1965" s="121" t="s">
        <v>293</v>
      </c>
      <c r="V1965" s="133">
        <f t="shared" si="895"/>
        <v>0</v>
      </c>
      <c r="W1965" s="133">
        <f>VLOOKUP(U1965,Sheet1!$B$6:$C$45,2,FALSE)*V1965</f>
        <v>0</v>
      </c>
      <c r="X1965" s="141"/>
      <c r="Y1965" s="152" t="s">
        <v>461</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522</v>
      </c>
      <c r="P1966" s="121" t="s">
        <v>457</v>
      </c>
      <c r="Q1966" s="121" t="s">
        <v>458</v>
      </c>
      <c r="R1966" s="121"/>
      <c r="S1966" s="133">
        <f>M1948</f>
        <v>0</v>
      </c>
      <c r="T1966" s="120"/>
      <c r="U1966" s="121" t="s">
        <v>364</v>
      </c>
      <c r="V1966" s="133">
        <f t="shared" si="895"/>
        <v>0</v>
      </c>
      <c r="W1966" s="133">
        <f>VLOOKUP(U1966,Sheet1!$B$6:$C$45,2,FALSE)*V1966</f>
        <v>0</v>
      </c>
      <c r="X1966" s="141"/>
      <c r="Y1966" s="122" t="s">
        <v>327</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523</v>
      </c>
      <c r="P1967" s="121" t="s">
        <v>381</v>
      </c>
      <c r="Q1967" s="121" t="s">
        <v>385</v>
      </c>
      <c r="R1967" s="121"/>
      <c r="S1967" s="133">
        <f>M1948</f>
        <v>0</v>
      </c>
      <c r="T1967" s="120"/>
      <c r="U1967" s="121" t="s">
        <v>293</v>
      </c>
      <c r="V1967" s="133">
        <f t="shared" si="895"/>
        <v>0</v>
      </c>
      <c r="W1967" s="133">
        <f>VLOOKUP(U1967,Sheet1!$B$6:$C$45,2,FALSE)*V1967</f>
        <v>0</v>
      </c>
      <c r="X1967" s="141"/>
      <c r="Y1967" s="122" t="s">
        <v>323</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409</v>
      </c>
      <c r="P1968" s="121"/>
      <c r="Q1968" s="121"/>
      <c r="R1968" s="121"/>
      <c r="S1968" s="133">
        <f>M1948</f>
        <v>0</v>
      </c>
      <c r="T1968" s="120"/>
      <c r="U1968" s="121" t="s">
        <v>364</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378</v>
      </c>
      <c r="L1969" s="128" t="s">
        <v>379</v>
      </c>
      <c r="N1969" s="129"/>
      <c r="O1969" s="130" t="s">
        <v>358</v>
      </c>
      <c r="P1969" s="171">
        <f>V1969+AA1969+AH1969</f>
        <v>0</v>
      </c>
      <c r="Q1969" s="144"/>
      <c r="R1969" s="144"/>
      <c r="S1969" s="130"/>
      <c r="T1969" s="127"/>
      <c r="U1969" s="126" t="s">
        <v>352</v>
      </c>
      <c r="V1969" s="127">
        <f>W1969*80</f>
        <v>0</v>
      </c>
      <c r="W1969" s="147">
        <f>SUM(W1948:W1968)</f>
        <v>0</v>
      </c>
      <c r="X1969" s="148"/>
      <c r="Y1969" s="127" t="s">
        <v>353</v>
      </c>
      <c r="Z1969" s="116"/>
      <c r="AA1969" s="116">
        <f>SUM(AA1948:AA1968)</f>
        <v>0</v>
      </c>
      <c r="AB1969" s="149"/>
      <c r="AC1969" s="149"/>
      <c r="AD1969" s="149"/>
      <c r="AE1969" s="149"/>
      <c r="AF1969" s="127" t="s">
        <v>357</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492</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368</v>
      </c>
      <c r="N1970" s="160" t="str">
        <f>N1948</f>
        <v>Kitchen Exhaust Sytem ( from local power supply with 2 separate switchplates)</v>
      </c>
      <c r="O1970" s="160" t="s">
        <v>366</v>
      </c>
      <c r="P1970" s="161" t="e">
        <f>P1969/M1948</f>
        <v>#DIV/0!</v>
      </c>
      <c r="Q1970" s="161"/>
      <c r="R1970" s="161"/>
      <c r="S1970" s="160"/>
      <c r="T1970" s="161"/>
      <c r="U1970" s="463" t="s">
        <v>367</v>
      </c>
      <c r="V1970" s="463"/>
      <c r="W1970" s="162" t="e">
        <f>W1969/M1948</f>
        <v>#DIV/0!</v>
      </c>
      <c r="X1970" s="163"/>
      <c r="Y1970" s="461" t="s">
        <v>366</v>
      </c>
      <c r="Z1970" s="461"/>
      <c r="AA1970" s="164" t="e">
        <f>AA1969/M1948</f>
        <v>#DIV/0!</v>
      </c>
      <c r="AB1970" s="161"/>
      <c r="AC1970" s="161"/>
      <c r="AD1970" s="161"/>
      <c r="AE1970" s="161"/>
      <c r="AF1970" s="461" t="s">
        <v>366</v>
      </c>
      <c r="AG1970" s="461"/>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453</v>
      </c>
      <c r="M1971" s="2" t="s">
        <v>107</v>
      </c>
      <c r="N1971" s="2" t="s">
        <v>108</v>
      </c>
      <c r="O1971" s="97" t="s">
        <v>387</v>
      </c>
      <c r="P1971" s="462" t="s">
        <v>376</v>
      </c>
      <c r="Q1971" s="462"/>
      <c r="R1971" s="101" t="s">
        <v>453</v>
      </c>
      <c r="S1971" s="2" t="s">
        <v>0</v>
      </c>
      <c r="T1971" s="9"/>
      <c r="U1971" s="2" t="s">
        <v>288</v>
      </c>
      <c r="V1971" s="2" t="s">
        <v>289</v>
      </c>
      <c r="W1971" s="2" t="s">
        <v>292</v>
      </c>
      <c r="X1971" s="58"/>
      <c r="Y1971" s="2" t="s">
        <v>290</v>
      </c>
      <c r="Z1971" s="2" t="s">
        <v>355</v>
      </c>
      <c r="AA1971" s="2" t="s">
        <v>356</v>
      </c>
      <c r="AB1971" s="2" t="s">
        <v>318</v>
      </c>
      <c r="AC1971" s="2" t="s">
        <v>319</v>
      </c>
      <c r="AD1971" s="2" t="s">
        <v>317</v>
      </c>
      <c r="AE1971" s="58"/>
      <c r="AF1971" s="2" t="s">
        <v>294</v>
      </c>
      <c r="AG1971" s="2" t="s">
        <v>355</v>
      </c>
      <c r="AH1971" s="2" t="s">
        <v>356</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714</v>
      </c>
      <c r="O1972" s="12" t="s">
        <v>348</v>
      </c>
      <c r="P1972" s="96" t="s">
        <v>380</v>
      </c>
      <c r="Q1972" s="96" t="s">
        <v>376</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412</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479</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324</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391</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339</v>
      </c>
      <c r="P1980" s="12"/>
      <c r="Q1980" s="12"/>
      <c r="R1980" s="12"/>
      <c r="S1980" s="28">
        <f>M1972</f>
        <v>0</v>
      </c>
      <c r="T1980" s="11"/>
      <c r="U1980" s="12" t="s">
        <v>293</v>
      </c>
      <c r="V1980" s="28">
        <f t="shared" si="903"/>
        <v>0</v>
      </c>
      <c r="W1980" s="28">
        <f>VLOOKUP(U1980,Sheet1!$B$6:$C$45,2,FALSE)*V1980</f>
        <v>0</v>
      </c>
      <c r="X1980" s="59"/>
      <c r="Y1980" s="110" t="s">
        <v>334</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516</v>
      </c>
      <c r="P1981" s="12"/>
      <c r="Q1981" s="12"/>
      <c r="R1981" s="12"/>
      <c r="S1981" s="28">
        <f>M1972</f>
        <v>0</v>
      </c>
      <c r="T1981" s="11"/>
      <c r="U1981" s="12" t="s">
        <v>293</v>
      </c>
      <c r="V1981" s="28">
        <f t="shared" si="903"/>
        <v>0</v>
      </c>
      <c r="W1981" s="28">
        <f>VLOOKUP(U1981,Sheet1!$B$6:$C$45,2,FALSE)*V1981</f>
        <v>0</v>
      </c>
      <c r="X1981" s="59"/>
      <c r="Y1981" s="110" t="s">
        <v>335</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513</v>
      </c>
      <c r="P1982" s="12"/>
      <c r="Q1982" s="12"/>
      <c r="R1982" s="12"/>
      <c r="S1982" s="28">
        <f>M1972</f>
        <v>0</v>
      </c>
      <c r="T1982" s="11"/>
      <c r="U1982" s="12" t="s">
        <v>364</v>
      </c>
      <c r="V1982" s="28">
        <f t="shared" si="903"/>
        <v>0</v>
      </c>
      <c r="W1982" s="28">
        <f>VLOOKUP(U1982,Sheet1!$B$6:$C$45,2,FALSE)*V1982</f>
        <v>0</v>
      </c>
      <c r="X1982" s="59"/>
      <c r="Y1982" s="109" t="s">
        <v>322</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517</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364</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524</v>
      </c>
      <c r="P1986" s="12"/>
      <c r="Q1986" s="12"/>
      <c r="R1986" s="12"/>
      <c r="S1986" s="28">
        <f>M1972</f>
        <v>0</v>
      </c>
      <c r="T1986" s="11"/>
      <c r="U1986" s="12" t="s">
        <v>365</v>
      </c>
      <c r="V1986" s="28">
        <f t="shared" si="903"/>
        <v>0</v>
      </c>
      <c r="W1986" s="28">
        <f>VLOOKUP(U1986,Sheet1!$B$6:$C$45,2,FALSE)*V1986</f>
        <v>0</v>
      </c>
      <c r="X1986" s="59"/>
      <c r="Y1986" s="135" t="s">
        <v>462</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519</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715</v>
      </c>
      <c r="P1988" s="12"/>
      <c r="Q1988" s="12"/>
      <c r="R1988" s="12"/>
      <c r="S1988" s="28">
        <f>M1972</f>
        <v>0</v>
      </c>
      <c r="T1988" s="11"/>
      <c r="U1988" s="12" t="s">
        <v>293</v>
      </c>
      <c r="V1988" s="28">
        <f t="shared" si="903"/>
        <v>0</v>
      </c>
      <c r="W1988" s="28">
        <f>VLOOKUP(U1988,Sheet1!$B$6:$C$45,2,FALSE)*V1988</f>
        <v>0</v>
      </c>
      <c r="X1988" s="59"/>
      <c r="Y1988" s="110" t="s">
        <v>460</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525</v>
      </c>
      <c r="P1989" s="12"/>
      <c r="Q1989" s="12"/>
      <c r="R1989" s="12"/>
      <c r="S1989" s="28">
        <f>M1972</f>
        <v>0</v>
      </c>
      <c r="T1989" s="11"/>
      <c r="U1989" s="12" t="s">
        <v>293</v>
      </c>
      <c r="V1989" s="28">
        <f t="shared" si="903"/>
        <v>0</v>
      </c>
      <c r="W1989" s="28">
        <f>VLOOKUP(U1989,Sheet1!$B$6:$C$45,2,FALSE)*V1989</f>
        <v>0</v>
      </c>
      <c r="X1989" s="59"/>
      <c r="Y1989" s="110" t="s">
        <v>461</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522</v>
      </c>
      <c r="P1990" s="12" t="s">
        <v>457</v>
      </c>
      <c r="Q1990" s="12" t="s">
        <v>458</v>
      </c>
      <c r="R1990" s="12"/>
      <c r="S1990" s="28">
        <f>M1972</f>
        <v>0</v>
      </c>
      <c r="T1990" s="11"/>
      <c r="U1990" s="12" t="s">
        <v>364</v>
      </c>
      <c r="V1990" s="28">
        <f t="shared" si="903"/>
        <v>0</v>
      </c>
      <c r="W1990" s="28">
        <f>VLOOKUP(U1990,Sheet1!$B$6:$C$45,2,FALSE)*V1990</f>
        <v>0</v>
      </c>
      <c r="X1990" s="59"/>
      <c r="Y1990" s="109" t="s">
        <v>327</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523</v>
      </c>
      <c r="P1991" s="12" t="s">
        <v>381</v>
      </c>
      <c r="Q1991" s="12" t="s">
        <v>385</v>
      </c>
      <c r="R1991" s="12"/>
      <c r="S1991" s="28">
        <f>M1972</f>
        <v>0</v>
      </c>
      <c r="T1991" s="11"/>
      <c r="U1991" s="12" t="s">
        <v>293</v>
      </c>
      <c r="V1991" s="28">
        <f t="shared" si="903"/>
        <v>0</v>
      </c>
      <c r="W1991" s="28">
        <f>VLOOKUP(U1991,Sheet1!$B$6:$C$45,2,FALSE)*V1991</f>
        <v>0</v>
      </c>
      <c r="X1991" s="59"/>
      <c r="Y1991" s="109" t="s">
        <v>323</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409</v>
      </c>
      <c r="P1992" s="12"/>
      <c r="Q1992" s="12"/>
      <c r="R1992" s="12"/>
      <c r="S1992" s="28">
        <f>M1972</f>
        <v>0</v>
      </c>
      <c r="T1992" s="11"/>
      <c r="U1992" s="12" t="s">
        <v>364</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378</v>
      </c>
      <c r="L1993" s="21" t="s">
        <v>379</v>
      </c>
      <c r="N1993" s="22"/>
      <c r="O1993" s="23" t="s">
        <v>358</v>
      </c>
      <c r="P1993" s="98">
        <f>V1993+AA1993+AH1993</f>
        <v>0</v>
      </c>
      <c r="Q1993" s="65"/>
      <c r="R1993" s="65"/>
      <c r="S1993" s="23"/>
      <c r="T1993" s="20"/>
      <c r="U1993" s="19" t="s">
        <v>352</v>
      </c>
      <c r="V1993" s="20">
        <f>W1993*80</f>
        <v>0</v>
      </c>
      <c r="W1993" s="69">
        <f>SUM(W1972:W1992)</f>
        <v>0</v>
      </c>
      <c r="X1993" s="70"/>
      <c r="Y1993" s="20" t="s">
        <v>353</v>
      </c>
      <c r="Z1993" s="2"/>
      <c r="AA1993" s="2">
        <f>SUM(AA1972:AA1992)</f>
        <v>0</v>
      </c>
      <c r="AB1993" s="71"/>
      <c r="AC1993" s="71"/>
      <c r="AD1993" s="71"/>
      <c r="AE1993" s="71"/>
      <c r="AF1993" s="20" t="s">
        <v>357</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492</v>
      </c>
      <c r="C1994" s="217" t="str">
        <f>N1972</f>
        <v>Kitchen Exhaust Sytem (from MSSB)</v>
      </c>
      <c r="D1994" s="260" t="s">
        <v>679</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368</v>
      </c>
      <c r="N1994" s="83" t="str">
        <f>N1972</f>
        <v>Kitchen Exhaust Sytem (from MSSB)</v>
      </c>
      <c r="O1994" s="83" t="s">
        <v>366</v>
      </c>
      <c r="P1994" s="64" t="e">
        <f>P1993/M1972</f>
        <v>#DIV/0!</v>
      </c>
      <c r="Q1994" s="84"/>
      <c r="R1994" s="84"/>
      <c r="S1994" s="83"/>
      <c r="T1994" s="84"/>
      <c r="U1994" s="463" t="s">
        <v>367</v>
      </c>
      <c r="V1994" s="463"/>
      <c r="W1994" s="85" t="e">
        <f>W1993/M1972</f>
        <v>#DIV/0!</v>
      </c>
      <c r="X1994" s="86"/>
      <c r="Y1994" s="461" t="s">
        <v>366</v>
      </c>
      <c r="Z1994" s="461"/>
      <c r="AA1994" s="87" t="e">
        <f>AA1993/M1972</f>
        <v>#DIV/0!</v>
      </c>
      <c r="AB1994" s="84"/>
      <c r="AC1994" s="84"/>
      <c r="AD1994" s="84"/>
      <c r="AE1994" s="84"/>
      <c r="AF1994" s="461" t="s">
        <v>366</v>
      </c>
      <c r="AG1994" s="461"/>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492</v>
      </c>
      <c r="D1995" s="261" t="str">
        <f>IF(B1995="Shopping List",IF(ISNUMBER(SEARCH("MSSB",C1995)),"MSSB",IF(ISNUMBER(SEARCH("local",C1995)),"LOCAL","")))</f>
        <v/>
      </c>
      <c r="I1995" s="269">
        <f>SUM(I2019:I2091)</f>
        <v>0</v>
      </c>
      <c r="J1995" s="261" t="s">
        <v>681</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453</v>
      </c>
      <c r="M1996" s="116" t="s">
        <v>107</v>
      </c>
      <c r="N1996" s="116" t="s">
        <v>108</v>
      </c>
      <c r="O1996" s="170" t="s">
        <v>387</v>
      </c>
      <c r="P1996" s="464" t="s">
        <v>376</v>
      </c>
      <c r="Q1996" s="464"/>
      <c r="R1996" s="101" t="s">
        <v>453</v>
      </c>
      <c r="S1996" s="116" t="s">
        <v>0</v>
      </c>
      <c r="T1996" s="118"/>
      <c r="U1996" s="116" t="s">
        <v>288</v>
      </c>
      <c r="V1996" s="116" t="s">
        <v>289</v>
      </c>
      <c r="W1996" s="116" t="s">
        <v>292</v>
      </c>
      <c r="X1996" s="140"/>
      <c r="Y1996" s="116" t="s">
        <v>290</v>
      </c>
      <c r="Z1996" s="116" t="s">
        <v>355</v>
      </c>
      <c r="AA1996" s="116" t="s">
        <v>356</v>
      </c>
      <c r="AB1996" s="116" t="s">
        <v>318</v>
      </c>
      <c r="AC1996" s="116" t="s">
        <v>319</v>
      </c>
      <c r="AD1996" s="116" t="s">
        <v>317</v>
      </c>
      <c r="AE1996" s="140"/>
      <c r="AF1996" s="116" t="s">
        <v>294</v>
      </c>
      <c r="AG1996" s="116" t="s">
        <v>355</v>
      </c>
      <c r="AH1996" s="116" t="s">
        <v>356</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629</v>
      </c>
      <c r="O1997" s="121" t="s">
        <v>348</v>
      </c>
      <c r="P1997" s="169" t="s">
        <v>380</v>
      </c>
      <c r="Q1997" s="169" t="s">
        <v>376</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630</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594</v>
      </c>
      <c r="Q2005" s="66" t="s">
        <v>470</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502</v>
      </c>
      <c r="P2007" s="121" t="s">
        <v>472</v>
      </c>
      <c r="Q2007" s="66"/>
      <c r="R2007" s="121"/>
      <c r="S2007" s="133">
        <f>M1997</f>
        <v>0</v>
      </c>
      <c r="T2007" s="120"/>
      <c r="U2007" s="117" t="s">
        <v>364</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503</v>
      </c>
      <c r="P2008" s="121"/>
      <c r="Q2008" s="66"/>
      <c r="R2008" s="121"/>
      <c r="S2008" s="133">
        <f>M1997</f>
        <v>0</v>
      </c>
      <c r="T2008" s="120"/>
      <c r="U2008" s="117" t="s">
        <v>364</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474</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471</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475</v>
      </c>
      <c r="P2013" s="121" t="s">
        <v>594</v>
      </c>
      <c r="Q2013" s="66" t="s">
        <v>631</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504</v>
      </c>
      <c r="P2014" s="121" t="s">
        <v>472</v>
      </c>
      <c r="Q2014" s="66" t="s">
        <v>632</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597</v>
      </c>
      <c r="P2016" s="121" t="s">
        <v>381</v>
      </c>
      <c r="Q2016" s="66" t="s">
        <v>633</v>
      </c>
      <c r="R2016" s="121"/>
      <c r="S2016" s="133">
        <f>M1997</f>
        <v>0</v>
      </c>
      <c r="T2016" s="120"/>
      <c r="U2016" s="121" t="s">
        <v>293</v>
      </c>
      <c r="V2016" s="133">
        <f t="shared" si="911"/>
        <v>0</v>
      </c>
      <c r="W2016" s="133">
        <f>VLOOKUP(U2016,Sheet1!$B$6:$C$45,2,FALSE)*V2016</f>
        <v>0</v>
      </c>
      <c r="X2016" s="141"/>
      <c r="Y2016" s="122" t="s">
        <v>323</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598</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378</v>
      </c>
      <c r="L2018" s="128" t="s">
        <v>379</v>
      </c>
      <c r="N2018" s="129"/>
      <c r="O2018" s="130" t="s">
        <v>358</v>
      </c>
      <c r="P2018" s="155">
        <f>V2018+AA2018+AH2018</f>
        <v>0</v>
      </c>
      <c r="Q2018" s="155"/>
      <c r="R2018" s="131"/>
      <c r="S2018" s="130"/>
      <c r="T2018" s="127"/>
      <c r="U2018" s="126" t="s">
        <v>352</v>
      </c>
      <c r="V2018" s="127">
        <f>W2018*80</f>
        <v>0</v>
      </c>
      <c r="W2018" s="147">
        <f>SUM(W1997:W2017)</f>
        <v>0</v>
      </c>
      <c r="X2018" s="148"/>
      <c r="Y2018" s="127" t="s">
        <v>353</v>
      </c>
      <c r="Z2018" s="116"/>
      <c r="AA2018" s="116">
        <f>SUM(AA1997:AA2017)</f>
        <v>0</v>
      </c>
      <c r="AB2018" s="149"/>
      <c r="AC2018" s="149"/>
      <c r="AD2018" s="149"/>
      <c r="AE2018" s="149"/>
      <c r="AF2018" s="127" t="s">
        <v>357</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492</v>
      </c>
      <c r="C2019" s="217" t="str">
        <f>N1997</f>
        <v>Electric Duct Heater ( 3 phase -Exclude Field cabling, SSRs and HPT)</v>
      </c>
      <c r="D2019" s="260" t="s">
        <v>679</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368</v>
      </c>
      <c r="N2019" s="160" t="str">
        <f>N1997</f>
        <v>Electric Duct Heater ( 3 phase -Exclude Field cabling, SSRs and HPT)</v>
      </c>
      <c r="O2019" s="185" t="s">
        <v>366</v>
      </c>
      <c r="P2019" s="203" t="e">
        <f>P2018/M1997</f>
        <v>#DIV/0!</v>
      </c>
      <c r="Q2019" s="195"/>
      <c r="R2019" s="188"/>
      <c r="S2019" s="160"/>
      <c r="T2019" s="161"/>
      <c r="U2019" s="463" t="s">
        <v>367</v>
      </c>
      <c r="V2019" s="463"/>
      <c r="W2019" s="162" t="e">
        <f>W2018/M1997</f>
        <v>#DIV/0!</v>
      </c>
      <c r="X2019" s="163"/>
      <c r="Y2019" s="461" t="s">
        <v>366</v>
      </c>
      <c r="Z2019" s="461"/>
      <c r="AA2019" s="164" t="e">
        <f>AA2018/M1997</f>
        <v>#DIV/0!</v>
      </c>
      <c r="AB2019" s="161"/>
      <c r="AC2019" s="161"/>
      <c r="AD2019" s="161"/>
      <c r="AE2019" s="161"/>
      <c r="AF2019" s="461" t="s">
        <v>366</v>
      </c>
      <c r="AG2019" s="461"/>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453</v>
      </c>
      <c r="M2020" s="116" t="s">
        <v>107</v>
      </c>
      <c r="N2020" s="116" t="s">
        <v>108</v>
      </c>
      <c r="O2020" s="170" t="s">
        <v>387</v>
      </c>
      <c r="P2020" s="464" t="s">
        <v>376</v>
      </c>
      <c r="Q2020" s="464"/>
      <c r="R2020" s="101" t="s">
        <v>453</v>
      </c>
      <c r="S2020" s="116" t="s">
        <v>0</v>
      </c>
      <c r="T2020" s="118"/>
      <c r="U2020" s="116" t="s">
        <v>288</v>
      </c>
      <c r="V2020" s="116" t="s">
        <v>289</v>
      </c>
      <c r="W2020" s="116" t="s">
        <v>292</v>
      </c>
      <c r="X2020" s="140"/>
      <c r="Y2020" s="116" t="s">
        <v>290</v>
      </c>
      <c r="Z2020" s="116" t="s">
        <v>355</v>
      </c>
      <c r="AA2020" s="116" t="s">
        <v>356</v>
      </c>
      <c r="AB2020" s="116" t="s">
        <v>318</v>
      </c>
      <c r="AC2020" s="116" t="s">
        <v>319</v>
      </c>
      <c r="AD2020" s="116" t="s">
        <v>317</v>
      </c>
      <c r="AE2020" s="140"/>
      <c r="AF2020" s="116" t="s">
        <v>294</v>
      </c>
      <c r="AG2020" s="116" t="s">
        <v>355</v>
      </c>
      <c r="AH2020" s="116" t="s">
        <v>356</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626</v>
      </c>
      <c r="O2021" s="121" t="s">
        <v>348</v>
      </c>
      <c r="P2021" s="169" t="s">
        <v>380</v>
      </c>
      <c r="Q2021" s="169" t="s">
        <v>376</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627</v>
      </c>
      <c r="P2024" s="121"/>
      <c r="Q2024" s="66"/>
      <c r="R2024" s="121"/>
      <c r="S2024" s="133">
        <f>M2021</f>
        <v>0</v>
      </c>
      <c r="T2024" s="120"/>
      <c r="U2024" s="117" t="s">
        <v>479</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594</v>
      </c>
      <c r="Q2029" s="66" t="s">
        <v>470</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365</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502</v>
      </c>
      <c r="P2031" s="121" t="s">
        <v>472</v>
      </c>
      <c r="Q2031" s="66" t="s">
        <v>473</v>
      </c>
      <c r="R2031" s="121"/>
      <c r="S2031" s="133">
        <f>M2021</f>
        <v>0</v>
      </c>
      <c r="T2031" s="120"/>
      <c r="U2031" s="121" t="s">
        <v>293</v>
      </c>
      <c r="V2031" s="133">
        <f t="shared" si="926"/>
        <v>0</v>
      </c>
      <c r="W2031" s="133">
        <f>VLOOKUP(U2031,Sheet1!$B$6:$C$45,2,FALSE)*V2031</f>
        <v>0</v>
      </c>
      <c r="X2031" s="141"/>
      <c r="Y2031" s="135" t="s">
        <v>476</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503</v>
      </c>
      <c r="P2032" s="121"/>
      <c r="Q2032" s="66"/>
      <c r="R2032" s="121"/>
      <c r="S2032" s="133">
        <f>M2021</f>
        <v>0</v>
      </c>
      <c r="T2032" s="120"/>
      <c r="U2032" s="117" t="s">
        <v>364</v>
      </c>
      <c r="V2032" s="133">
        <f t="shared" si="926"/>
        <v>0</v>
      </c>
      <c r="W2032" s="133">
        <f>VLOOKUP(U2032,Sheet1!$B$6:$C$45,2,FALSE)*V2032</f>
        <v>0</v>
      </c>
      <c r="X2032" s="141"/>
      <c r="Y2032" s="135" t="s">
        <v>478</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474</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471</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475</v>
      </c>
      <c r="P2037" s="121" t="s">
        <v>594</v>
      </c>
      <c r="Q2037" s="66" t="s">
        <v>628</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504</v>
      </c>
      <c r="P2038" s="121" t="s">
        <v>472</v>
      </c>
      <c r="Q2038" s="66" t="s">
        <v>473</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597</v>
      </c>
      <c r="P2040" s="121" t="s">
        <v>381</v>
      </c>
      <c r="Q2040" s="66" t="s">
        <v>385</v>
      </c>
      <c r="R2040" s="121"/>
      <c r="S2040" s="133">
        <f>M2021</f>
        <v>0</v>
      </c>
      <c r="T2040" s="120"/>
      <c r="U2040" s="121" t="s">
        <v>293</v>
      </c>
      <c r="V2040" s="133">
        <f t="shared" si="926"/>
        <v>0</v>
      </c>
      <c r="W2040" s="133">
        <f>VLOOKUP(U2040,Sheet1!$B$6:$C$45,2,FALSE)*V2040</f>
        <v>0</v>
      </c>
      <c r="X2040" s="141"/>
      <c r="Y2040" s="122" t="s">
        <v>323</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598</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378</v>
      </c>
      <c r="L2042" s="128" t="s">
        <v>379</v>
      </c>
      <c r="N2042" s="129"/>
      <c r="O2042" s="130" t="s">
        <v>358</v>
      </c>
      <c r="P2042" s="155">
        <f>V2042+AA2042+AH2042</f>
        <v>0</v>
      </c>
      <c r="Q2042" s="155"/>
      <c r="R2042" s="131"/>
      <c r="S2042" s="130"/>
      <c r="T2042" s="127"/>
      <c r="U2042" s="126" t="s">
        <v>352</v>
      </c>
      <c r="V2042" s="127">
        <f>W2042*80</f>
        <v>0</v>
      </c>
      <c r="W2042" s="147">
        <f>SUM(W2021:W2041)</f>
        <v>0</v>
      </c>
      <c r="X2042" s="148"/>
      <c r="Y2042" s="127" t="s">
        <v>353</v>
      </c>
      <c r="Z2042" s="116"/>
      <c r="AA2042" s="116">
        <f>SUM(AA2021:AA2041)</f>
        <v>0</v>
      </c>
      <c r="AB2042" s="149"/>
      <c r="AC2042" s="149"/>
      <c r="AD2042" s="149"/>
      <c r="AE2042" s="149"/>
      <c r="AF2042" s="127" t="s">
        <v>357</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492</v>
      </c>
      <c r="C2043" s="217" t="str">
        <f>N2021</f>
        <v>Electric Duct Heater ( 3 phase -Exclude Field cabling)</v>
      </c>
      <c r="D2043" s="260" t="s">
        <v>679</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368</v>
      </c>
      <c r="N2043" s="160" t="str">
        <f>N2021</f>
        <v>Electric Duct Heater ( 3 phase -Exclude Field cabling)</v>
      </c>
      <c r="O2043" s="185" t="s">
        <v>366</v>
      </c>
      <c r="P2043" s="203" t="e">
        <f>P2042/M2021</f>
        <v>#DIV/0!</v>
      </c>
      <c r="Q2043" s="195"/>
      <c r="R2043" s="188"/>
      <c r="S2043" s="160"/>
      <c r="T2043" s="161"/>
      <c r="U2043" s="463" t="s">
        <v>367</v>
      </c>
      <c r="V2043" s="463"/>
      <c r="W2043" s="162" t="e">
        <f>W2042/M2021</f>
        <v>#DIV/0!</v>
      </c>
      <c r="X2043" s="163"/>
      <c r="Y2043" s="461" t="s">
        <v>366</v>
      </c>
      <c r="Z2043" s="461"/>
      <c r="AA2043" s="164" t="e">
        <f>AA2042/M2021</f>
        <v>#DIV/0!</v>
      </c>
      <c r="AB2043" s="161"/>
      <c r="AC2043" s="161"/>
      <c r="AD2043" s="161"/>
      <c r="AE2043" s="161"/>
      <c r="AF2043" s="461" t="s">
        <v>366</v>
      </c>
      <c r="AG2043" s="461"/>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493</v>
      </c>
      <c r="D2044" s="211"/>
      <c r="E2044" s="218"/>
      <c r="F2044" s="218"/>
      <c r="G2044" s="218"/>
      <c r="H2044" s="218"/>
      <c r="I2044" s="240" t="s">
        <v>0</v>
      </c>
      <c r="J2044" s="116" t="s">
        <v>640</v>
      </c>
      <c r="K2044" s="222" t="s">
        <v>354</v>
      </c>
      <c r="L2044" s="253" t="s">
        <v>389</v>
      </c>
      <c r="M2044" s="116" t="s">
        <v>107</v>
      </c>
      <c r="N2044" s="116" t="s">
        <v>108</v>
      </c>
      <c r="O2044" s="170" t="s">
        <v>387</v>
      </c>
      <c r="P2044" s="462" t="s">
        <v>376</v>
      </c>
      <c r="Q2044" s="462"/>
      <c r="R2044" s="101" t="s">
        <v>453</v>
      </c>
      <c r="S2044" s="116" t="s">
        <v>0</v>
      </c>
      <c r="T2044" s="118"/>
      <c r="U2044" s="116" t="s">
        <v>288</v>
      </c>
      <c r="V2044" s="116" t="s">
        <v>289</v>
      </c>
      <c r="W2044" s="116" t="s">
        <v>292</v>
      </c>
      <c r="X2044" s="140"/>
      <c r="Y2044" s="116" t="s">
        <v>290</v>
      </c>
      <c r="Z2044" s="116" t="s">
        <v>355</v>
      </c>
      <c r="AA2044" s="116" t="s">
        <v>356</v>
      </c>
      <c r="AB2044" s="116" t="s">
        <v>318</v>
      </c>
      <c r="AC2044" s="116" t="s">
        <v>319</v>
      </c>
      <c r="AD2044" s="116" t="s">
        <v>317</v>
      </c>
      <c r="AE2044" s="140"/>
      <c r="AF2044" s="116" t="s">
        <v>294</v>
      </c>
      <c r="AG2044" s="116" t="s">
        <v>355</v>
      </c>
      <c r="AH2044" s="116" t="s">
        <v>356</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703</v>
      </c>
      <c r="O2045" s="121" t="s">
        <v>178</v>
      </c>
      <c r="P2045" s="169" t="s">
        <v>380</v>
      </c>
      <c r="Q2045" s="169" t="s">
        <v>376</v>
      </c>
      <c r="R2045" s="169"/>
      <c r="S2045" s="133">
        <f>M2045</f>
        <v>0</v>
      </c>
      <c r="T2045" s="119"/>
      <c r="U2045" s="117" t="s">
        <v>365</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704</v>
      </c>
      <c r="P2047" s="121"/>
      <c r="Q2047" s="121"/>
      <c r="R2047" s="121"/>
      <c r="S2047" s="133">
        <f>M2045</f>
        <v>0</v>
      </c>
      <c r="T2047" s="120"/>
      <c r="U2047" s="121" t="s">
        <v>293</v>
      </c>
      <c r="V2047" s="133">
        <f t="shared" si="936"/>
        <v>0</v>
      </c>
      <c r="W2047" s="133">
        <f>VLOOKUP(U2047,Sheet1!$B$6:$C$45,2,FALSE)*V2047</f>
        <v>0</v>
      </c>
      <c r="X2047" s="141"/>
      <c r="Y2047" s="135" t="s">
        <v>705</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708</v>
      </c>
      <c r="P2048" s="121"/>
      <c r="Q2048" s="121"/>
      <c r="R2048" s="121"/>
      <c r="S2048" s="133">
        <f>M2045</f>
        <v>0</v>
      </c>
      <c r="T2048" s="120"/>
      <c r="U2048" s="121" t="s">
        <v>293</v>
      </c>
      <c r="V2048" s="133">
        <f t="shared" si="936"/>
        <v>0</v>
      </c>
      <c r="W2048" s="133">
        <f>VLOOKUP(U2048,Sheet1!$B$6:$C$45,2,FALSE)*V2048</f>
        <v>0</v>
      </c>
      <c r="X2048" s="141"/>
      <c r="Y2048" s="135" t="s">
        <v>698</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706</v>
      </c>
      <c r="P2049" s="121"/>
      <c r="Q2049" s="121"/>
      <c r="R2049" s="121"/>
      <c r="S2049" s="133">
        <f>M2045</f>
        <v>0</v>
      </c>
      <c r="T2049" s="120"/>
      <c r="U2049" s="121" t="s">
        <v>293</v>
      </c>
      <c r="V2049" s="133">
        <f t="shared" si="936"/>
        <v>0</v>
      </c>
      <c r="W2049" s="133">
        <f>VLOOKUP(U2049,Sheet1!$B$6:$C$45,2,FALSE)*V2049</f>
        <v>0</v>
      </c>
      <c r="X2049" s="141"/>
      <c r="Y2049" s="135" t="s">
        <v>334</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378</v>
      </c>
      <c r="L2066" s="128" t="s">
        <v>379</v>
      </c>
      <c r="N2066" s="129"/>
      <c r="O2066" s="154" t="s">
        <v>358</v>
      </c>
      <c r="P2066" s="155">
        <f>V2066+AA2066+AH2066</f>
        <v>0</v>
      </c>
      <c r="Q2066" s="155"/>
      <c r="R2066" s="155"/>
      <c r="S2066" s="154"/>
      <c r="T2066" s="156"/>
      <c r="U2066" s="157" t="s">
        <v>352</v>
      </c>
      <c r="V2066" s="156">
        <f>W2066*80</f>
        <v>0</v>
      </c>
      <c r="W2066" s="158">
        <f>SUM(W2045:W2065)</f>
        <v>0</v>
      </c>
      <c r="X2066" s="159"/>
      <c r="Y2066" s="156" t="s">
        <v>353</v>
      </c>
      <c r="Z2066" s="116"/>
      <c r="AA2066" s="116">
        <f>SUM(AA2045:AA2065)</f>
        <v>0</v>
      </c>
      <c r="AB2066" s="149"/>
      <c r="AC2066" s="149"/>
      <c r="AD2066" s="149"/>
      <c r="AE2066" s="149"/>
      <c r="AF2066" s="156" t="s">
        <v>357</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492</v>
      </c>
      <c r="C2067" s="217" t="str">
        <f>N2045</f>
        <v>Motion Sensor ( with internal run on timer) with interlock with other system</v>
      </c>
      <c r="D2067" s="260" t="s">
        <v>707</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368</v>
      </c>
      <c r="N2067" s="160" t="str">
        <f>N2045</f>
        <v>Motion Sensor ( with internal run on timer) with interlock with other system</v>
      </c>
      <c r="O2067" s="160" t="s">
        <v>366</v>
      </c>
      <c r="P2067" s="171" t="e">
        <f>P2066/M2045</f>
        <v>#DIV/0!</v>
      </c>
      <c r="Q2067" s="161"/>
      <c r="R2067" s="161"/>
      <c r="S2067" s="160"/>
      <c r="T2067" s="161"/>
      <c r="U2067" s="463" t="s">
        <v>367</v>
      </c>
      <c r="V2067" s="463"/>
      <c r="W2067" s="162" t="e">
        <f>W2066/M2045</f>
        <v>#DIV/0!</v>
      </c>
      <c r="X2067" s="163"/>
      <c r="Y2067" s="461" t="s">
        <v>366</v>
      </c>
      <c r="Z2067" s="461"/>
      <c r="AA2067" s="164" t="e">
        <f>AA2066/M2045</f>
        <v>#DIV/0!</v>
      </c>
      <c r="AB2067" s="161"/>
      <c r="AC2067" s="161"/>
      <c r="AD2067" s="161"/>
      <c r="AE2067" s="161"/>
      <c r="AF2067" s="461" t="s">
        <v>366</v>
      </c>
      <c r="AG2067" s="461"/>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493</v>
      </c>
      <c r="D2068" s="211"/>
      <c r="E2068" s="218"/>
      <c r="F2068" s="218"/>
      <c r="G2068" s="218"/>
      <c r="H2068" s="218"/>
      <c r="I2068" s="240" t="s">
        <v>0</v>
      </c>
      <c r="J2068" s="116" t="s">
        <v>640</v>
      </c>
      <c r="K2068" s="222" t="s">
        <v>354</v>
      </c>
      <c r="L2068" s="253" t="s">
        <v>389</v>
      </c>
      <c r="M2068" s="116" t="s">
        <v>107</v>
      </c>
      <c r="N2068" s="116" t="s">
        <v>108</v>
      </c>
      <c r="O2068" s="170" t="s">
        <v>387</v>
      </c>
      <c r="P2068" s="462" t="s">
        <v>376</v>
      </c>
      <c r="Q2068" s="462"/>
      <c r="R2068" s="101" t="s">
        <v>453</v>
      </c>
      <c r="S2068" s="116" t="s">
        <v>0</v>
      </c>
      <c r="T2068" s="118"/>
      <c r="U2068" s="116" t="s">
        <v>288</v>
      </c>
      <c r="V2068" s="116" t="s">
        <v>289</v>
      </c>
      <c r="W2068" s="116" t="s">
        <v>292</v>
      </c>
      <c r="X2068" s="140"/>
      <c r="Y2068" s="116" t="s">
        <v>290</v>
      </c>
      <c r="Z2068" s="116" t="s">
        <v>355</v>
      </c>
      <c r="AA2068" s="116" t="s">
        <v>356</v>
      </c>
      <c r="AB2068" s="116" t="s">
        <v>318</v>
      </c>
      <c r="AC2068" s="116" t="s">
        <v>319</v>
      </c>
      <c r="AD2068" s="116" t="s">
        <v>317</v>
      </c>
      <c r="AE2068" s="140"/>
      <c r="AF2068" s="116" t="s">
        <v>294</v>
      </c>
      <c r="AG2068" s="116" t="s">
        <v>355</v>
      </c>
      <c r="AH2068" s="116" t="s">
        <v>356</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671</v>
      </c>
      <c r="O2069" s="121" t="s">
        <v>178</v>
      </c>
      <c r="P2069" s="169" t="s">
        <v>380</v>
      </c>
      <c r="Q2069" s="169" t="s">
        <v>376</v>
      </c>
      <c r="R2069" s="169"/>
      <c r="S2069" s="133">
        <f>M2069</f>
        <v>0</v>
      </c>
      <c r="T2069" s="119"/>
      <c r="U2069" s="117" t="s">
        <v>365</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390</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672</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378</v>
      </c>
      <c r="L2090" s="128" t="s">
        <v>379</v>
      </c>
      <c r="N2090" s="129"/>
      <c r="O2090" s="154" t="s">
        <v>358</v>
      </c>
      <c r="P2090" s="155">
        <f>V2090+AA2090+AH2090</f>
        <v>0</v>
      </c>
      <c r="Q2090" s="155"/>
      <c r="R2090" s="155"/>
      <c r="S2090" s="154"/>
      <c r="T2090" s="156"/>
      <c r="U2090" s="157" t="s">
        <v>352</v>
      </c>
      <c r="V2090" s="156">
        <f>W2090*80</f>
        <v>0</v>
      </c>
      <c r="W2090" s="158">
        <f>SUM(W2069:W2089)</f>
        <v>0</v>
      </c>
      <c r="X2090" s="159"/>
      <c r="Y2090" s="156" t="s">
        <v>353</v>
      </c>
      <c r="Z2090" s="116"/>
      <c r="AA2090" s="116">
        <f>SUM(AA2069:AA2089)</f>
        <v>0</v>
      </c>
      <c r="AB2090" s="149"/>
      <c r="AC2090" s="149"/>
      <c r="AD2090" s="149"/>
      <c r="AE2090" s="149"/>
      <c r="AF2090" s="156" t="s">
        <v>357</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492</v>
      </c>
      <c r="C2091" s="217" t="str">
        <f>N2069</f>
        <v>Humidifier</v>
      </c>
      <c r="D2091" s="260" t="s">
        <v>679</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368</v>
      </c>
      <c r="N2091" s="160" t="str">
        <f>N2069</f>
        <v>Humidifier</v>
      </c>
      <c r="O2091" s="160" t="s">
        <v>366</v>
      </c>
      <c r="P2091" s="171" t="e">
        <f>P2090/M2069</f>
        <v>#DIV/0!</v>
      </c>
      <c r="Q2091" s="161"/>
      <c r="R2091" s="161"/>
      <c r="S2091" s="160"/>
      <c r="T2091" s="161"/>
      <c r="U2091" s="463" t="s">
        <v>367</v>
      </c>
      <c r="V2091" s="463"/>
      <c r="W2091" s="162" t="e">
        <f>W2090/M2069</f>
        <v>#DIV/0!</v>
      </c>
      <c r="X2091" s="163"/>
      <c r="Y2091" s="461" t="s">
        <v>366</v>
      </c>
      <c r="Z2091" s="461"/>
      <c r="AA2091" s="164" t="e">
        <f>AA2090/M2069</f>
        <v>#DIV/0!</v>
      </c>
      <c r="AB2091" s="161"/>
      <c r="AC2091" s="161"/>
      <c r="AD2091" s="161"/>
      <c r="AE2091" s="161"/>
      <c r="AF2091" s="461" t="s">
        <v>366</v>
      </c>
      <c r="AG2091" s="461"/>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453</v>
      </c>
      <c r="M2094" s="2" t="s">
        <v>107</v>
      </c>
      <c r="N2094" s="2" t="s">
        <v>108</v>
      </c>
      <c r="O2094" s="2" t="s">
        <v>4</v>
      </c>
      <c r="R2094" s="101" t="s">
        <v>453</v>
      </c>
      <c r="S2094" s="2" t="s">
        <v>0</v>
      </c>
      <c r="T2094" s="9"/>
      <c r="U2094" s="2" t="s">
        <v>288</v>
      </c>
      <c r="V2094" s="2" t="s">
        <v>289</v>
      </c>
      <c r="W2094" s="2" t="s">
        <v>292</v>
      </c>
      <c r="X2094" s="58"/>
      <c r="Y2094" s="2" t="s">
        <v>290</v>
      </c>
      <c r="Z2094" s="2" t="s">
        <v>355</v>
      </c>
      <c r="AA2094" s="2" t="s">
        <v>356</v>
      </c>
      <c r="AB2094" s="2" t="s">
        <v>318</v>
      </c>
      <c r="AC2094" s="2" t="s">
        <v>319</v>
      </c>
      <c r="AD2094" s="2" t="s">
        <v>317</v>
      </c>
      <c r="AE2094" s="58"/>
      <c r="AF2094" s="2" t="s">
        <v>294</v>
      </c>
      <c r="AG2094" s="2" t="s">
        <v>355</v>
      </c>
      <c r="AH2094" s="2" t="s">
        <v>356</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371</v>
      </c>
      <c r="M2095" s="94">
        <f>ROUND(SUM(AI210:AI1628)/1000,1)</f>
        <v>0</v>
      </c>
      <c r="N2095" s="27" t="s">
        <v>397</v>
      </c>
      <c r="O2095" s="12" t="s">
        <v>375</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430</v>
      </c>
      <c r="P2096" s="12"/>
      <c r="Q2096" s="12"/>
      <c r="R2096" s="12"/>
      <c r="S2096" s="12">
        <f>I2119</f>
        <v>0</v>
      </c>
      <c r="T2096" s="11"/>
      <c r="U2096" s="12" t="s">
        <v>434</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433</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372</v>
      </c>
      <c r="P2097" s="12"/>
      <c r="Q2097" s="12"/>
      <c r="R2097" s="12"/>
      <c r="S2097" s="12">
        <f>I2120</f>
        <v>0</v>
      </c>
      <c r="T2097" s="11"/>
      <c r="U2097" s="12" t="s">
        <v>435</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431</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438</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437</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398</v>
      </c>
      <c r="P2100" s="12"/>
      <c r="Q2100" s="12"/>
      <c r="R2100" s="12"/>
      <c r="S2100" s="28">
        <f>M2095*1000</f>
        <v>0</v>
      </c>
      <c r="T2100" s="11"/>
      <c r="U2100" s="12" t="s">
        <v>293</v>
      </c>
      <c r="V2100" s="28">
        <f t="shared" si="961"/>
        <v>0</v>
      </c>
      <c r="W2100" s="28">
        <f>VLOOKUP(U2100,Sheet1!$B$6:$C$45,2,FALSE)*V2100</f>
        <v>0</v>
      </c>
      <c r="X2100" s="59"/>
      <c r="Y2100" s="73" t="s">
        <v>440</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358</v>
      </c>
      <c r="P2116" s="100">
        <f>V2116+AA2116+AH2116</f>
        <v>0</v>
      </c>
      <c r="Q2116" s="77"/>
      <c r="R2116" s="77"/>
      <c r="S2116" s="76"/>
      <c r="T2116" s="78"/>
      <c r="U2116" s="79" t="s">
        <v>352</v>
      </c>
      <c r="V2116" s="78">
        <f>W2116*80</f>
        <v>0</v>
      </c>
      <c r="W2116" s="80">
        <f>SUM(W2095:W2115)</f>
        <v>0</v>
      </c>
      <c r="X2116" s="81"/>
      <c r="Y2116" s="78" t="s">
        <v>353</v>
      </c>
      <c r="Z2116" s="2"/>
      <c r="AA2116" s="2">
        <f>SUM(AA2095:AA2115)</f>
        <v>0</v>
      </c>
      <c r="AB2116" s="71"/>
      <c r="AC2116" s="71"/>
      <c r="AD2116" s="71"/>
      <c r="AE2116" s="71"/>
      <c r="AF2116" s="78" t="s">
        <v>357</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492</v>
      </c>
      <c r="D2117" s="261" t="str">
        <f>IF(B2117="Shopping List",IF(ISNUMBER(SEARCH("MSSB",C2117)),"MSSB",IF(ISNUMBER(SEARCH("local",C2117)),"LOCAL","")))</f>
        <v/>
      </c>
      <c r="I2117" s="272" t="s">
        <v>696</v>
      </c>
      <c r="J2117" s="261" t="s">
        <v>625</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492</v>
      </c>
      <c r="C2118" s="217"/>
      <c r="D2118" s="260" t="s">
        <v>678</v>
      </c>
      <c r="E2118" s="238"/>
      <c r="F2118" s="217"/>
      <c r="G2118" s="217"/>
      <c r="H2118" s="245"/>
      <c r="I2118" s="273" t="s">
        <v>696</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368</v>
      </c>
      <c r="N2118" s="83" t="str">
        <f>N2095</f>
        <v>kilometres of cabling required throughout this project</v>
      </c>
      <c r="O2118" s="185" t="s">
        <v>439</v>
      </c>
      <c r="P2118" s="202" t="e">
        <f>P2116/(M2095*1000)</f>
        <v>#DIV/0!</v>
      </c>
      <c r="Q2118" s="196"/>
      <c r="R2118" s="188"/>
      <c r="S2118" s="83"/>
      <c r="T2118" s="84"/>
      <c r="U2118" s="463"/>
      <c r="V2118" s="463"/>
      <c r="W2118" s="85"/>
      <c r="X2118" s="86"/>
      <c r="Y2118" s="461"/>
      <c r="Z2118" s="461"/>
      <c r="AA2118" s="87"/>
      <c r="AB2118" s="84"/>
      <c r="AC2118" s="84"/>
      <c r="AD2118" s="84"/>
      <c r="AE2118" s="84"/>
      <c r="AF2118" s="461" t="s">
        <v>366</v>
      </c>
      <c r="AG2118" s="461"/>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682</v>
      </c>
      <c r="C2119" s="266" t="s">
        <v>684</v>
      </c>
      <c r="D2119" s="260" t="s">
        <v>678</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682</v>
      </c>
      <c r="C2120" s="266" t="s">
        <v>683</v>
      </c>
      <c r="D2120" s="260" t="s">
        <v>678</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autoFilter>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474" priority="403">
      <formula>RIGHT(O213,2)="  "</formula>
    </cfRule>
    <cfRule type="expression" dxfId="473" priority="404">
      <formula>RIGHT(O213,1)=" "</formula>
    </cfRule>
  </conditionalFormatting>
  <conditionalFormatting sqref="O261:O280">
    <cfRule type="expression" dxfId="472" priority="401">
      <formula>RIGHT(O261,2)="  "</formula>
    </cfRule>
    <cfRule type="expression" dxfId="471" priority="402">
      <formula>RIGHT(O261,1)=" "</formula>
    </cfRule>
  </conditionalFormatting>
  <conditionalFormatting sqref="O309:O328">
    <cfRule type="expression" dxfId="470" priority="399">
      <formula>RIGHT(O309,2)="  "</formula>
    </cfRule>
    <cfRule type="expression" dxfId="469" priority="400">
      <formula>RIGHT(O309,1)=" "</formula>
    </cfRule>
  </conditionalFormatting>
  <conditionalFormatting sqref="O549:O568">
    <cfRule type="expression" dxfId="468" priority="397">
      <formula>RIGHT(O549,2)="  "</formula>
    </cfRule>
    <cfRule type="expression" dxfId="467" priority="398">
      <formula>RIGHT(O549,1)=" "</formula>
    </cfRule>
  </conditionalFormatting>
  <conditionalFormatting sqref="O765:O784">
    <cfRule type="expression" dxfId="466" priority="395">
      <formula>RIGHT(O765,2)="  "</formula>
    </cfRule>
    <cfRule type="expression" dxfId="465" priority="396">
      <formula>RIGHT(O765,1)=" "</formula>
    </cfRule>
  </conditionalFormatting>
  <conditionalFormatting sqref="O933:O952">
    <cfRule type="expression" dxfId="464" priority="393">
      <formula>RIGHT(O933,2)="  "</formula>
    </cfRule>
    <cfRule type="expression" dxfId="463" priority="394">
      <formula>RIGHT(O933,1)=" "</formula>
    </cfRule>
  </conditionalFormatting>
  <conditionalFormatting sqref="O958:O977">
    <cfRule type="expression" dxfId="462" priority="391">
      <formula>RIGHT(O958,2)="  "</formula>
    </cfRule>
    <cfRule type="expression" dxfId="461" priority="392">
      <formula>RIGHT(O958,1)=" "</formula>
    </cfRule>
  </conditionalFormatting>
  <conditionalFormatting sqref="O1078:O1080 O1082:O1097">
    <cfRule type="expression" dxfId="460" priority="389">
      <formula>RIGHT(O1078,2)="  "</formula>
    </cfRule>
    <cfRule type="expression" dxfId="459" priority="390">
      <formula>RIGHT(O1078,1)=" "</formula>
    </cfRule>
  </conditionalFormatting>
  <conditionalFormatting sqref="O1102:O1104 O1106:O1121">
    <cfRule type="expression" dxfId="458" priority="387">
      <formula>RIGHT(O1102,2)="  "</formula>
    </cfRule>
    <cfRule type="expression" dxfId="457" priority="388">
      <formula>RIGHT(O1102,1)=" "</formula>
    </cfRule>
  </conditionalFormatting>
  <conditionalFormatting sqref="O1150:O1169">
    <cfRule type="expression" dxfId="456" priority="385">
      <formula>RIGHT(O1150,2)="  "</formula>
    </cfRule>
    <cfRule type="expression" dxfId="455" priority="386">
      <formula>RIGHT(O1150,1)=" "</formula>
    </cfRule>
  </conditionalFormatting>
  <conditionalFormatting sqref="O1175:O1194">
    <cfRule type="expression" dxfId="454" priority="383">
      <formula>RIGHT(O1175,2)="  "</formula>
    </cfRule>
    <cfRule type="expression" dxfId="453" priority="384">
      <formula>RIGHT(O1175,1)=" "</formula>
    </cfRule>
  </conditionalFormatting>
  <conditionalFormatting sqref="O1223:O1242">
    <cfRule type="expression" dxfId="452" priority="381">
      <formula>RIGHT(O1223,2)="  "</formula>
    </cfRule>
    <cfRule type="expression" dxfId="451" priority="382">
      <formula>RIGHT(O1223,1)=" "</formula>
    </cfRule>
  </conditionalFormatting>
  <conditionalFormatting sqref="O1439:O1458">
    <cfRule type="expression" dxfId="450" priority="379">
      <formula>RIGHT(O1439,2)="  "</formula>
    </cfRule>
    <cfRule type="expression" dxfId="449" priority="380">
      <formula>RIGHT(O1439,1)=" "</formula>
    </cfRule>
  </conditionalFormatting>
  <conditionalFormatting sqref="O1511:O1530">
    <cfRule type="expression" dxfId="448" priority="377">
      <formula>RIGHT(O1511,2)="  "</formula>
    </cfRule>
    <cfRule type="expression" dxfId="447" priority="378">
      <formula>RIGHT(O1511,1)=" "</formula>
    </cfRule>
  </conditionalFormatting>
  <conditionalFormatting sqref="O1535:O1554">
    <cfRule type="expression" dxfId="446" priority="375">
      <formula>RIGHT(O1535,2)="  "</formula>
    </cfRule>
    <cfRule type="expression" dxfId="445" priority="376">
      <formula>RIGHT(O1535,1)=" "</formula>
    </cfRule>
  </conditionalFormatting>
  <conditionalFormatting sqref="O1609:O1628">
    <cfRule type="expression" dxfId="444" priority="373">
      <formula>RIGHT(O1609,2)="  "</formula>
    </cfRule>
    <cfRule type="expression" dxfId="443" priority="374">
      <formula>RIGHT(O1609,1)=" "</formula>
    </cfRule>
  </conditionalFormatting>
  <conditionalFormatting sqref="O1754:O1773">
    <cfRule type="expression" dxfId="442" priority="371">
      <formula>RIGHT(O1754,2)="  "</formula>
    </cfRule>
    <cfRule type="expression" dxfId="441" priority="372">
      <formula>RIGHT(O1754,1)=" "</formula>
    </cfRule>
  </conditionalFormatting>
  <conditionalFormatting sqref="O1803:O1822">
    <cfRule type="expression" dxfId="440" priority="369">
      <formula>RIGHT(O1803,2)="  "</formula>
    </cfRule>
    <cfRule type="expression" dxfId="439" priority="370">
      <formula>RIGHT(O1803,1)=" "</formula>
    </cfRule>
  </conditionalFormatting>
  <conditionalFormatting sqref="O1827:O1846">
    <cfRule type="expression" dxfId="438" priority="367">
      <formula>RIGHT(O1827,2)="  "</formula>
    </cfRule>
    <cfRule type="expression" dxfId="437" priority="368">
      <formula>RIGHT(O1827,1)=" "</formula>
    </cfRule>
  </conditionalFormatting>
  <conditionalFormatting sqref="O1851:O1870">
    <cfRule type="expression" dxfId="436" priority="365">
      <formula>RIGHT(O1851,2)="  "</formula>
    </cfRule>
    <cfRule type="expression" dxfId="435" priority="366">
      <formula>RIGHT(O1851,1)=" "</formula>
    </cfRule>
  </conditionalFormatting>
  <conditionalFormatting sqref="Q958:Q977">
    <cfRule type="expression" dxfId="434" priority="335">
      <formula>RIGHT(Q958,2)="  "</formula>
    </cfRule>
    <cfRule type="expression" dxfId="433" priority="336">
      <formula>RIGHT(Q958,1)=" "</formula>
    </cfRule>
  </conditionalFormatting>
  <conditionalFormatting sqref="O1875:O1894">
    <cfRule type="expression" dxfId="432" priority="363">
      <formula>RIGHT(O1875,2)="  "</formula>
    </cfRule>
    <cfRule type="expression" dxfId="431" priority="364">
      <formula>RIGHT(O1875,1)=" "</formula>
    </cfRule>
  </conditionalFormatting>
  <conditionalFormatting sqref="O140:O159">
    <cfRule type="expression" dxfId="430" priority="361">
      <formula>RIGHT(O140,2)="  "</formula>
    </cfRule>
    <cfRule type="expression" dxfId="429" priority="362">
      <formula>RIGHT(O140,1)=" "</formula>
    </cfRule>
  </conditionalFormatting>
  <conditionalFormatting sqref="O164:O183">
    <cfRule type="expression" dxfId="428" priority="359">
      <formula>RIGHT(O164,2)="  "</formula>
    </cfRule>
    <cfRule type="expression" dxfId="427" priority="360">
      <formula>RIGHT(O164,1)=" "</formula>
    </cfRule>
  </conditionalFormatting>
  <conditionalFormatting sqref="O188:O207">
    <cfRule type="expression" dxfId="426" priority="357">
      <formula>RIGHT(O188,2)="  "</formula>
    </cfRule>
    <cfRule type="expression" dxfId="425" priority="358">
      <formula>RIGHT(O188,1)=" "</formula>
    </cfRule>
  </conditionalFormatting>
  <conditionalFormatting sqref="O1925:O1944">
    <cfRule type="expression" dxfId="424" priority="355">
      <formula>RIGHT(O1925,2)="  "</formula>
    </cfRule>
    <cfRule type="expression" dxfId="423" priority="356">
      <formula>RIGHT(O1925,1)=" "</formula>
    </cfRule>
  </conditionalFormatting>
  <conditionalFormatting sqref="Q933:Q952">
    <cfRule type="expression" dxfId="422" priority="337">
      <formula>RIGHT(Q933,2)="  "</formula>
    </cfRule>
    <cfRule type="expression" dxfId="421" priority="338">
      <formula>RIGHT(Q933,1)=" "</formula>
    </cfRule>
  </conditionalFormatting>
  <conditionalFormatting sqref="O1973:O1992">
    <cfRule type="expression" dxfId="420" priority="351">
      <formula>RIGHT(O1973,2)="  "</formula>
    </cfRule>
    <cfRule type="expression" dxfId="419" priority="352">
      <formula>RIGHT(O1973,1)=" "</formula>
    </cfRule>
  </conditionalFormatting>
  <conditionalFormatting sqref="O1949:O1968">
    <cfRule type="expression" dxfId="418" priority="349">
      <formula>RIGHT(O1949,2)="  "</formula>
    </cfRule>
    <cfRule type="expression" dxfId="417" priority="350">
      <formula>RIGHT(O1949,1)=" "</formula>
    </cfRule>
  </conditionalFormatting>
  <conditionalFormatting sqref="O45:O63">
    <cfRule type="expression" dxfId="416" priority="333">
      <formula>RIGHT(O45,2)="  "</formula>
    </cfRule>
    <cfRule type="expression" dxfId="415" priority="334">
      <formula>RIGHT(O45,1)=" "</formula>
    </cfRule>
  </conditionalFormatting>
  <conditionalFormatting sqref="O20:O28 O30:O39">
    <cfRule type="expression" dxfId="414" priority="331">
      <formula>RIGHT(O20,2)="  "</formula>
    </cfRule>
    <cfRule type="expression" dxfId="413" priority="332">
      <formula>RIGHT(O20,1)=" "</formula>
    </cfRule>
  </conditionalFormatting>
  <conditionalFormatting sqref="Q213:Q232">
    <cfRule type="expression" dxfId="412" priority="347">
      <formula>RIGHT(Q213,2)="  "</formula>
    </cfRule>
    <cfRule type="expression" dxfId="411" priority="348">
      <formula>RIGHT(Q213,1)=" "</formula>
    </cfRule>
  </conditionalFormatting>
  <conditionalFormatting sqref="Q261:Q280">
    <cfRule type="expression" dxfId="410" priority="345">
      <formula>RIGHT(Q261,2)="  "</formula>
    </cfRule>
    <cfRule type="expression" dxfId="409" priority="346">
      <formula>RIGHT(Q261,1)=" "</formula>
    </cfRule>
  </conditionalFormatting>
  <conditionalFormatting sqref="Q309:Q328">
    <cfRule type="expression" dxfId="408" priority="343">
      <formula>RIGHT(Q309,2)="  "</formula>
    </cfRule>
    <cfRule type="expression" dxfId="407" priority="344">
      <formula>RIGHT(Q309,1)=" "</formula>
    </cfRule>
  </conditionalFormatting>
  <conditionalFormatting sqref="Q549:Q568">
    <cfRule type="expression" dxfId="406" priority="341">
      <formula>RIGHT(Q549,2)="  "</formula>
    </cfRule>
    <cfRule type="expression" dxfId="405" priority="342">
      <formula>RIGHT(Q549,1)=" "</formula>
    </cfRule>
  </conditionalFormatting>
  <conditionalFormatting sqref="Q765:Q784">
    <cfRule type="expression" dxfId="404" priority="339">
      <formula>RIGHT(Q765,2)="  "</formula>
    </cfRule>
    <cfRule type="expression" dxfId="403" priority="340">
      <formula>RIGHT(Q765,1)=" "</formula>
    </cfRule>
  </conditionalFormatting>
  <conditionalFormatting sqref="O117:O135">
    <cfRule type="expression" dxfId="402" priority="329">
      <formula>RIGHT(O117,2)="  "</formula>
    </cfRule>
    <cfRule type="expression" dxfId="401" priority="330">
      <formula>RIGHT(O117,1)=" "</formula>
    </cfRule>
  </conditionalFormatting>
  <conditionalFormatting sqref="O1682:O1701">
    <cfRule type="expression" dxfId="400" priority="327">
      <formula>RIGHT(O1682,2)="  "</formula>
    </cfRule>
    <cfRule type="expression" dxfId="399" priority="328">
      <formula>RIGHT(O1682,1)=" "</formula>
    </cfRule>
  </conditionalFormatting>
  <conditionalFormatting sqref="O29">
    <cfRule type="expression" dxfId="398" priority="325">
      <formula>RIGHT(O29,2)="  "</formula>
    </cfRule>
    <cfRule type="expression" dxfId="397" priority="326">
      <formula>RIGHT(O29,1)=" "</formula>
    </cfRule>
  </conditionalFormatting>
  <conditionalFormatting sqref="O44">
    <cfRule type="expression" dxfId="396" priority="323">
      <formula>RIGHT(O44,2)="  "</formula>
    </cfRule>
    <cfRule type="expression" dxfId="395" priority="324">
      <formula>RIGHT(O44,1)=" "</formula>
    </cfRule>
  </conditionalFormatting>
  <conditionalFormatting sqref="O116">
    <cfRule type="expression" dxfId="394" priority="321">
      <formula>RIGHT(O116,2)="  "</formula>
    </cfRule>
    <cfRule type="expression" dxfId="393" priority="322">
      <formula>RIGHT(O116,1)=" "</formula>
    </cfRule>
  </conditionalFormatting>
  <conditionalFormatting sqref="O621:O640">
    <cfRule type="expression" dxfId="392" priority="319">
      <formula>RIGHT(O621,2)="  "</formula>
    </cfRule>
    <cfRule type="expression" dxfId="391" priority="320">
      <formula>RIGHT(O621,1)=" "</formula>
    </cfRule>
  </conditionalFormatting>
  <conditionalFormatting sqref="Q621:Q640">
    <cfRule type="expression" dxfId="390" priority="317">
      <formula>RIGHT(Q621,2)="  "</formula>
    </cfRule>
    <cfRule type="expression" dxfId="389" priority="318">
      <formula>RIGHT(Q621,1)=" "</formula>
    </cfRule>
  </conditionalFormatting>
  <conditionalFormatting sqref="O525:O544">
    <cfRule type="expression" dxfId="388" priority="315">
      <formula>RIGHT(O525,2)="  "</formula>
    </cfRule>
    <cfRule type="expression" dxfId="387" priority="316">
      <formula>RIGHT(O525,1)=" "</formula>
    </cfRule>
  </conditionalFormatting>
  <conditionalFormatting sqref="Q525:Q544">
    <cfRule type="expression" dxfId="386" priority="313">
      <formula>RIGHT(Q525,2)="  "</formula>
    </cfRule>
    <cfRule type="expression" dxfId="385" priority="314">
      <formula>RIGHT(Q525,1)=" "</formula>
    </cfRule>
  </conditionalFormatting>
  <conditionalFormatting sqref="O837:O856">
    <cfRule type="expression" dxfId="384" priority="311">
      <formula>RIGHT(O837,2)="  "</formula>
    </cfRule>
    <cfRule type="expression" dxfId="383" priority="312">
      <formula>RIGHT(O837,1)=" "</formula>
    </cfRule>
  </conditionalFormatting>
  <conditionalFormatting sqref="Q837:Q856">
    <cfRule type="expression" dxfId="382" priority="309">
      <formula>RIGHT(Q837,2)="  "</formula>
    </cfRule>
    <cfRule type="expression" dxfId="381" priority="310">
      <formula>RIGHT(Q837,1)=" "</formula>
    </cfRule>
  </conditionalFormatting>
  <conditionalFormatting sqref="O1054:O1056 O1058:O1073">
    <cfRule type="expression" dxfId="380" priority="307">
      <formula>RIGHT(O1054,2)="  "</formula>
    </cfRule>
    <cfRule type="expression" dxfId="379" priority="308">
      <formula>RIGHT(O1054,1)=" "</formula>
    </cfRule>
  </conditionalFormatting>
  <conditionalFormatting sqref="O1030:O1049">
    <cfRule type="expression" dxfId="378" priority="305">
      <formula>RIGHT(O1030,2)="  "</formula>
    </cfRule>
    <cfRule type="expression" dxfId="377" priority="306">
      <formula>RIGHT(O1030,1)=" "</formula>
    </cfRule>
  </conditionalFormatting>
  <conditionalFormatting sqref="O982:O1001">
    <cfRule type="expression" dxfId="376" priority="303">
      <formula>RIGHT(O982,2)="  "</formula>
    </cfRule>
    <cfRule type="expression" dxfId="375" priority="304">
      <formula>RIGHT(O982,1)=" "</formula>
    </cfRule>
  </conditionalFormatting>
  <conditionalFormatting sqref="O1057">
    <cfRule type="expression" dxfId="374" priority="301">
      <formula>RIGHT(O1057,2)="  "</formula>
    </cfRule>
    <cfRule type="expression" dxfId="373" priority="302">
      <formula>RIGHT(O1057,1)=" "</formula>
    </cfRule>
  </conditionalFormatting>
  <conditionalFormatting sqref="O1081">
    <cfRule type="expression" dxfId="372" priority="299">
      <formula>RIGHT(O1081,2)="  "</formula>
    </cfRule>
    <cfRule type="expression" dxfId="371" priority="300">
      <formula>RIGHT(O1081,1)=" "</formula>
    </cfRule>
  </conditionalFormatting>
  <conditionalFormatting sqref="O1105">
    <cfRule type="expression" dxfId="370" priority="297">
      <formula>RIGHT(O1105,2)="  "</formula>
    </cfRule>
    <cfRule type="expression" dxfId="369" priority="298">
      <formula>RIGHT(O1105,1)=" "</formula>
    </cfRule>
  </conditionalFormatting>
  <conditionalFormatting sqref="O1706:O1725">
    <cfRule type="expression" dxfId="368" priority="295">
      <formula>RIGHT(O1706,2)="  "</formula>
    </cfRule>
    <cfRule type="expression" dxfId="367" priority="296">
      <formula>RIGHT(O1706,1)=" "</formula>
    </cfRule>
  </conditionalFormatting>
  <conditionalFormatting sqref="O1730:O1749">
    <cfRule type="expression" dxfId="366" priority="293">
      <formula>RIGHT(O1730,2)="  "</formula>
    </cfRule>
    <cfRule type="expression" dxfId="365" priority="294">
      <formula>RIGHT(O1730,1)=" "</formula>
    </cfRule>
  </conditionalFormatting>
  <conditionalFormatting sqref="O1634:O1653">
    <cfRule type="expression" dxfId="364" priority="291">
      <formula>RIGHT(O1634,2)="  "</formula>
    </cfRule>
    <cfRule type="expression" dxfId="363" priority="292">
      <formula>RIGHT(O1634,1)=" "</formula>
    </cfRule>
  </conditionalFormatting>
  <conditionalFormatting sqref="O1126:O1145">
    <cfRule type="expression" dxfId="362" priority="289">
      <formula>RIGHT(O1126,2)="  "</formula>
    </cfRule>
    <cfRule type="expression" dxfId="361" priority="290">
      <formula>RIGHT(O1126,1)=" "</formula>
    </cfRule>
  </conditionalFormatting>
  <conditionalFormatting sqref="O69:O87">
    <cfRule type="expression" dxfId="360" priority="287">
      <formula>RIGHT(O69,2)="  "</formula>
    </cfRule>
    <cfRule type="expression" dxfId="359" priority="288">
      <formula>RIGHT(O69,1)=" "</formula>
    </cfRule>
  </conditionalFormatting>
  <conditionalFormatting sqref="O68">
    <cfRule type="expression" dxfId="358" priority="285">
      <formula>RIGHT(O68,2)="  "</formula>
    </cfRule>
    <cfRule type="expression" dxfId="357" priority="286">
      <formula>RIGHT(O68,1)=" "</formula>
    </cfRule>
  </conditionalFormatting>
  <conditionalFormatting sqref="O1561 O1563:O1564 O1571:O1580 O1568">
    <cfRule type="expression" dxfId="356" priority="283">
      <formula>RIGHT(O1561,2)="  "</formula>
    </cfRule>
    <cfRule type="expression" dxfId="355" priority="284">
      <formula>RIGHT(O1561,1)=" "</formula>
    </cfRule>
  </conditionalFormatting>
  <conditionalFormatting sqref="O1415:O1434">
    <cfRule type="expression" dxfId="354" priority="281">
      <formula>RIGHT(O1415,2)="  "</formula>
    </cfRule>
    <cfRule type="expression" dxfId="353" priority="282">
      <formula>RIGHT(O1415,1)=" "</formula>
    </cfRule>
  </conditionalFormatting>
  <conditionalFormatting sqref="O1779:O1798">
    <cfRule type="expression" dxfId="352" priority="279">
      <formula>RIGHT(O1779,2)="  "</formula>
    </cfRule>
    <cfRule type="expression" dxfId="351" priority="280">
      <formula>RIGHT(O1779,1)=" "</formula>
    </cfRule>
  </conditionalFormatting>
  <conditionalFormatting sqref="O885:O904">
    <cfRule type="expression" dxfId="350" priority="277">
      <formula>RIGHT(O885,2)="  "</formula>
    </cfRule>
    <cfRule type="expression" dxfId="349" priority="278">
      <formula>RIGHT(O885,1)=" "</formula>
    </cfRule>
  </conditionalFormatting>
  <conditionalFormatting sqref="Q885:Q904">
    <cfRule type="expression" dxfId="348" priority="275">
      <formula>RIGHT(Q885,2)="  "</formula>
    </cfRule>
    <cfRule type="expression" dxfId="347" priority="276">
      <formula>RIGHT(Q885,1)=" "</formula>
    </cfRule>
  </conditionalFormatting>
  <conditionalFormatting sqref="O285:O304">
    <cfRule type="expression" dxfId="346" priority="273">
      <formula>RIGHT(O285,2)="  "</formula>
    </cfRule>
    <cfRule type="expression" dxfId="345" priority="274">
      <formula>RIGHT(O285,1)=" "</formula>
    </cfRule>
  </conditionalFormatting>
  <conditionalFormatting sqref="O909:O928">
    <cfRule type="expression" dxfId="344" priority="271">
      <formula>RIGHT(O909,2)="  "</formula>
    </cfRule>
    <cfRule type="expression" dxfId="343" priority="272">
      <formula>RIGHT(O909,1)=" "</formula>
    </cfRule>
  </conditionalFormatting>
  <conditionalFormatting sqref="Q909:Q928">
    <cfRule type="expression" dxfId="342" priority="269">
      <formula>RIGHT(Q909,2)="  "</formula>
    </cfRule>
    <cfRule type="expression" dxfId="341" priority="270">
      <formula>RIGHT(Q909,1)=" "</formula>
    </cfRule>
  </conditionalFormatting>
  <conditionalFormatting sqref="O861:O880">
    <cfRule type="expression" dxfId="340" priority="267">
      <formula>RIGHT(O861,2)="  "</formula>
    </cfRule>
    <cfRule type="expression" dxfId="339" priority="268">
      <formula>RIGHT(O861,1)=" "</formula>
    </cfRule>
  </conditionalFormatting>
  <conditionalFormatting sqref="Q861:Q880">
    <cfRule type="expression" dxfId="338" priority="265">
      <formula>RIGHT(Q861,2)="  "</formula>
    </cfRule>
    <cfRule type="expression" dxfId="337" priority="266">
      <formula>RIGHT(Q861,1)=" "</formula>
    </cfRule>
  </conditionalFormatting>
  <conditionalFormatting sqref="O1199:O1218">
    <cfRule type="expression" dxfId="336" priority="263">
      <formula>RIGHT(O1199,2)="  "</formula>
    </cfRule>
    <cfRule type="expression" dxfId="335" priority="264">
      <formula>RIGHT(O1199,1)=" "</formula>
    </cfRule>
  </conditionalFormatting>
  <conditionalFormatting sqref="O789:O808">
    <cfRule type="expression" dxfId="334" priority="261">
      <formula>RIGHT(O789,2)="  "</formula>
    </cfRule>
    <cfRule type="expression" dxfId="333" priority="262">
      <formula>RIGHT(O789,1)=" "</formula>
    </cfRule>
  </conditionalFormatting>
  <conditionalFormatting sqref="Q789:Q808">
    <cfRule type="expression" dxfId="332" priority="259">
      <formula>RIGHT(Q789,2)="  "</formula>
    </cfRule>
    <cfRule type="expression" dxfId="331" priority="260">
      <formula>RIGHT(Q789,1)=" "</formula>
    </cfRule>
  </conditionalFormatting>
  <conditionalFormatting sqref="O1006:O1025">
    <cfRule type="expression" dxfId="330" priority="257">
      <formula>RIGHT(O1006,2)="  "</formula>
    </cfRule>
    <cfRule type="expression" dxfId="329" priority="258">
      <formula>RIGHT(O1006,1)=" "</formula>
    </cfRule>
  </conditionalFormatting>
  <conditionalFormatting sqref="O1319:O1338">
    <cfRule type="expression" dxfId="328" priority="255">
      <formula>RIGHT(O1319,2)="  "</formula>
    </cfRule>
    <cfRule type="expression" dxfId="327" priority="256">
      <formula>RIGHT(O1319,1)=" "</formula>
    </cfRule>
  </conditionalFormatting>
  <conditionalFormatting sqref="O693:O712">
    <cfRule type="expression" dxfId="326" priority="253">
      <formula>RIGHT(O693,2)="  "</formula>
    </cfRule>
    <cfRule type="expression" dxfId="325" priority="254">
      <formula>RIGHT(O693,1)=" "</formula>
    </cfRule>
  </conditionalFormatting>
  <conditionalFormatting sqref="Q693:Q712">
    <cfRule type="expression" dxfId="324" priority="251">
      <formula>RIGHT(Q693,2)="  "</formula>
    </cfRule>
    <cfRule type="expression" dxfId="323" priority="252">
      <formula>RIGHT(Q693,1)=" "</formula>
    </cfRule>
  </conditionalFormatting>
  <conditionalFormatting sqref="O429:O448">
    <cfRule type="expression" dxfId="322" priority="249">
      <formula>RIGHT(O429,2)="  "</formula>
    </cfRule>
    <cfRule type="expression" dxfId="321" priority="250">
      <formula>RIGHT(O429,1)=" "</formula>
    </cfRule>
  </conditionalFormatting>
  <conditionalFormatting sqref="Q429:Q448">
    <cfRule type="expression" dxfId="320" priority="247">
      <formula>RIGHT(Q429,2)="  "</formula>
    </cfRule>
    <cfRule type="expression" dxfId="319" priority="248">
      <formula>RIGHT(Q429,1)=" "</formula>
    </cfRule>
  </conditionalFormatting>
  <conditionalFormatting sqref="O1271:O1290">
    <cfRule type="expression" dxfId="318" priority="245">
      <formula>RIGHT(O1271,2)="  "</formula>
    </cfRule>
    <cfRule type="expression" dxfId="317" priority="246">
      <formula>RIGHT(O1271,1)=" "</formula>
    </cfRule>
  </conditionalFormatting>
  <conditionalFormatting sqref="Q1271">
    <cfRule type="expression" dxfId="316" priority="243">
      <formula>RIGHT(Q1271,2)="  "</formula>
    </cfRule>
    <cfRule type="expression" dxfId="315" priority="244">
      <formula>RIGHT(Q1271,1)=" "</formula>
    </cfRule>
  </conditionalFormatting>
  <conditionalFormatting sqref="Q1272">
    <cfRule type="expression" dxfId="314" priority="241">
      <formula>RIGHT(Q1272,2)="  "</formula>
    </cfRule>
    <cfRule type="expression" dxfId="313" priority="242">
      <formula>RIGHT(Q1272,1)=" "</formula>
    </cfRule>
  </conditionalFormatting>
  <conditionalFormatting sqref="Q1273">
    <cfRule type="expression" dxfId="312" priority="239">
      <formula>RIGHT(Q1273,2)="  "</formula>
    </cfRule>
    <cfRule type="expression" dxfId="311" priority="240">
      <formula>RIGHT(Q1273,1)=" "</formula>
    </cfRule>
  </conditionalFormatting>
  <conditionalFormatting sqref="O453:O456 O460:O472">
    <cfRule type="expression" dxfId="310" priority="237">
      <formula>RIGHT(O453,2)="  "</formula>
    </cfRule>
    <cfRule type="expression" dxfId="309" priority="238">
      <formula>RIGHT(O453,1)=" "</formula>
    </cfRule>
  </conditionalFormatting>
  <conditionalFormatting sqref="O457:O459">
    <cfRule type="expression" dxfId="308" priority="227">
      <formula>RIGHT(O457,2)="  "</formula>
    </cfRule>
    <cfRule type="expression" dxfId="307" priority="228">
      <formula>RIGHT(O457,1)=" "</formula>
    </cfRule>
  </conditionalFormatting>
  <conditionalFormatting sqref="Q453">
    <cfRule type="expression" dxfId="306" priority="233">
      <formula>RIGHT(Q453,2)="  "</formula>
    </cfRule>
    <cfRule type="expression" dxfId="305" priority="234">
      <formula>RIGHT(Q453,1)=" "</formula>
    </cfRule>
  </conditionalFormatting>
  <conditionalFormatting sqref="Q455">
    <cfRule type="expression" dxfId="304" priority="229">
      <formula>RIGHT(Q455,2)="  "</formula>
    </cfRule>
    <cfRule type="expression" dxfId="303" priority="230">
      <formula>RIGHT(Q455,1)=" "</formula>
    </cfRule>
  </conditionalFormatting>
  <conditionalFormatting sqref="Q719">
    <cfRule type="expression" dxfId="302" priority="217">
      <formula>RIGHT(Q719,2)="  "</formula>
    </cfRule>
    <cfRule type="expression" dxfId="301" priority="218">
      <formula>RIGHT(Q719,1)=" "</formula>
    </cfRule>
  </conditionalFormatting>
  <conditionalFormatting sqref="O719:O721">
    <cfRule type="expression" dxfId="300" priority="215">
      <formula>RIGHT(O719,2)="  "</formula>
    </cfRule>
    <cfRule type="expression" dxfId="299" priority="216">
      <formula>RIGHT(O719,1)=" "</formula>
    </cfRule>
  </conditionalFormatting>
  <conditionalFormatting sqref="O717:O718 O722:O736">
    <cfRule type="expression" dxfId="298" priority="225">
      <formula>RIGHT(O717,2)="  "</formula>
    </cfRule>
    <cfRule type="expression" dxfId="297" priority="226">
      <formula>RIGHT(O717,1)=" "</formula>
    </cfRule>
  </conditionalFormatting>
  <conditionalFormatting sqref="Q1249">
    <cfRule type="expression" dxfId="296" priority="207">
      <formula>RIGHT(Q1249,2)="  "</formula>
    </cfRule>
    <cfRule type="expression" dxfId="295" priority="208">
      <formula>RIGHT(Q1249,1)=" "</formula>
    </cfRule>
  </conditionalFormatting>
  <conditionalFormatting sqref="Q717">
    <cfRule type="expression" dxfId="294" priority="221">
      <formula>RIGHT(Q717,2)="  "</formula>
    </cfRule>
    <cfRule type="expression" dxfId="293" priority="222">
      <formula>RIGHT(Q717,1)=" "</formula>
    </cfRule>
  </conditionalFormatting>
  <conditionalFormatting sqref="Q1247">
    <cfRule type="expression" dxfId="292" priority="211">
      <formula>RIGHT(Q1247,2)="  "</formula>
    </cfRule>
    <cfRule type="expression" dxfId="291" priority="212">
      <formula>RIGHT(Q1247,1)=" "</formula>
    </cfRule>
  </conditionalFormatting>
  <conditionalFormatting sqref="Q1248">
    <cfRule type="expression" dxfId="290" priority="209">
      <formula>RIGHT(Q1248,2)="  "</formula>
    </cfRule>
    <cfRule type="expression" dxfId="289" priority="210">
      <formula>RIGHT(Q1248,1)=" "</formula>
    </cfRule>
  </conditionalFormatting>
  <conditionalFormatting sqref="Q1590">
    <cfRule type="expression" dxfId="288" priority="175">
      <formula>RIGHT(Q1590,2)="  "</formula>
    </cfRule>
    <cfRule type="expression" dxfId="287" priority="176">
      <formula>RIGHT(Q1590,1)=" "</formula>
    </cfRule>
  </conditionalFormatting>
  <conditionalFormatting sqref="O1247:O1266">
    <cfRule type="expression" dxfId="286" priority="213">
      <formula>RIGHT(O1247,2)="  "</formula>
    </cfRule>
    <cfRule type="expression" dxfId="285" priority="214">
      <formula>RIGHT(O1247,1)=" "</formula>
    </cfRule>
  </conditionalFormatting>
  <conditionalFormatting sqref="O1586">
    <cfRule type="expression" dxfId="284" priority="179">
      <formula>RIGHT(O1586,2)="  "</formula>
    </cfRule>
    <cfRule type="expression" dxfId="283" priority="180">
      <formula>RIGHT(O1586,1)=" "</formula>
    </cfRule>
  </conditionalFormatting>
  <conditionalFormatting sqref="Q2022:Q2028 Q2030:Q2041">
    <cfRule type="expression" dxfId="282" priority="171">
      <formula>RIGHT(Q2022,2)="  "</formula>
    </cfRule>
    <cfRule type="expression" dxfId="281" priority="172">
      <formula>RIGHT(Q2022,1)=" "</formula>
    </cfRule>
  </conditionalFormatting>
  <conditionalFormatting sqref="O1585 O1591:O1604 O1587">
    <cfRule type="expression" dxfId="280" priority="205">
      <formula>RIGHT(O1585,2)="  "</formula>
    </cfRule>
    <cfRule type="expression" dxfId="279" priority="206">
      <formula>RIGHT(O1585,1)=" "</formula>
    </cfRule>
  </conditionalFormatting>
  <conditionalFormatting sqref="Q1585">
    <cfRule type="expression" dxfId="278" priority="203">
      <formula>RIGHT(Q1585,2)="  "</formula>
    </cfRule>
    <cfRule type="expression" dxfId="277" priority="204">
      <formula>RIGHT(Q1585,1)=" "</formula>
    </cfRule>
  </conditionalFormatting>
  <conditionalFormatting sqref="Q1586">
    <cfRule type="expression" dxfId="276" priority="201">
      <formula>RIGHT(Q1586,2)="  "</formula>
    </cfRule>
    <cfRule type="expression" dxfId="275" priority="202">
      <formula>RIGHT(Q1586,1)=" "</formula>
    </cfRule>
  </conditionalFormatting>
  <conditionalFormatting sqref="Q1587">
    <cfRule type="expression" dxfId="274" priority="199">
      <formula>RIGHT(Q1587,2)="  "</formula>
    </cfRule>
    <cfRule type="expression" dxfId="273" priority="200">
      <formula>RIGHT(Q1587,1)=" "</formula>
    </cfRule>
  </conditionalFormatting>
  <conditionalFormatting sqref="O1588:O1590">
    <cfRule type="expression" dxfId="272" priority="197">
      <formula>RIGHT(O1588,2)="  "</formula>
    </cfRule>
    <cfRule type="expression" dxfId="271" priority="198">
      <formula>RIGHT(O1588,1)=" "</formula>
    </cfRule>
  </conditionalFormatting>
  <conditionalFormatting sqref="O1562">
    <cfRule type="expression" dxfId="270" priority="195">
      <formula>RIGHT(O1562,2)="  "</formula>
    </cfRule>
    <cfRule type="expression" dxfId="269" priority="196">
      <formula>RIGHT(O1562,1)=" "</formula>
    </cfRule>
  </conditionalFormatting>
  <conditionalFormatting sqref="O1570">
    <cfRule type="expression" dxfId="268" priority="193">
      <formula>RIGHT(O1570,2)="  "</formula>
    </cfRule>
    <cfRule type="expression" dxfId="267" priority="194">
      <formula>RIGHT(O1570,1)=" "</formula>
    </cfRule>
  </conditionalFormatting>
  <conditionalFormatting sqref="O1569">
    <cfRule type="expression" dxfId="266" priority="191">
      <formula>RIGHT(O1569,2)="  "</formula>
    </cfRule>
    <cfRule type="expression" dxfId="265" priority="192">
      <formula>RIGHT(O1569,1)=" "</formula>
    </cfRule>
  </conditionalFormatting>
  <conditionalFormatting sqref="Q1561">
    <cfRule type="expression" dxfId="264" priority="189">
      <formula>RIGHT(Q1561,2)="  "</formula>
    </cfRule>
    <cfRule type="expression" dxfId="263" priority="190">
      <formula>RIGHT(Q1561,1)=" "</formula>
    </cfRule>
  </conditionalFormatting>
  <conditionalFormatting sqref="Q1562">
    <cfRule type="expression" dxfId="262" priority="187">
      <formula>RIGHT(Q1562,2)="  "</formula>
    </cfRule>
    <cfRule type="expression" dxfId="261" priority="188">
      <formula>RIGHT(Q1562,1)=" "</formula>
    </cfRule>
  </conditionalFormatting>
  <conditionalFormatting sqref="Q1563">
    <cfRule type="expression" dxfId="260" priority="185">
      <formula>RIGHT(Q1563,2)="  "</formula>
    </cfRule>
    <cfRule type="expression" dxfId="259" priority="186">
      <formula>RIGHT(Q1563,1)=" "</formula>
    </cfRule>
  </conditionalFormatting>
  <conditionalFormatting sqref="O1565:O1567">
    <cfRule type="expression" dxfId="258" priority="183">
      <formula>RIGHT(O1565,2)="  "</formula>
    </cfRule>
    <cfRule type="expression" dxfId="257" priority="184">
      <formula>RIGHT(O1565,1)=" "</formula>
    </cfRule>
  </conditionalFormatting>
  <conditionalFormatting sqref="O2022:O2023 O2025:O2038">
    <cfRule type="expression" dxfId="256" priority="173">
      <formula>RIGHT(O2022,2)="  "</formula>
    </cfRule>
    <cfRule type="expression" dxfId="255" priority="174">
      <formula>RIGHT(O2022,1)=" "</formula>
    </cfRule>
  </conditionalFormatting>
  <conditionalFormatting sqref="Q2029">
    <cfRule type="expression" dxfId="254" priority="167">
      <formula>RIGHT(Q2029,2)="  "</formula>
    </cfRule>
    <cfRule type="expression" dxfId="253" priority="168">
      <formula>RIGHT(Q2029,1)=" "</formula>
    </cfRule>
  </conditionalFormatting>
  <conditionalFormatting sqref="O2016:O2017 O2000">
    <cfRule type="expression" dxfId="252" priority="165">
      <formula>RIGHT(O2000,2)="  "</formula>
    </cfRule>
    <cfRule type="expression" dxfId="251" priority="166">
      <formula>RIGHT(O2000,1)=" "</formula>
    </cfRule>
  </conditionalFormatting>
  <conditionalFormatting sqref="Q1998:Q2004 Q2006:Q2017">
    <cfRule type="expression" dxfId="250" priority="161">
      <formula>RIGHT(Q1998,2)="  "</formula>
    </cfRule>
    <cfRule type="expression" dxfId="249" priority="162">
      <formula>RIGHT(Q1998,1)=" "</formula>
    </cfRule>
  </conditionalFormatting>
  <conditionalFormatting sqref="O1998:O1999 O2001:O2014">
    <cfRule type="expression" dxfId="248" priority="163">
      <formula>RIGHT(O1998,2)="  "</formula>
    </cfRule>
    <cfRule type="expression" dxfId="247" priority="164">
      <formula>RIGHT(O1998,1)=" "</formula>
    </cfRule>
  </conditionalFormatting>
  <conditionalFormatting sqref="Q2005">
    <cfRule type="expression" dxfId="246" priority="159">
      <formula>RIGHT(Q2005,2)="  "</formula>
    </cfRule>
    <cfRule type="expression" dxfId="245" priority="160">
      <formula>RIGHT(Q2005,1)=" "</formula>
    </cfRule>
  </conditionalFormatting>
  <conditionalFormatting sqref="O237:O256">
    <cfRule type="expression" dxfId="244" priority="157">
      <formula>RIGHT(O237,2)="  "</formula>
    </cfRule>
    <cfRule type="expression" dxfId="243" priority="158">
      <formula>RIGHT(O237,1)=" "</formula>
    </cfRule>
  </conditionalFormatting>
  <conditionalFormatting sqref="Q237:Q256">
    <cfRule type="expression" dxfId="242" priority="155">
      <formula>RIGHT(Q237,2)="  "</formula>
    </cfRule>
    <cfRule type="expression" dxfId="241" priority="156">
      <formula>RIGHT(Q237,1)=" "</formula>
    </cfRule>
  </conditionalFormatting>
  <conditionalFormatting sqref="O1658:O1677">
    <cfRule type="expression" dxfId="240" priority="153">
      <formula>RIGHT(O1658,2)="  "</formula>
    </cfRule>
    <cfRule type="expression" dxfId="239" priority="154">
      <formula>RIGHT(O1658,1)=" "</formula>
    </cfRule>
  </conditionalFormatting>
  <conditionalFormatting sqref="O1295:O1314">
    <cfRule type="expression" dxfId="238" priority="151">
      <formula>RIGHT(O1295,2)="  "</formula>
    </cfRule>
    <cfRule type="expression" dxfId="237" priority="152">
      <formula>RIGHT(O1295,1)=" "</formula>
    </cfRule>
  </conditionalFormatting>
  <conditionalFormatting sqref="O1487:O1506">
    <cfRule type="expression" dxfId="236" priority="147">
      <formula>RIGHT(O1487,2)="  "</formula>
    </cfRule>
    <cfRule type="expression" dxfId="235" priority="148">
      <formula>RIGHT(O1487,1)=" "</formula>
    </cfRule>
  </conditionalFormatting>
  <conditionalFormatting sqref="O1463:O1482">
    <cfRule type="expression" dxfId="234" priority="145">
      <formula>RIGHT(O1463,2)="  "</formula>
    </cfRule>
    <cfRule type="expression" dxfId="233" priority="146">
      <formula>RIGHT(O1463,1)=" "</formula>
    </cfRule>
  </conditionalFormatting>
  <conditionalFormatting sqref="O597:O616">
    <cfRule type="expression" dxfId="232" priority="143">
      <formula>RIGHT(O597,2)="  "</formula>
    </cfRule>
    <cfRule type="expression" dxfId="231" priority="144">
      <formula>RIGHT(O597,1)=" "</formula>
    </cfRule>
  </conditionalFormatting>
  <conditionalFormatting sqref="Q597:Q616">
    <cfRule type="expression" dxfId="230" priority="141">
      <formula>RIGHT(Q597,2)="  "</formula>
    </cfRule>
    <cfRule type="expression" dxfId="229" priority="142">
      <formula>RIGHT(Q597,1)=" "</formula>
    </cfRule>
  </conditionalFormatting>
  <conditionalFormatting sqref="O501:O520">
    <cfRule type="expression" dxfId="228" priority="139">
      <formula>RIGHT(O501,2)="  "</formula>
    </cfRule>
    <cfRule type="expression" dxfId="227" priority="140">
      <formula>RIGHT(O501,1)=" "</formula>
    </cfRule>
  </conditionalFormatting>
  <conditionalFormatting sqref="Q501:Q520">
    <cfRule type="expression" dxfId="226" priority="137">
      <formula>RIGHT(Q501,2)="  "</formula>
    </cfRule>
    <cfRule type="expression" dxfId="225" priority="138">
      <formula>RIGHT(Q501,1)=" "</formula>
    </cfRule>
  </conditionalFormatting>
  <conditionalFormatting sqref="O741:O760">
    <cfRule type="expression" dxfId="224" priority="135">
      <formula>RIGHT(O741,2)="  "</formula>
    </cfRule>
    <cfRule type="expression" dxfId="223" priority="136">
      <formula>RIGHT(O741,1)=" "</formula>
    </cfRule>
  </conditionalFormatting>
  <conditionalFormatting sqref="Q741:Q760">
    <cfRule type="expression" dxfId="222" priority="133">
      <formula>RIGHT(Q741,2)="  "</formula>
    </cfRule>
    <cfRule type="expression" dxfId="221" priority="134">
      <formula>RIGHT(Q741,1)=" "</formula>
    </cfRule>
  </conditionalFormatting>
  <conditionalFormatting sqref="O669:O688">
    <cfRule type="expression" dxfId="220" priority="130">
      <formula>RIGHT(O669,2)="  "</formula>
    </cfRule>
    <cfRule type="expression" dxfId="219" priority="131">
      <formula>RIGHT(O669,1)=" "</formula>
    </cfRule>
  </conditionalFormatting>
  <conditionalFormatting sqref="Q669:Q688">
    <cfRule type="expression" dxfId="218" priority="128">
      <formula>RIGHT(Q669,2)="  "</formula>
    </cfRule>
    <cfRule type="expression" dxfId="217" priority="129">
      <formula>RIGHT(Q669,1)=" "</formula>
    </cfRule>
  </conditionalFormatting>
  <conditionalFormatting sqref="O333:O352">
    <cfRule type="expression" dxfId="216" priority="125">
      <formula>RIGHT(O333,2)="  "</formula>
    </cfRule>
    <cfRule type="expression" dxfId="215" priority="126">
      <formula>RIGHT(O333,1)=" "</formula>
    </cfRule>
  </conditionalFormatting>
  <conditionalFormatting sqref="Q333:Q352">
    <cfRule type="expression" dxfId="214" priority="123">
      <formula>RIGHT(Q333,2)="  "</formula>
    </cfRule>
    <cfRule type="expression" dxfId="213" priority="124">
      <formula>RIGHT(Q333,1)=" "</formula>
    </cfRule>
  </conditionalFormatting>
  <conditionalFormatting sqref="O357:O376">
    <cfRule type="expression" dxfId="212" priority="120">
      <formula>RIGHT(O357,2)="  "</formula>
    </cfRule>
    <cfRule type="expression" dxfId="211" priority="121">
      <formula>RIGHT(O357,1)=" "</formula>
    </cfRule>
  </conditionalFormatting>
  <conditionalFormatting sqref="Q357:Q376">
    <cfRule type="expression" dxfId="210" priority="118">
      <formula>RIGHT(Q357,2)="  "</formula>
    </cfRule>
    <cfRule type="expression" dxfId="209" priority="119">
      <formula>RIGHT(Q357,1)=" "</formula>
    </cfRule>
  </conditionalFormatting>
  <conditionalFormatting sqref="O405:O424">
    <cfRule type="expression" dxfId="208" priority="115">
      <formula>RIGHT(O405,2)="  "</formula>
    </cfRule>
    <cfRule type="expression" dxfId="207" priority="116">
      <formula>RIGHT(O405,1)=" "</formula>
    </cfRule>
  </conditionalFormatting>
  <conditionalFormatting sqref="Q405:Q424">
    <cfRule type="expression" dxfId="206" priority="113">
      <formula>RIGHT(Q405,2)="  "</formula>
    </cfRule>
    <cfRule type="expression" dxfId="205" priority="114">
      <formula>RIGHT(Q405,1)=" "</formula>
    </cfRule>
  </conditionalFormatting>
  <conditionalFormatting sqref="O2070:O2089">
    <cfRule type="expression" dxfId="204" priority="110">
      <formula>RIGHT(O2070,2)="  "</formula>
    </cfRule>
    <cfRule type="expression" dxfId="203"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02" priority="108">
      <formula>IF(ROW() = ROW(), TRUE, FALSE)</formula>
    </cfRule>
  </conditionalFormatting>
  <conditionalFormatting sqref="O813:O832">
    <cfRule type="expression" dxfId="201" priority="106">
      <formula>RIGHT(O813,2)="  "</formula>
    </cfRule>
    <cfRule type="expression" dxfId="200" priority="107">
      <formula>RIGHT(O813,1)=" "</formula>
    </cfRule>
  </conditionalFormatting>
  <conditionalFormatting sqref="Q813:Q832">
    <cfRule type="expression" dxfId="199" priority="104">
      <formula>RIGHT(Q813,2)="  "</formula>
    </cfRule>
    <cfRule type="expression" dxfId="198" priority="105">
      <formula>RIGHT(Q813,1)=" "</formula>
    </cfRule>
  </conditionalFormatting>
  <conditionalFormatting sqref="D499:D570 D595:D642 D2068:D1048576 D667:D1898 D1923:D2043 D1:D8 D13:D474 D10:D11">
    <cfRule type="cellIs" dxfId="197" priority="101" operator="equal">
      <formula>"EITHER"</formula>
    </cfRule>
    <cfRule type="cellIs" dxfId="196" priority="102" operator="equal">
      <formula>"MSSB"</formula>
    </cfRule>
    <cfRule type="cellIs" dxfId="195" priority="103" operator="equal">
      <formula>"LOCAL"</formula>
    </cfRule>
  </conditionalFormatting>
  <conditionalFormatting sqref="D8 D10:D11">
    <cfRule type="cellIs" dxfId="194" priority="75" operator="notEqual">
      <formula>0</formula>
    </cfRule>
  </conditionalFormatting>
  <conditionalFormatting sqref="D475:D498">
    <cfRule type="cellIs" dxfId="193" priority="67" operator="equal">
      <formula>"EITHER"</formula>
    </cfRule>
    <cfRule type="cellIs" dxfId="192" priority="68" operator="equal">
      <formula>"MSSB"</formula>
    </cfRule>
    <cfRule type="cellIs" dxfId="191" priority="69" operator="equal">
      <formula>"LOCAL"</formula>
    </cfRule>
  </conditionalFormatting>
  <conditionalFormatting sqref="D571:D594">
    <cfRule type="cellIs" dxfId="190" priority="56" operator="equal">
      <formula>"EITHER"</formula>
    </cfRule>
    <cfRule type="cellIs" dxfId="189" priority="57" operator="equal">
      <formula>"MSSB"</formula>
    </cfRule>
    <cfRule type="cellIs" dxfId="188" priority="58" operator="equal">
      <formula>"LOCAL"</formula>
    </cfRule>
  </conditionalFormatting>
  <conditionalFormatting sqref="D2044:D2067">
    <cfRule type="cellIs" dxfId="187" priority="49" operator="equal">
      <formula>"EITHER"</formula>
    </cfRule>
    <cfRule type="cellIs" dxfId="186" priority="50" operator="equal">
      <formula>"MSSB"</formula>
    </cfRule>
    <cfRule type="cellIs" dxfId="185" priority="51" operator="equal">
      <formula>"LOCAL"</formula>
    </cfRule>
  </conditionalFormatting>
  <conditionalFormatting sqref="D643:D666">
    <cfRule type="cellIs" dxfId="184" priority="40" operator="equal">
      <formula>"EITHER"</formula>
    </cfRule>
    <cfRule type="cellIs" dxfId="183" priority="41" operator="equal">
      <formula>"MSSB"</formula>
    </cfRule>
    <cfRule type="cellIs" dxfId="182" priority="42" operator="equal">
      <formula>"LOCAL"</formula>
    </cfRule>
  </conditionalFormatting>
  <conditionalFormatting sqref="O1901:O1920">
    <cfRule type="expression" dxfId="181" priority="37">
      <formula>RIGHT(O1901,2)="  "</formula>
    </cfRule>
    <cfRule type="expression" dxfId="180" priority="38">
      <formula>RIGHT(O1901,1)=" "</formula>
    </cfRule>
  </conditionalFormatting>
  <conditionalFormatting sqref="A1899:H1922 J1899:AO1922 AU1899:XFD1922">
    <cfRule type="expression" dxfId="179" priority="36">
      <formula>IF(ROW() = ROW(), TRUE, FALSE)</formula>
    </cfRule>
  </conditionalFormatting>
  <conditionalFormatting sqref="D1899:D1922">
    <cfRule type="cellIs" dxfId="178" priority="33" operator="equal">
      <formula>"EITHER"</formula>
    </cfRule>
    <cfRule type="cellIs" dxfId="177" priority="34" operator="equal">
      <formula>"MSSB"</formula>
    </cfRule>
    <cfRule type="cellIs" dxfId="176" priority="35" operator="equal">
      <formula>"LOCAL"</formula>
    </cfRule>
  </conditionalFormatting>
  <conditionalFormatting sqref="AP19:AU19 AU20:AU24 AP20:AT2117">
    <cfRule type="expression" dxfId="175" priority="30">
      <formula>IF(ROW() = ROW(), TRUE, FALSE)</formula>
    </cfRule>
  </conditionalFormatting>
  <conditionalFormatting sqref="AP16:AV16 AP15:AS15 AU15:AV15">
    <cfRule type="expression" dxfId="174" priority="29">
      <formula>IF(ROW() = ROW(), TRUE, FALSE)</formula>
    </cfRule>
  </conditionalFormatting>
  <conditionalFormatting sqref="D9">
    <cfRule type="expression" dxfId="173" priority="18">
      <formula>IF(ROW() = ROW(), TRUE, FALSE)</formula>
    </cfRule>
  </conditionalFormatting>
  <conditionalFormatting sqref="D9">
    <cfRule type="cellIs" dxfId="172" priority="15" operator="equal">
      <formula>"EITHER"</formula>
    </cfRule>
    <cfRule type="cellIs" dxfId="171" priority="16" operator="equal">
      <formula>"MSSB"</formula>
    </cfRule>
    <cfRule type="cellIs" dxfId="170" priority="17" operator="equal">
      <formula>"LOCAL"</formula>
    </cfRule>
  </conditionalFormatting>
  <conditionalFormatting sqref="D9">
    <cfRule type="cellIs" dxfId="169" priority="14" operator="notEqual">
      <formula>0</formula>
    </cfRule>
  </conditionalFormatting>
  <conditionalFormatting sqref="AT15">
    <cfRule type="expression" dxfId="168" priority="12">
      <formula>IF(ROW() = ROW(), TRUE, FALSE)</formula>
    </cfRule>
  </conditionalFormatting>
  <conditionalFormatting sqref="I11">
    <cfRule type="expression" dxfId="167" priority="11">
      <formula>IF(ROW() = ROW(), TRUE, FALSE)</formula>
    </cfRule>
  </conditionalFormatting>
  <conditionalFormatting sqref="I11">
    <cfRule type="cellIs" dxfId="166" priority="8" operator="equal">
      <formula>"EITHER"</formula>
    </cfRule>
    <cfRule type="cellIs" dxfId="165" priority="9" operator="equal">
      <formula>"MSSB"</formula>
    </cfRule>
    <cfRule type="cellIs" dxfId="164" priority="10" operator="equal">
      <formula>"LOCAL"</formula>
    </cfRule>
  </conditionalFormatting>
  <conditionalFormatting sqref="I499:I570 I595:I642 I1:I7 I667:I1898 I1923:I2043 I11:I474 I2068:I1048576">
    <cfRule type="cellIs" dxfId="163" priority="7" operator="notEqual">
      <formula>0</formula>
    </cfRule>
  </conditionalFormatting>
  <conditionalFormatting sqref="I475:I498">
    <cfRule type="cellIs" dxfId="162" priority="6" operator="notEqual">
      <formula>0</formula>
    </cfRule>
  </conditionalFormatting>
  <conditionalFormatting sqref="I571:I594">
    <cfRule type="cellIs" dxfId="161" priority="5" operator="notEqual">
      <formula>0</formula>
    </cfRule>
  </conditionalFormatting>
  <conditionalFormatting sqref="I2044:I2067">
    <cfRule type="cellIs" dxfId="160" priority="4" operator="notEqual">
      <formula>0</formula>
    </cfRule>
  </conditionalFormatting>
  <conditionalFormatting sqref="I643:I666">
    <cfRule type="cellIs" dxfId="159" priority="3" operator="notEqual">
      <formula>0</formula>
    </cfRule>
  </conditionalFormatting>
  <conditionalFormatting sqref="I1899:I1922">
    <cfRule type="cellIs" dxfId="158" priority="2" operator="notEqual">
      <formula>0</formula>
    </cfRule>
  </conditionalFormatting>
  <conditionalFormatting sqref="AP1:AQ1">
    <cfRule type="expression" dxfId="157"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ht="24.9"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ht="24.9"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ht="24.9"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594</v>
      </c>
      <c r="D8" s="66" t="s">
        <v>427</v>
      </c>
    </row>
    <row r="9" spans="3:4" x14ac:dyDescent="0.4">
      <c r="C9" s="121"/>
      <c r="D9" s="66"/>
    </row>
    <row r="10" spans="3:4" x14ac:dyDescent="0.4">
      <c r="C10" s="121" t="s">
        <v>594</v>
      </c>
      <c r="D10" s="66" t="s">
        <v>414</v>
      </c>
    </row>
    <row r="11" spans="3:4" x14ac:dyDescent="0.4">
      <c r="C11" s="121" t="s">
        <v>594</v>
      </c>
      <c r="D11" s="121" t="s">
        <v>595</v>
      </c>
    </row>
    <row r="12" spans="3:4" x14ac:dyDescent="0.4">
      <c r="C12" s="121"/>
      <c r="D12" s="121"/>
    </row>
    <row r="13" spans="3:4" x14ac:dyDescent="0.4">
      <c r="C13" s="121" t="s">
        <v>594</v>
      </c>
      <c r="D13" s="121" t="s">
        <v>604</v>
      </c>
    </row>
    <row r="14" spans="3:4" x14ac:dyDescent="0.4">
      <c r="C14" s="121" t="s">
        <v>594</v>
      </c>
      <c r="D14" s="121" t="s">
        <v>603</v>
      </c>
    </row>
    <row r="15" spans="3:4" x14ac:dyDescent="0.4">
      <c r="C15" s="121" t="s">
        <v>448</v>
      </c>
      <c r="D15" s="121" t="s">
        <v>602</v>
      </c>
    </row>
    <row r="16" spans="3:4" x14ac:dyDescent="0.4">
      <c r="C16" s="121"/>
      <c r="D16" s="121"/>
    </row>
    <row r="17" spans="3:9" x14ac:dyDescent="0.4">
      <c r="C17" s="121"/>
      <c r="D17" s="121"/>
    </row>
    <row r="18" spans="3:9" x14ac:dyDescent="0.4">
      <c r="C18" s="121"/>
      <c r="D18" s="121"/>
    </row>
    <row r="19" spans="3:9" x14ac:dyDescent="0.4">
      <c r="C19" s="121" t="s">
        <v>594</v>
      </c>
      <c r="D19" s="121" t="s">
        <v>600</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596</v>
      </c>
    </row>
    <row r="26" spans="3:9" x14ac:dyDescent="0.4">
      <c r="C26" s="121"/>
      <c r="D26" s="121"/>
      <c r="I26" s="66" t="s">
        <v>597</v>
      </c>
    </row>
    <row r="27" spans="3:9" x14ac:dyDescent="0.4">
      <c r="C27" s="121"/>
      <c r="D27" s="121"/>
      <c r="I27" s="66" t="s">
        <v>598</v>
      </c>
    </row>
  </sheetData>
  <conditionalFormatting sqref="D8">
    <cfRule type="expression" dxfId="156" priority="7">
      <formula>RIGHT(D8,2)="  "</formula>
    </cfRule>
    <cfRule type="expression" dxfId="155" priority="8">
      <formula>RIGHT(D8,1)=" "</formula>
    </cfRule>
  </conditionalFormatting>
  <conditionalFormatting sqref="D9">
    <cfRule type="expression" dxfId="154" priority="5">
      <formula>RIGHT(D9,2)="  "</formula>
    </cfRule>
    <cfRule type="expression" dxfId="153" priority="6">
      <formula>RIGHT(D9,1)=" "</formula>
    </cfRule>
  </conditionalFormatting>
  <conditionalFormatting sqref="D10">
    <cfRule type="expression" dxfId="152" priority="3">
      <formula>RIGHT(D10,2)="  "</formula>
    </cfRule>
    <cfRule type="expression" dxfId="151" priority="4">
      <formula>RIGHT(D10,1)=" "</formula>
    </cfRule>
  </conditionalFormatting>
  <conditionalFormatting sqref="I25:I27">
    <cfRule type="expression" dxfId="150" priority="1">
      <formula>RIGHT(I25,2)="  "</formula>
    </cfRule>
    <cfRule type="expression" dxfId="149"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71"/>
  <sheetViews>
    <sheetView topLeftCell="A22" zoomScale="85" zoomScaleNormal="85" workbookViewId="0">
      <selection activeCell="D39" sqref="D39"/>
    </sheetView>
  </sheetViews>
  <sheetFormatPr defaultColWidth="9.3046875" defaultRowHeight="14.6" x14ac:dyDescent="0.4"/>
  <cols>
    <col min="1" max="1" width="9.3046875" style="114"/>
    <col min="2" max="2" width="37.69140625" style="33" bestFit="1" customWidth="1"/>
    <col min="3" max="4" width="12.84375" style="114" bestFit="1" customWidth="1"/>
    <col min="5" max="5" width="15.84375" style="114" bestFit="1" customWidth="1"/>
    <col min="6" max="6" width="12.53515625" style="114" bestFit="1" customWidth="1"/>
    <col min="7" max="7" width="15.84375" style="114" bestFit="1" customWidth="1"/>
    <col min="8" max="8" width="9.3046875" style="114"/>
    <col min="9" max="9" width="26.3046875" style="114" customWidth="1"/>
    <col min="10" max="10" width="9.69140625" style="330" customWidth="1"/>
    <col min="11" max="11" width="7.3046875" style="114" customWidth="1"/>
    <col min="12" max="12" width="18.3046875" style="114" customWidth="1"/>
    <col min="13" max="13" width="12.69140625" style="114" customWidth="1"/>
    <col min="14" max="14" width="13.3046875" style="114" customWidth="1"/>
    <col min="15" max="15" width="11" style="114" customWidth="1"/>
    <col min="16" max="21" width="9.3046875" style="114" customWidth="1"/>
    <col min="22" max="24" width="9.3046875" style="114"/>
    <col min="25" max="25" width="58.4609375" style="114" customWidth="1"/>
    <col min="26" max="16384" width="9.3046875" style="114"/>
  </cols>
  <sheetData>
    <row r="1" spans="1:17" ht="20.149999999999999" x14ac:dyDescent="0.5">
      <c r="A1" s="342">
        <f>ROUNDUP(C1/6,0)</f>
        <v>0</v>
      </c>
      <c r="B1" s="341" t="s">
        <v>804</v>
      </c>
      <c r="C1" s="306">
        <v>0</v>
      </c>
      <c r="H1" s="310" t="s">
        <v>856</v>
      </c>
      <c r="I1" s="114" t="str">
        <f>_xlfn.CONCAT(VLOOKUP(C1,[1]Sheet2!D:E,2,TRUE)," (",C1,")",IF(C1=1,L12,M12))</f>
        <v>Zero (0) CO Detectors</v>
      </c>
      <c r="J1" s="330" t="s">
        <v>872</v>
      </c>
      <c r="L1" s="307" t="s">
        <v>889</v>
      </c>
      <c r="M1" s="307"/>
      <c r="N1" s="307"/>
      <c r="O1" s="307"/>
    </row>
    <row r="2" spans="1:17" ht="20.149999999999999" x14ac:dyDescent="0.5">
      <c r="A2" s="343" t="s">
        <v>894</v>
      </c>
      <c r="B2" s="341" t="s">
        <v>871</v>
      </c>
      <c r="C2" s="306">
        <v>0</v>
      </c>
      <c r="E2" s="310" t="s">
        <v>718</v>
      </c>
      <c r="F2" s="339" t="s">
        <v>717</v>
      </c>
      <c r="G2" s="339" t="s">
        <v>903</v>
      </c>
      <c r="J2" s="330" t="s">
        <v>872</v>
      </c>
      <c r="L2" s="328" t="s">
        <v>0</v>
      </c>
      <c r="M2" s="328"/>
      <c r="N2" s="328" t="s">
        <v>354</v>
      </c>
      <c r="O2" s="328"/>
    </row>
    <row r="3" spans="1:17" ht="20.6" thickBot="1" x14ac:dyDescent="0.55000000000000004">
      <c r="A3" s="344" t="s">
        <v>895</v>
      </c>
      <c r="B3" s="341" t="s">
        <v>918</v>
      </c>
      <c r="C3" s="306">
        <v>0</v>
      </c>
      <c r="E3" s="348">
        <f>SUM(E7:E12)-E8</f>
        <v>0</v>
      </c>
      <c r="F3" s="349">
        <f>SUM(F7:F12)</f>
        <v>0</v>
      </c>
      <c r="G3" s="348">
        <f>SUM(G7:G12)</f>
        <v>0</v>
      </c>
      <c r="J3" s="330" t="s">
        <v>872</v>
      </c>
      <c r="L3" s="328"/>
      <c r="M3" s="328"/>
      <c r="N3" s="328" t="s">
        <v>806</v>
      </c>
      <c r="O3" s="328">
        <v>80</v>
      </c>
    </row>
    <row r="4" spans="1:17" ht="20.149999999999999" x14ac:dyDescent="0.5">
      <c r="B4" s="341" t="s">
        <v>1250</v>
      </c>
      <c r="C4" s="306">
        <v>0</v>
      </c>
      <c r="J4" s="330" t="s">
        <v>872</v>
      </c>
      <c r="L4" s="328" t="str">
        <f>N4</f>
        <v>Gas (0ppm)</v>
      </c>
      <c r="M4" s="328">
        <v>1</v>
      </c>
      <c r="N4" s="328" t="s">
        <v>854</v>
      </c>
      <c r="O4" s="328">
        <f>'[1]MJS Controls'!D20</f>
        <v>55</v>
      </c>
    </row>
    <row r="5" spans="1:17" x14ac:dyDescent="0.4">
      <c r="J5" s="330" t="s">
        <v>872</v>
      </c>
      <c r="L5" s="328" t="str">
        <f>N5</f>
        <v>Gas (50ppm)</v>
      </c>
      <c r="M5" s="328">
        <v>1</v>
      </c>
      <c r="N5" s="328" t="s">
        <v>855</v>
      </c>
      <c r="O5" s="328">
        <f>'[1]MJS Controls'!D21</f>
        <v>55</v>
      </c>
    </row>
    <row r="6" spans="1:17" ht="20.149999999999999" x14ac:dyDescent="0.5">
      <c r="D6" s="310" t="s">
        <v>852</v>
      </c>
      <c r="E6" s="310" t="s">
        <v>718</v>
      </c>
      <c r="F6" s="339" t="s">
        <v>717</v>
      </c>
      <c r="G6" s="339" t="s">
        <v>903</v>
      </c>
      <c r="I6" s="350" t="s">
        <v>913</v>
      </c>
      <c r="J6" s="330" t="s">
        <v>872</v>
      </c>
      <c r="L6" s="328" t="s">
        <v>717</v>
      </c>
      <c r="M6" s="328">
        <v>1</v>
      </c>
      <c r="N6" s="328" t="s">
        <v>717</v>
      </c>
      <c r="O6" s="328">
        <f>'[1]MJS Controls'!D19</f>
        <v>110</v>
      </c>
    </row>
    <row r="7" spans="1:17" ht="20.149999999999999" x14ac:dyDescent="0.5">
      <c r="B7" s="310" t="s">
        <v>899</v>
      </c>
      <c r="C7" s="305" t="s">
        <v>895</v>
      </c>
      <c r="D7" s="286">
        <f>IF(C7="Yes", 1, 0)</f>
        <v>0</v>
      </c>
      <c r="E7" s="291">
        <f>E15+E34</f>
        <v>0</v>
      </c>
      <c r="F7" s="340">
        <f>C26+C45</f>
        <v>0</v>
      </c>
      <c r="G7" s="291">
        <f>E15+E26+E34+E45</f>
        <v>0</v>
      </c>
      <c r="I7" s="351">
        <f>F3-F8-C27</f>
        <v>0</v>
      </c>
      <c r="J7" s="330" t="s">
        <v>872</v>
      </c>
      <c r="L7" s="328" t="s">
        <v>857</v>
      </c>
      <c r="M7" s="328">
        <v>2</v>
      </c>
      <c r="N7" s="328" t="s">
        <v>860</v>
      </c>
      <c r="O7" s="328">
        <v>72.5</v>
      </c>
    </row>
    <row r="8" spans="1:17" ht="20.149999999999999" x14ac:dyDescent="0.5">
      <c r="B8" s="310" t="s">
        <v>919</v>
      </c>
      <c r="C8" s="305" t="s">
        <v>895</v>
      </c>
      <c r="D8" s="286">
        <f>IF(C8="Yes", C3, 0)</f>
        <v>0</v>
      </c>
      <c r="E8" s="291">
        <f>IF(D8=0,0,E59+E55+E51+E50)</f>
        <v>0</v>
      </c>
      <c r="F8" s="340">
        <f>IF(D8=0,0,D64)</f>
        <v>0</v>
      </c>
      <c r="G8" s="291">
        <f>IF(D8=0,0,E64+E8)</f>
        <v>0</v>
      </c>
      <c r="J8" s="330" t="s">
        <v>872</v>
      </c>
      <c r="L8" s="328" t="s">
        <v>810</v>
      </c>
      <c r="M8" s="328">
        <v>2</v>
      </c>
      <c r="N8" s="328" t="s">
        <v>810</v>
      </c>
      <c r="O8" s="328">
        <f>'[1]MJS Controls'!D18</f>
        <v>110</v>
      </c>
    </row>
    <row r="9" spans="1:17" ht="20.149999999999999" x14ac:dyDescent="0.5">
      <c r="B9" s="310" t="s">
        <v>901</v>
      </c>
      <c r="C9" s="305" t="s">
        <v>895</v>
      </c>
      <c r="D9" s="286">
        <f>IF(C9="Yes", 1, 0)</f>
        <v>0</v>
      </c>
      <c r="E9" s="291">
        <f>O39*D9</f>
        <v>0</v>
      </c>
      <c r="F9" s="340"/>
      <c r="G9" s="291">
        <f>E9</f>
        <v>0</v>
      </c>
      <c r="I9" s="350" t="s">
        <v>916</v>
      </c>
      <c r="J9" s="330" t="s">
        <v>872</v>
      </c>
    </row>
    <row r="10" spans="1:17" ht="20.149999999999999" x14ac:dyDescent="0.5">
      <c r="B10" s="310" t="s">
        <v>897</v>
      </c>
      <c r="C10" s="305" t="s">
        <v>895</v>
      </c>
      <c r="D10" s="286">
        <f t="shared" ref="D10:D12" si="0">IF(C10="Yes", 1, 0)</f>
        <v>0</v>
      </c>
      <c r="E10" s="291">
        <f>O44*D10</f>
        <v>0</v>
      </c>
      <c r="F10" s="340"/>
      <c r="G10" s="291">
        <f t="shared" ref="G10:G11" si="1">E10</f>
        <v>0</v>
      </c>
      <c r="I10" s="352">
        <f>E64</f>
        <v>0</v>
      </c>
      <c r="J10" s="330" t="s">
        <v>872</v>
      </c>
    </row>
    <row r="11" spans="1:17" ht="20.149999999999999" x14ac:dyDescent="0.5">
      <c r="B11" s="310" t="s">
        <v>893</v>
      </c>
      <c r="C11" s="305" t="s">
        <v>895</v>
      </c>
      <c r="D11" s="286">
        <f t="shared" si="0"/>
        <v>0</v>
      </c>
      <c r="E11" s="291">
        <f>O34*D11</f>
        <v>0</v>
      </c>
      <c r="F11" s="340"/>
      <c r="G11" s="291">
        <f t="shared" si="1"/>
        <v>0</v>
      </c>
      <c r="I11" s="350" t="s">
        <v>917</v>
      </c>
      <c r="J11" s="330" t="s">
        <v>872</v>
      </c>
      <c r="L11" s="328" t="s">
        <v>807</v>
      </c>
    </row>
    <row r="12" spans="1:17" ht="20.149999999999999" x14ac:dyDescent="0.5">
      <c r="B12" s="310" t="s">
        <v>898</v>
      </c>
      <c r="C12" s="305" t="s">
        <v>895</v>
      </c>
      <c r="D12" s="286">
        <f t="shared" si="0"/>
        <v>0</v>
      </c>
      <c r="E12" s="291">
        <f>IF(D12=0,0,E67)</f>
        <v>0</v>
      </c>
      <c r="F12" s="340">
        <f>IF(D12=0,0,C71)</f>
        <v>0</v>
      </c>
      <c r="G12" s="291">
        <f>IF(D12=0,0,E71+E12)</f>
        <v>0</v>
      </c>
      <c r="I12" s="352">
        <f>E8</f>
        <v>0</v>
      </c>
      <c r="J12" s="330" t="s">
        <v>872</v>
      </c>
      <c r="L12" s="328" t="s">
        <v>861</v>
      </c>
      <c r="M12" s="329" t="s">
        <v>862</v>
      </c>
    </row>
    <row r="13" spans="1:17" x14ac:dyDescent="0.4">
      <c r="J13" s="330" t="s">
        <v>872</v>
      </c>
      <c r="L13" s="328" t="s">
        <v>808</v>
      </c>
    </row>
    <row r="14" spans="1:17" ht="20.149999999999999" x14ac:dyDescent="0.5">
      <c r="B14" s="310" t="s">
        <v>900</v>
      </c>
      <c r="J14" s="330" t="s">
        <v>872</v>
      </c>
    </row>
    <row r="15" spans="1:17" x14ac:dyDescent="0.4">
      <c r="B15" s="309" t="s">
        <v>718</v>
      </c>
      <c r="C15" s="309" t="s">
        <v>904</v>
      </c>
      <c r="D15" s="309" t="s">
        <v>905</v>
      </c>
      <c r="E15" s="308">
        <f>SUM(E16:E23)</f>
        <v>0</v>
      </c>
      <c r="I15" s="474"/>
      <c r="J15" s="330" t="s">
        <v>872</v>
      </c>
      <c r="L15" s="307" t="s">
        <v>890</v>
      </c>
      <c r="M15" s="307"/>
      <c r="N15" s="307"/>
      <c r="O15" s="307"/>
      <c r="P15" s="307" t="s">
        <v>891</v>
      </c>
      <c r="Q15" s="307" t="s">
        <v>892</v>
      </c>
    </row>
    <row r="16" spans="1:17" x14ac:dyDescent="0.4">
      <c r="B16" s="338" t="str">
        <f>IF($C$1&gt;5, M16,M17)</f>
        <v>ECB-350</v>
      </c>
      <c r="C16" s="338">
        <f>IF($C$7="Yes",IF($C$1&gt;5,N16,N17),0)</f>
        <v>0</v>
      </c>
      <c r="D16" s="338">
        <f>IF($C$1&gt;5, O16,O17)</f>
        <v>725</v>
      </c>
      <c r="E16" s="338">
        <f>D16*C16</f>
        <v>0</v>
      </c>
      <c r="H16" s="474"/>
      <c r="J16" s="330" t="s">
        <v>872</v>
      </c>
      <c r="L16" s="114" t="s">
        <v>779</v>
      </c>
      <c r="M16" s="114" t="s">
        <v>902</v>
      </c>
      <c r="N16" s="114">
        <f>IF($C$2&gt;0,1,0)</f>
        <v>0</v>
      </c>
      <c r="O16" s="114">
        <v>1280</v>
      </c>
      <c r="P16" s="114">
        <f>N16*O16</f>
        <v>0</v>
      </c>
      <c r="Q16" s="114">
        <f>IF(P16=0,O16*N16,0)</f>
        <v>0</v>
      </c>
    </row>
    <row r="17" spans="2:26" x14ac:dyDescent="0.4">
      <c r="B17" s="338" t="str">
        <f t="shared" ref="B17:B22" si="2">M18</f>
        <v>TF-100-240/24</v>
      </c>
      <c r="C17" s="338">
        <f t="shared" ref="C17:C22" si="3">IF($C$7="Yes",N18,0)</f>
        <v>0</v>
      </c>
      <c r="D17" s="338">
        <f t="shared" ref="D17:D22" si="4">O18</f>
        <v>60</v>
      </c>
      <c r="E17" s="338">
        <f t="shared" ref="E17:E31" si="5">D17*C17</f>
        <v>0</v>
      </c>
      <c r="J17" s="330" t="s">
        <v>872</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2"/>
        <v>12VDC Relay</v>
      </c>
      <c r="C18" s="338">
        <f t="shared" si="3"/>
        <v>0</v>
      </c>
      <c r="D18" s="338">
        <f t="shared" si="4"/>
        <v>40</v>
      </c>
      <c r="E18" s="338">
        <f t="shared" si="5"/>
        <v>0</v>
      </c>
      <c r="J18" s="330" t="s">
        <v>872</v>
      </c>
      <c r="L18" s="114" t="str">
        <f>'MJS Controls'!Q5</f>
        <v>Dore</v>
      </c>
      <c r="M18" s="114" t="str">
        <f>'MJS Controls'!R5</f>
        <v>TF-100-240/24</v>
      </c>
      <c r="N18" s="114">
        <f>IF($C$2&gt;0,1,0)*2</f>
        <v>0</v>
      </c>
      <c r="O18" s="114">
        <f>'MJS Controls'!T5</f>
        <v>60</v>
      </c>
      <c r="P18" s="114">
        <f t="shared" ref="P18:P32" si="6">N18*O18</f>
        <v>0</v>
      </c>
      <c r="Q18" s="114">
        <f t="shared" ref="Q18:Q32" si="7">IF(P18=0,O18*N18,0)</f>
        <v>0</v>
      </c>
    </row>
    <row r="19" spans="2:26" x14ac:dyDescent="0.4">
      <c r="B19" s="338" t="str">
        <f t="shared" si="2"/>
        <v>24VAC 2 Pole Relay</v>
      </c>
      <c r="C19" s="338">
        <f t="shared" si="3"/>
        <v>0</v>
      </c>
      <c r="D19" s="338">
        <f t="shared" si="4"/>
        <v>40</v>
      </c>
      <c r="E19" s="338">
        <f t="shared" si="5"/>
        <v>0</v>
      </c>
      <c r="J19" s="330" t="s">
        <v>872</v>
      </c>
      <c r="L19" s="114" t="str">
        <f>'MJS Controls'!Q8</f>
        <v>Dore</v>
      </c>
      <c r="M19" s="114" t="str">
        <f>'MJS Controls'!R8</f>
        <v>12VDC Relay</v>
      </c>
      <c r="N19" s="114">
        <f>$C$2*3</f>
        <v>0</v>
      </c>
      <c r="O19" s="114">
        <f>'MJS Controls'!T8</f>
        <v>40</v>
      </c>
      <c r="P19" s="114">
        <f t="shared" si="6"/>
        <v>0</v>
      </c>
      <c r="Q19" s="114">
        <f t="shared" si="7"/>
        <v>0</v>
      </c>
      <c r="Y19" s="117"/>
    </row>
    <row r="20" spans="2:26" x14ac:dyDescent="0.4">
      <c r="B20" s="338" t="str">
        <f t="shared" si="2"/>
        <v>CO detector</v>
      </c>
      <c r="C20" s="338">
        <f t="shared" si="3"/>
        <v>0</v>
      </c>
      <c r="D20" s="338">
        <f t="shared" si="4"/>
        <v>360</v>
      </c>
      <c r="E20" s="338">
        <f t="shared" si="5"/>
        <v>0</v>
      </c>
      <c r="J20" s="330" t="s">
        <v>872</v>
      </c>
      <c r="L20" s="114" t="str">
        <f>'MJS Controls'!Q9</f>
        <v>Dore</v>
      </c>
      <c r="M20" s="114" t="str">
        <f>'MJS Controls'!R9</f>
        <v>24VAC 2 Pole Relay</v>
      </c>
      <c r="N20" s="114">
        <f>$C$2*2</f>
        <v>0</v>
      </c>
      <c r="O20" s="114">
        <f>'MJS Controls'!T9</f>
        <v>40</v>
      </c>
      <c r="P20" s="114">
        <f t="shared" si="6"/>
        <v>0</v>
      </c>
      <c r="Q20" s="114">
        <f t="shared" si="7"/>
        <v>0</v>
      </c>
    </row>
    <row r="21" spans="2:26" x14ac:dyDescent="0.4">
      <c r="B21" s="338" t="str">
        <f t="shared" si="2"/>
        <v>Current Switch</v>
      </c>
      <c r="C21" s="338">
        <f t="shared" si="3"/>
        <v>0</v>
      </c>
      <c r="D21" s="338">
        <f t="shared" si="4"/>
        <v>35</v>
      </c>
      <c r="E21" s="338">
        <f t="shared" si="5"/>
        <v>0</v>
      </c>
      <c r="J21" s="330" t="s">
        <v>872</v>
      </c>
      <c r="L21" s="114" t="str">
        <f>'MJS Controls'!Q12</f>
        <v xml:space="preserve">GasTech </v>
      </c>
      <c r="M21" s="114" t="str">
        <f>'MJS Controls'!R12</f>
        <v>CO detector</v>
      </c>
      <c r="N21" s="114">
        <f>$C$1</f>
        <v>0</v>
      </c>
      <c r="O21" s="114">
        <f>'MJS Controls'!T12</f>
        <v>360</v>
      </c>
      <c r="P21" s="114">
        <f t="shared" si="6"/>
        <v>0</v>
      </c>
      <c r="Q21" s="114">
        <f t="shared" si="7"/>
        <v>0</v>
      </c>
    </row>
    <row r="22" spans="2:26" x14ac:dyDescent="0.4">
      <c r="B22" s="338" t="str">
        <f t="shared" si="2"/>
        <v>Enclosure 800 x 600</v>
      </c>
      <c r="C22" s="338">
        <f t="shared" si="3"/>
        <v>0</v>
      </c>
      <c r="D22" s="338">
        <f t="shared" si="4"/>
        <v>500</v>
      </c>
      <c r="E22" s="338">
        <f t="shared" si="5"/>
        <v>0</v>
      </c>
      <c r="J22" s="330" t="s">
        <v>872</v>
      </c>
      <c r="L22" s="114" t="str">
        <f>'MJS Controls'!Q14</f>
        <v>Controlstore</v>
      </c>
      <c r="M22" s="114" t="str">
        <f>'MJS Controls'!R14</f>
        <v>Current Switch</v>
      </c>
      <c r="N22" s="114">
        <f>$C$2</f>
        <v>0</v>
      </c>
      <c r="O22" s="114">
        <f>'MJS Controls'!T14</f>
        <v>35</v>
      </c>
      <c r="P22" s="114">
        <f t="shared" si="6"/>
        <v>0</v>
      </c>
      <c r="Q22" s="114">
        <f t="shared" si="7"/>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N25" si="8">IF($C$2&gt;0,1,0)</f>
        <v>0</v>
      </c>
      <c r="O23" s="114">
        <f>'MJS Controls'!T16</f>
        <v>500</v>
      </c>
      <c r="P23" s="114">
        <f t="shared" si="6"/>
        <v>0</v>
      </c>
      <c r="Q23" s="114">
        <f t="shared" si="7"/>
        <v>0</v>
      </c>
    </row>
    <row r="24" spans="2:26" x14ac:dyDescent="0.4">
      <c r="B24" s="338"/>
      <c r="C24" s="338"/>
      <c r="D24" s="338"/>
      <c r="E24" s="338"/>
      <c r="J24" s="330" t="s">
        <v>872</v>
      </c>
    </row>
    <row r="25" spans="2:26" x14ac:dyDescent="0.4">
      <c r="B25" s="338"/>
      <c r="C25" s="338"/>
      <c r="D25" s="338"/>
      <c r="E25" s="338"/>
      <c r="J25" s="330" t="s">
        <v>872</v>
      </c>
      <c r="L25" s="114" t="str">
        <f>'MJS Controls'!Q17</f>
        <v>Dore</v>
      </c>
      <c r="M25" s="114" t="str">
        <f>'MJS Controls'!R17</f>
        <v>Rotating Light with Buzzer 24VAC</v>
      </c>
      <c r="N25" s="114">
        <f t="shared" si="8"/>
        <v>0</v>
      </c>
      <c r="O25" s="114">
        <f>'MJS Controls'!T17</f>
        <v>155</v>
      </c>
      <c r="P25" s="114">
        <f t="shared" si="6"/>
        <v>0</v>
      </c>
      <c r="Q25" s="114">
        <f t="shared" si="7"/>
        <v>0</v>
      </c>
    </row>
    <row r="26" spans="2:26" x14ac:dyDescent="0.4">
      <c r="B26" s="309" t="s">
        <v>717</v>
      </c>
      <c r="C26" s="345">
        <f t="shared" ref="C26:D26" si="9">SUM(C27:C31)</f>
        <v>0</v>
      </c>
      <c r="D26" s="308">
        <f t="shared" si="9"/>
        <v>450</v>
      </c>
      <c r="E26" s="308">
        <f>SUM(E27:E31)</f>
        <v>0</v>
      </c>
      <c r="L26" s="114" t="str">
        <f>'MJS Controls'!Q19</f>
        <v>Labour Eng</v>
      </c>
      <c r="M26" s="114" t="str">
        <f>'MJS Controls'!R19</f>
        <v>program</v>
      </c>
      <c r="N26" s="114">
        <f>$C$2</f>
        <v>0</v>
      </c>
      <c r="O26" s="114">
        <f>'MJS Controls'!T19</f>
        <v>110</v>
      </c>
      <c r="Q26" s="114">
        <f t="shared" si="7"/>
        <v>0</v>
      </c>
    </row>
    <row r="27" spans="2:26" x14ac:dyDescent="0.4">
      <c r="B27" s="338" t="s">
        <v>906</v>
      </c>
      <c r="C27" s="338">
        <f>IF($C$7="Yes",N26,0)</f>
        <v>0</v>
      </c>
      <c r="D27" s="338">
        <f>O26</f>
        <v>110</v>
      </c>
      <c r="E27" s="338">
        <f t="shared" si="5"/>
        <v>0</v>
      </c>
      <c r="L27" s="114" t="str">
        <f>'MJS Controls'!Q20</f>
        <v>Labour Site Comm</v>
      </c>
      <c r="M27" s="114" t="str">
        <f>'MJS Controls'!R20</f>
        <v>comm</v>
      </c>
      <c r="N27" s="114">
        <f>$C$2</f>
        <v>0</v>
      </c>
      <c r="O27" s="114">
        <f>'MJS Controls'!T20</f>
        <v>85</v>
      </c>
      <c r="Q27" s="114">
        <f t="shared" si="7"/>
        <v>0</v>
      </c>
    </row>
    <row r="28" spans="2:26" x14ac:dyDescent="0.4">
      <c r="B28" s="338" t="s">
        <v>907</v>
      </c>
      <c r="C28" s="338">
        <f>IF($C$7="Yes",N27,0)</f>
        <v>0</v>
      </c>
      <c r="D28" s="338">
        <f>O27</f>
        <v>85</v>
      </c>
      <c r="E28" s="338">
        <f t="shared" si="5"/>
        <v>0</v>
      </c>
      <c r="L28" s="114" t="str">
        <f>'MJS Controls'!Q21</f>
        <v>Labour Site Install</v>
      </c>
      <c r="M28" s="114" t="str">
        <f>'MJS Controls'!R21</f>
        <v>install</v>
      </c>
      <c r="N28" s="114">
        <f>$C$2*2</f>
        <v>0</v>
      </c>
      <c r="O28" s="114">
        <f>'MJS Controls'!T21</f>
        <v>85</v>
      </c>
      <c r="Q28" s="114">
        <f t="shared" si="7"/>
        <v>0</v>
      </c>
    </row>
    <row r="29" spans="2:26" x14ac:dyDescent="0.4">
      <c r="B29" s="338" t="s">
        <v>908</v>
      </c>
      <c r="C29" s="338">
        <f>IF($C$7="Yes",N28,0)</f>
        <v>0</v>
      </c>
      <c r="D29" s="338">
        <f>O28</f>
        <v>85</v>
      </c>
      <c r="E29" s="338">
        <f t="shared" si="5"/>
        <v>0</v>
      </c>
      <c r="L29" s="114" t="str">
        <f>'MJS Controls'!Q22</f>
        <v>Labour Site Install CO Sensor</v>
      </c>
      <c r="M29" s="114" t="str">
        <f>'MJS Controls'!R22</f>
        <v>Install (2 hours Ea)</v>
      </c>
      <c r="N29" s="114">
        <f>$C$1*2</f>
        <v>0</v>
      </c>
      <c r="O29" s="114">
        <f>'MJS Controls'!T22</f>
        <v>85</v>
      </c>
      <c r="Q29" s="114">
        <f t="shared" si="7"/>
        <v>0</v>
      </c>
    </row>
    <row r="30" spans="2:26" x14ac:dyDescent="0.4">
      <c r="B30" s="338" t="s">
        <v>909</v>
      </c>
      <c r="C30" s="338">
        <f>IF($C$7="Yes",N29,0)</f>
        <v>0</v>
      </c>
      <c r="D30" s="338">
        <f>O29</f>
        <v>85</v>
      </c>
      <c r="E30" s="338">
        <f t="shared" si="5"/>
        <v>0</v>
      </c>
    </row>
    <row r="31" spans="2:26" x14ac:dyDescent="0.4">
      <c r="B31" s="338" t="s">
        <v>910</v>
      </c>
      <c r="C31" s="338">
        <f>IF($C$7="Yes",N31,0)</f>
        <v>0</v>
      </c>
      <c r="D31" s="338">
        <f>O31</f>
        <v>85</v>
      </c>
      <c r="E31" s="338">
        <f t="shared" si="5"/>
        <v>0</v>
      </c>
      <c r="L31" s="114" t="str">
        <f>'MJS Controls'!Q24</f>
        <v>Build Control Panel</v>
      </c>
      <c r="M31" s="114" t="str">
        <f>'MJS Controls'!R24</f>
        <v>Labour</v>
      </c>
      <c r="N31" s="114">
        <f>IF($C$2&gt;0,$C$2*2+2, 0)</f>
        <v>0</v>
      </c>
      <c r="O31" s="114">
        <f>'MJS Controls'!T24</f>
        <v>85</v>
      </c>
      <c r="Q31" s="114">
        <f t="shared" si="7"/>
        <v>0</v>
      </c>
    </row>
    <row r="32" spans="2:26" x14ac:dyDescent="0.4">
      <c r="L32" s="114" t="str">
        <f>'MJS Controls'!Q25</f>
        <v xml:space="preserve">Turks n that </v>
      </c>
      <c r="M32" s="114" t="str">
        <f>'MJS Controls'!R25</f>
        <v>Misc</v>
      </c>
      <c r="N32" s="114">
        <f>$C$1</f>
        <v>0</v>
      </c>
      <c r="O32" s="114">
        <v>100</v>
      </c>
      <c r="P32" s="114">
        <f t="shared" si="6"/>
        <v>0</v>
      </c>
      <c r="Q32" s="114">
        <f t="shared" si="7"/>
        <v>0</v>
      </c>
      <c r="Y32" s="66" t="s">
        <v>341</v>
      </c>
      <c r="Z32" s="121" t="s">
        <v>233</v>
      </c>
    </row>
    <row r="33" spans="2:30" ht="20.149999999999999" x14ac:dyDescent="0.5">
      <c r="B33" s="310" t="s">
        <v>1248</v>
      </c>
      <c r="Y33" s="66" t="s">
        <v>442</v>
      </c>
      <c r="Z33" s="121" t="s">
        <v>362</v>
      </c>
      <c r="AB33" s="122" t="s">
        <v>267</v>
      </c>
    </row>
    <row r="34" spans="2:30" x14ac:dyDescent="0.4">
      <c r="B34" s="309" t="s">
        <v>718</v>
      </c>
      <c r="C34" s="309" t="s">
        <v>904</v>
      </c>
      <c r="D34" s="309" t="s">
        <v>905</v>
      </c>
      <c r="E34" s="308">
        <f>SUM(E35:E44)</f>
        <v>0</v>
      </c>
      <c r="M34" s="114" t="s">
        <v>893</v>
      </c>
      <c r="N34" s="114">
        <v>1</v>
      </c>
      <c r="O34" s="114">
        <v>200</v>
      </c>
      <c r="Y34" s="66" t="s">
        <v>407</v>
      </c>
      <c r="AA34" s="122" t="s">
        <v>245</v>
      </c>
    </row>
    <row r="35" spans="2:30" x14ac:dyDescent="0.4">
      <c r="B35" s="448" t="s">
        <v>1051</v>
      </c>
      <c r="C35" s="448">
        <f>1*$C$4</f>
        <v>0</v>
      </c>
      <c r="D35" s="448">
        <f>VLOOKUP(B35,'Part List'!A:G,3,FALSE)</f>
        <v>46.46</v>
      </c>
      <c r="E35" s="448">
        <f>C35*D35</f>
        <v>0</v>
      </c>
      <c r="Y35" s="66" t="s">
        <v>329</v>
      </c>
      <c r="Z35" s="121" t="s">
        <v>242</v>
      </c>
    </row>
    <row r="36" spans="2:30" x14ac:dyDescent="0.4">
      <c r="B36" s="448" t="s">
        <v>997</v>
      </c>
      <c r="C36" s="448">
        <f t="shared" ref="C36:C41" si="10">1*$C$4</f>
        <v>0</v>
      </c>
      <c r="D36" s="448">
        <f>VLOOKUP(B36,'Part List'!A:G,3,FALSE)</f>
        <v>307.2</v>
      </c>
      <c r="E36" s="448">
        <f t="shared" ref="E36:E43" si="11">C36*D36</f>
        <v>0</v>
      </c>
      <c r="Y36" s="66" t="s">
        <v>337</v>
      </c>
      <c r="Z36" s="121" t="s">
        <v>364</v>
      </c>
      <c r="AA36" s="122" t="s">
        <v>273</v>
      </c>
    </row>
    <row r="37" spans="2:30" x14ac:dyDescent="0.4">
      <c r="B37" s="448" t="s">
        <v>327</v>
      </c>
      <c r="C37" s="448">
        <f t="shared" si="10"/>
        <v>0</v>
      </c>
      <c r="D37" s="448">
        <f>VLOOKUP(B37,'Part List'!A:G,3,FALSE)</f>
        <v>24.2</v>
      </c>
      <c r="E37" s="448">
        <f t="shared" si="11"/>
        <v>0</v>
      </c>
      <c r="Y37" s="66" t="s">
        <v>499</v>
      </c>
      <c r="Z37" s="121" t="s">
        <v>364</v>
      </c>
      <c r="AB37" s="122" t="s">
        <v>267</v>
      </c>
    </row>
    <row r="38" spans="2:30" x14ac:dyDescent="0.4">
      <c r="B38" s="448" t="s">
        <v>1015</v>
      </c>
      <c r="C38" s="448">
        <f>2*$C$4</f>
        <v>0</v>
      </c>
      <c r="D38" s="448">
        <f>VLOOKUP(B38,'Part List'!A:G,3,FALSE)</f>
        <v>16</v>
      </c>
      <c r="E38" s="448">
        <f t="shared" si="11"/>
        <v>0</v>
      </c>
      <c r="Y38" s="66" t="s">
        <v>140</v>
      </c>
      <c r="Z38" s="121" t="s">
        <v>293</v>
      </c>
      <c r="AB38" s="144" t="s">
        <v>269</v>
      </c>
    </row>
    <row r="39" spans="2:30" x14ac:dyDescent="0.4">
      <c r="B39" s="448" t="s">
        <v>1011</v>
      </c>
      <c r="C39" s="448">
        <f t="shared" si="10"/>
        <v>0</v>
      </c>
      <c r="D39" s="448">
        <f>VLOOKUP(B39,'Part List'!A:G,3,FALSE)</f>
        <v>60</v>
      </c>
      <c r="E39" s="448">
        <f t="shared" si="11"/>
        <v>0</v>
      </c>
      <c r="L39" s="114" t="str">
        <f>'MJS Controls'!Q23</f>
        <v>Smoke Detector</v>
      </c>
      <c r="M39" s="114" t="str">
        <f>'MJS Controls'!R23</f>
        <v>Apollo Optical Detector</v>
      </c>
      <c r="N39" s="114">
        <f>IF($C$2&gt;0,1,0)*2</f>
        <v>0</v>
      </c>
      <c r="O39" s="114">
        <f>'MJS Controls'!T23</f>
        <v>160</v>
      </c>
      <c r="P39" s="114">
        <f>N39*O39</f>
        <v>0</v>
      </c>
      <c r="Q39" s="114">
        <f>IF(P39=0,O39*N39,0)</f>
        <v>0</v>
      </c>
      <c r="Y39" s="66" t="s">
        <v>313</v>
      </c>
      <c r="Z39" s="121" t="s">
        <v>232</v>
      </c>
      <c r="AB39" s="144"/>
    </row>
    <row r="40" spans="2:30" x14ac:dyDescent="0.4">
      <c r="B40" s="448" t="s">
        <v>305</v>
      </c>
      <c r="C40" s="448">
        <f t="shared" si="10"/>
        <v>0</v>
      </c>
      <c r="D40" s="448">
        <f>VLOOKUP(B40,'Part List'!A:G,3,FALSE)</f>
        <v>57.95</v>
      </c>
      <c r="E40" s="448">
        <f t="shared" si="11"/>
        <v>0</v>
      </c>
      <c r="L40" s="114" t="str">
        <f>'MJS Controls'!Q26</f>
        <v>Dore</v>
      </c>
      <c r="M40" s="114" t="str">
        <f>'MJS Controls'!R26</f>
        <v>Enclosure Steel 400 x 300 x 150</v>
      </c>
      <c r="N40" s="114">
        <f t="shared" ref="N40:N41" si="12">IF($C$2&gt;0,1,0)</f>
        <v>0</v>
      </c>
      <c r="O40" s="114">
        <f>'MJS Controls'!T26</f>
        <v>154</v>
      </c>
      <c r="P40" s="114">
        <f>N40*O40</f>
        <v>0</v>
      </c>
      <c r="Q40" s="114">
        <f>IF(P40=0,O40*N40,0)</f>
        <v>0</v>
      </c>
      <c r="Y40" s="66" t="s">
        <v>346</v>
      </c>
      <c r="Z40" s="121" t="s">
        <v>293</v>
      </c>
      <c r="AA40" s="122" t="s">
        <v>327</v>
      </c>
    </row>
    <row r="41" spans="2:30" x14ac:dyDescent="0.4">
      <c r="B41" s="448" t="s">
        <v>1249</v>
      </c>
      <c r="C41" s="448">
        <f t="shared" si="10"/>
        <v>0</v>
      </c>
      <c r="D41" s="448">
        <f>VLOOKUP(B41,'Part List'!A:G,3,FALSE)</f>
        <v>360</v>
      </c>
      <c r="E41" s="448">
        <f t="shared" si="11"/>
        <v>0</v>
      </c>
      <c r="H41" s="114" t="s">
        <v>1251</v>
      </c>
      <c r="L41" s="114" t="str">
        <f>'MJS Controls'!Q27</f>
        <v>Bunnings</v>
      </c>
      <c r="M41" s="114" t="str">
        <f>'MJS Controls'!R27</f>
        <v>Clear Perspex – Red Paint</v>
      </c>
      <c r="N41" s="114">
        <f t="shared" si="12"/>
        <v>0</v>
      </c>
      <c r="O41" s="114">
        <f>'MJS Controls'!T27</f>
        <v>200</v>
      </c>
      <c r="P41" s="114">
        <f>N41*O41</f>
        <v>0</v>
      </c>
      <c r="Q41" s="114">
        <f>IF(P41=0,O41*N41,0)</f>
        <v>0</v>
      </c>
      <c r="Y41" s="66" t="s">
        <v>338</v>
      </c>
      <c r="Z41" s="121" t="s">
        <v>293</v>
      </c>
      <c r="AA41" s="122" t="s">
        <v>280</v>
      </c>
      <c r="AD41" s="114">
        <v>2</v>
      </c>
    </row>
    <row r="42" spans="2:30" x14ac:dyDescent="0.4">
      <c r="B42" s="448" t="s">
        <v>267</v>
      </c>
      <c r="C42" s="448">
        <f>15*$C$4</f>
        <v>0</v>
      </c>
      <c r="D42" s="448">
        <f>VLOOKUP(B42,'Part List'!A:G,3,FALSE)</f>
        <v>3.48</v>
      </c>
      <c r="E42" s="448">
        <f t="shared" si="11"/>
        <v>0</v>
      </c>
      <c r="G42" s="114" t="s">
        <v>299</v>
      </c>
      <c r="L42" s="114" t="str">
        <f>'MJS Controls'!Q28</f>
        <v>Laboue</v>
      </c>
      <c r="M42" s="114" t="str">
        <f>'MJS Controls'!R28</f>
        <v>Assemble Fire AO Panel</v>
      </c>
      <c r="N42" s="114">
        <f>$C$2*2</f>
        <v>0</v>
      </c>
      <c r="O42" s="114">
        <f>'MJS Controls'!T28</f>
        <v>85</v>
      </c>
      <c r="Q42" s="114">
        <f>IF(P42=0,O42*N42,0)</f>
        <v>0</v>
      </c>
      <c r="Y42" s="66" t="s">
        <v>330</v>
      </c>
      <c r="AB42" s="122" t="s">
        <v>277</v>
      </c>
    </row>
    <row r="43" spans="2:30" x14ac:dyDescent="0.4">
      <c r="B43" s="448" t="s">
        <v>269</v>
      </c>
      <c r="C43" s="448">
        <f>10*$C$4</f>
        <v>0</v>
      </c>
      <c r="D43" s="448">
        <f>VLOOKUP(B43,'Part List'!A:G,3,FALSE)</f>
        <v>1.056</v>
      </c>
      <c r="E43" s="448">
        <f t="shared" si="11"/>
        <v>0</v>
      </c>
      <c r="Y43" s="66" t="s">
        <v>339</v>
      </c>
      <c r="AB43" s="122" t="s">
        <v>334</v>
      </c>
    </row>
    <row r="44" spans="2:30" x14ac:dyDescent="0.4">
      <c r="B44" s="448" t="s">
        <v>281</v>
      </c>
      <c r="C44" s="448">
        <f>1*$C$4</f>
        <v>0</v>
      </c>
      <c r="D44" s="448">
        <f>VLOOKUP(B44,'Part List'!A:G,3,FALSE)</f>
        <v>91.05</v>
      </c>
      <c r="E44" s="448">
        <f t="shared" ref="E44" si="13">C44*D44</f>
        <v>0</v>
      </c>
      <c r="M44" s="114" t="s">
        <v>896</v>
      </c>
      <c r="N44" s="114">
        <v>1</v>
      </c>
      <c r="O44" s="114">
        <v>120</v>
      </c>
      <c r="Y44" s="66" t="s">
        <v>403</v>
      </c>
      <c r="AB44" s="121" t="s">
        <v>274</v>
      </c>
    </row>
    <row r="45" spans="2:30" x14ac:dyDescent="0.4">
      <c r="B45" s="309" t="s">
        <v>717</v>
      </c>
      <c r="C45" s="345">
        <f>SUM(C46:C47)</f>
        <v>0</v>
      </c>
      <c r="D45" s="345">
        <f t="shared" ref="D45:E45" si="14">SUM(D46:D47)</f>
        <v>170</v>
      </c>
      <c r="E45" s="345">
        <f t="shared" si="14"/>
        <v>0</v>
      </c>
      <c r="Y45" s="66" t="s">
        <v>409</v>
      </c>
      <c r="Z45" s="121" t="s">
        <v>363</v>
      </c>
    </row>
    <row r="46" spans="2:30" x14ac:dyDescent="0.4">
      <c r="B46" s="448" t="s">
        <v>1252</v>
      </c>
      <c r="C46" s="448">
        <f>4*$C$4</f>
        <v>0</v>
      </c>
      <c r="D46" s="448">
        <v>85</v>
      </c>
      <c r="E46" s="448">
        <f>C46*D46</f>
        <v>0</v>
      </c>
    </row>
    <row r="47" spans="2:30" x14ac:dyDescent="0.4">
      <c r="B47" s="448" t="s">
        <v>1253</v>
      </c>
      <c r="C47" s="448">
        <f>4*$C$4</f>
        <v>0</v>
      </c>
      <c r="D47" s="448">
        <v>85</v>
      </c>
      <c r="E47" s="448">
        <f>C47*D47</f>
        <v>0</v>
      </c>
    </row>
    <row r="49" spans="2:5" ht="20.149999999999999" x14ac:dyDescent="0.5">
      <c r="B49" s="310" t="s">
        <v>857</v>
      </c>
    </row>
    <row r="50" spans="2:5" x14ac:dyDescent="0.4">
      <c r="B50" s="333" t="s">
        <v>805</v>
      </c>
      <c r="C50" s="334">
        <v>0</v>
      </c>
      <c r="D50" s="335"/>
      <c r="E50" s="308">
        <f>C50*$C$3</f>
        <v>0</v>
      </c>
    </row>
    <row r="51" spans="2:5" x14ac:dyDescent="0.4">
      <c r="B51" s="333" t="s">
        <v>809</v>
      </c>
      <c r="C51" s="334">
        <v>0</v>
      </c>
      <c r="D51" s="335"/>
      <c r="E51" s="308">
        <f>C51*$C$3*C1</f>
        <v>0</v>
      </c>
    </row>
    <row r="52" spans="2:5" x14ac:dyDescent="0.4">
      <c r="B52" s="335"/>
      <c r="C52" s="335"/>
      <c r="D52" s="335"/>
      <c r="E52" s="334"/>
    </row>
    <row r="53" spans="2:5" x14ac:dyDescent="0.4">
      <c r="B53" s="333" t="s">
        <v>751</v>
      </c>
      <c r="C53" s="335" t="str">
        <f>'Job Summary'!E1</f>
        <v>[LOCATION]</v>
      </c>
      <c r="D53" s="335"/>
      <c r="E53" s="334"/>
    </row>
    <row r="54" spans="2:5" x14ac:dyDescent="0.4">
      <c r="B54" s="333" t="s">
        <v>802</v>
      </c>
      <c r="C54" s="336">
        <v>0</v>
      </c>
      <c r="D54" s="335"/>
      <c r="E54" s="334"/>
    </row>
    <row r="55" spans="2:5" x14ac:dyDescent="0.4">
      <c r="B55" s="309" t="s">
        <v>803</v>
      </c>
      <c r="C55" s="308">
        <f>C54*O3</f>
        <v>0</v>
      </c>
      <c r="D55" s="309" t="s">
        <v>803</v>
      </c>
      <c r="E55" s="308">
        <f t="shared" ref="E55:E59" si="15">C55*$C$3</f>
        <v>0</v>
      </c>
    </row>
    <row r="56" spans="2:5" x14ac:dyDescent="0.4">
      <c r="B56" s="335"/>
      <c r="C56" s="335"/>
      <c r="D56" s="335"/>
      <c r="E56" s="334"/>
    </row>
    <row r="57" spans="2:5" x14ac:dyDescent="0.4">
      <c r="B57" s="333" t="str">
        <f>L4</f>
        <v>Gas (0ppm)</v>
      </c>
      <c r="C57" s="334">
        <f>M4*O4*C1</f>
        <v>0</v>
      </c>
      <c r="D57" s="335"/>
      <c r="E57" s="308">
        <f t="shared" si="15"/>
        <v>0</v>
      </c>
    </row>
    <row r="58" spans="2:5" x14ac:dyDescent="0.4">
      <c r="B58" s="333" t="str">
        <f>L5</f>
        <v>Gas (50ppm)</v>
      </c>
      <c r="C58" s="334">
        <f>M5*O5*C1</f>
        <v>0</v>
      </c>
      <c r="D58" s="335"/>
      <c r="E58" s="308">
        <f t="shared" si="15"/>
        <v>0</v>
      </c>
    </row>
    <row r="59" spans="2:5" x14ac:dyDescent="0.4">
      <c r="B59" s="309" t="s">
        <v>718</v>
      </c>
      <c r="C59" s="308">
        <f>C58+C57</f>
        <v>0</v>
      </c>
      <c r="D59" s="309" t="s">
        <v>718</v>
      </c>
      <c r="E59" s="308">
        <f t="shared" si="15"/>
        <v>0</v>
      </c>
    </row>
    <row r="60" spans="2:5" x14ac:dyDescent="0.4">
      <c r="B60" s="333"/>
      <c r="C60" s="335"/>
      <c r="D60" s="335"/>
      <c r="E60" s="334"/>
    </row>
    <row r="61" spans="2:5" x14ac:dyDescent="0.4">
      <c r="B61" s="336" t="s">
        <v>859</v>
      </c>
      <c r="C61" s="336">
        <f>M7*A1</f>
        <v>0</v>
      </c>
      <c r="D61" s="336">
        <f>IF($C$3&gt;0,C61, 0)</f>
        <v>0</v>
      </c>
      <c r="E61" s="308">
        <f>D61*O7</f>
        <v>0</v>
      </c>
    </row>
    <row r="62" spans="2:5" x14ac:dyDescent="0.4">
      <c r="B62" s="336" t="s">
        <v>811</v>
      </c>
      <c r="C62" s="336">
        <f>M8*A1</f>
        <v>0</v>
      </c>
      <c r="D62" s="336">
        <f t="shared" ref="D62:D63" si="16">C62*$C$3</f>
        <v>0</v>
      </c>
      <c r="E62" s="308">
        <f>D62*O8</f>
        <v>0</v>
      </c>
    </row>
    <row r="63" spans="2:5" x14ac:dyDescent="0.4">
      <c r="B63" s="336" t="s">
        <v>858</v>
      </c>
      <c r="C63" s="336">
        <f>C1*M6</f>
        <v>0</v>
      </c>
      <c r="D63" s="336">
        <f t="shared" si="16"/>
        <v>0</v>
      </c>
      <c r="E63" s="308">
        <f>D63*O6</f>
        <v>0</v>
      </c>
    </row>
    <row r="64" spans="2:5" x14ac:dyDescent="0.4">
      <c r="B64" s="309" t="s">
        <v>717</v>
      </c>
      <c r="C64" s="345">
        <f>SUM(C61:C63)</f>
        <v>0</v>
      </c>
      <c r="D64" s="345">
        <f>SUM(D61:D63)</f>
        <v>0</v>
      </c>
      <c r="E64" s="308">
        <f>SUM(E61:E63)</f>
        <v>0</v>
      </c>
    </row>
    <row r="66" spans="2:5" ht="20.149999999999999" x14ac:dyDescent="0.5">
      <c r="B66" s="310" t="s">
        <v>898</v>
      </c>
    </row>
    <row r="67" spans="2:5" x14ac:dyDescent="0.4">
      <c r="B67" s="309" t="s">
        <v>718</v>
      </c>
      <c r="C67" s="308" t="s">
        <v>904</v>
      </c>
      <c r="D67" s="309" t="s">
        <v>905</v>
      </c>
      <c r="E67" s="347">
        <f>SUM(E68:E69)</f>
        <v>0</v>
      </c>
    </row>
    <row r="68" spans="2:5" x14ac:dyDescent="0.4">
      <c r="B68" s="337" t="str">
        <f t="shared" ref="B68:D69" si="17">M40</f>
        <v>Enclosure Steel 400 x 300 x 150</v>
      </c>
      <c r="C68" s="346">
        <f t="shared" si="17"/>
        <v>0</v>
      </c>
      <c r="D68" s="337">
        <f t="shared" si="17"/>
        <v>154</v>
      </c>
      <c r="E68" s="337">
        <f>C68*D68</f>
        <v>0</v>
      </c>
    </row>
    <row r="69" spans="2:5" x14ac:dyDescent="0.4">
      <c r="B69" s="337" t="str">
        <f t="shared" si="17"/>
        <v>Clear Perspex – Red Paint</v>
      </c>
      <c r="C69" s="346">
        <f t="shared" si="17"/>
        <v>0</v>
      </c>
      <c r="D69" s="337">
        <f t="shared" si="17"/>
        <v>200</v>
      </c>
      <c r="E69" s="337">
        <f>C69*D69</f>
        <v>0</v>
      </c>
    </row>
    <row r="70" spans="2:5" x14ac:dyDescent="0.4">
      <c r="B70" s="309" t="s">
        <v>717</v>
      </c>
      <c r="C70" s="308" t="s">
        <v>717</v>
      </c>
      <c r="D70" s="309"/>
      <c r="E70" s="309" t="s">
        <v>354</v>
      </c>
    </row>
    <row r="71" spans="2:5" x14ac:dyDescent="0.4">
      <c r="B71" s="337" t="str">
        <f>M42</f>
        <v>Assemble Fire AO Panel</v>
      </c>
      <c r="C71" s="346">
        <f>N42</f>
        <v>0</v>
      </c>
      <c r="D71" s="337">
        <f>O42</f>
        <v>85</v>
      </c>
      <c r="E71" s="337">
        <f>D71*C71</f>
        <v>0</v>
      </c>
    </row>
  </sheetData>
  <conditionalFormatting sqref="Y19">
    <cfRule type="expression" dxfId="148" priority="2">
      <formula>IF(ROW() = ROW(), TRUE, FALSE)</formula>
    </cfRule>
  </conditionalFormatting>
  <conditionalFormatting sqref="Y32">
    <cfRule type="expression" dxfId="147" priority="32">
      <formula>RIGHT(Y32,2)="  "</formula>
    </cfRule>
    <cfRule type="expression" dxfId="146" priority="33">
      <formula>RIGHT(Y32,1)=" "</formula>
    </cfRule>
  </conditionalFormatting>
  <conditionalFormatting sqref="Y32">
    <cfRule type="expression" dxfId="145" priority="31">
      <formula>IF(ROW() = ROW(), TRUE, FALSE)</formula>
    </cfRule>
  </conditionalFormatting>
  <conditionalFormatting sqref="Y33">
    <cfRule type="expression" dxfId="144" priority="29">
      <formula>RIGHT(Y33,2)="  "</formula>
    </cfRule>
    <cfRule type="expression" dxfId="143" priority="30">
      <formula>RIGHT(Y33,1)=" "</formula>
    </cfRule>
  </conditionalFormatting>
  <conditionalFormatting sqref="Y33">
    <cfRule type="expression" dxfId="142" priority="28">
      <formula>IF(ROW() = ROW(), TRUE, FALSE)</formula>
    </cfRule>
  </conditionalFormatting>
  <conditionalFormatting sqref="Y34">
    <cfRule type="expression" dxfId="141" priority="26">
      <formula>RIGHT(Y34,2)="  "</formula>
    </cfRule>
    <cfRule type="expression" dxfId="140" priority="27">
      <formula>RIGHT(Y34,1)=" "</formula>
    </cfRule>
  </conditionalFormatting>
  <conditionalFormatting sqref="Y34">
    <cfRule type="expression" dxfId="139" priority="25">
      <formula>IF(ROW() = ROW(), TRUE, FALSE)</formula>
    </cfRule>
  </conditionalFormatting>
  <conditionalFormatting sqref="Y35">
    <cfRule type="expression" dxfId="138" priority="23">
      <formula>RIGHT(Y35,2)="  "</formula>
    </cfRule>
    <cfRule type="expression" dxfId="137" priority="24">
      <formula>RIGHT(Y35,1)=" "</formula>
    </cfRule>
  </conditionalFormatting>
  <conditionalFormatting sqref="Y35">
    <cfRule type="expression" dxfId="136" priority="22">
      <formula>IF(ROW() = ROW(), TRUE, FALSE)</formula>
    </cfRule>
  </conditionalFormatting>
  <conditionalFormatting sqref="Y36:Y41">
    <cfRule type="expression" dxfId="135" priority="20">
      <formula>RIGHT(Y36,2)="  "</formula>
    </cfRule>
    <cfRule type="expression" dxfId="134" priority="21">
      <formula>RIGHT(Y36,1)=" "</formula>
    </cfRule>
  </conditionalFormatting>
  <conditionalFormatting sqref="Y36:Y41">
    <cfRule type="expression" dxfId="133" priority="19">
      <formula>IF(ROW() = ROW(), TRUE, FALSE)</formula>
    </cfRule>
  </conditionalFormatting>
  <conditionalFormatting sqref="Y42:Y45">
    <cfRule type="expression" dxfId="132" priority="17">
      <formula>RIGHT(Y42,2)="  "</formula>
    </cfRule>
    <cfRule type="expression" dxfId="131" priority="18">
      <formula>RIGHT(Y42,1)=" "</formula>
    </cfRule>
  </conditionalFormatting>
  <conditionalFormatting sqref="Y42:Y45">
    <cfRule type="expression" dxfId="130" priority="16">
      <formula>IF(ROW() = ROW(), TRUE, FALSE)</formula>
    </cfRule>
  </conditionalFormatting>
  <conditionalFormatting sqref="Z32:Z33">
    <cfRule type="expression" dxfId="129" priority="15">
      <formula>IF(ROW() = ROW(), TRUE, FALSE)</formula>
    </cfRule>
  </conditionalFormatting>
  <conditionalFormatting sqref="Z35">
    <cfRule type="expression" dxfId="128" priority="14">
      <formula>IF(ROW() = ROW(), TRUE, FALSE)</formula>
    </cfRule>
  </conditionalFormatting>
  <conditionalFormatting sqref="Z36:Z41">
    <cfRule type="expression" dxfId="127" priority="13">
      <formula>IF(ROW() = ROW(), TRUE, FALSE)</formula>
    </cfRule>
  </conditionalFormatting>
  <conditionalFormatting sqref="Z45">
    <cfRule type="expression" dxfId="126" priority="12">
      <formula>IF(ROW() = ROW(), TRUE, FALSE)</formula>
    </cfRule>
  </conditionalFormatting>
  <conditionalFormatting sqref="AA34">
    <cfRule type="expression" dxfId="125" priority="11">
      <formula>IF(ROW() = ROW(), TRUE, FALSE)</formula>
    </cfRule>
  </conditionalFormatting>
  <conditionalFormatting sqref="AB33">
    <cfRule type="expression" dxfId="124" priority="10">
      <formula>IF(ROW() = ROW(), TRUE, FALSE)</formula>
    </cfRule>
  </conditionalFormatting>
  <conditionalFormatting sqref="AA36">
    <cfRule type="expression" dxfId="123" priority="9">
      <formula>IF(ROW() = ROW(), TRUE, FALSE)</formula>
    </cfRule>
  </conditionalFormatting>
  <conditionalFormatting sqref="AB37">
    <cfRule type="expression" dxfId="122" priority="8">
      <formula>IF(ROW() = ROW(), TRUE, FALSE)</formula>
    </cfRule>
  </conditionalFormatting>
  <conditionalFormatting sqref="AB39">
    <cfRule type="expression" dxfId="121" priority="7">
      <formula>IF(ROW() = ROW(), TRUE, FALSE)</formula>
    </cfRule>
  </conditionalFormatting>
  <conditionalFormatting sqref="AB38">
    <cfRule type="expression" dxfId="120" priority="6">
      <formula>IF(ROW() = ROW(), TRUE, FALSE)</formula>
    </cfRule>
  </conditionalFormatting>
  <conditionalFormatting sqref="AA40">
    <cfRule type="expression" dxfId="119" priority="5">
      <formula>IF(ROW() = ROW(), TRUE, FALSE)</formula>
    </cfRule>
  </conditionalFormatting>
  <conditionalFormatting sqref="AA41">
    <cfRule type="expression" dxfId="118" priority="4">
      <formula>IF(ROW() = ROW(), TRUE, FALSE)</formula>
    </cfRule>
  </conditionalFormatting>
  <conditionalFormatting sqref="AB42:AB44">
    <cfRule type="expression" dxfId="117" priority="3">
      <formula>IF(ROW() = ROW(), TRUE, FALSE)</formula>
    </cfRule>
  </conditionalFormatting>
  <dataValidations disablePrompts="1"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D24"/>
  <sheetViews>
    <sheetView workbookViewId="0">
      <selection activeCell="D39" sqref="D39"/>
    </sheetView>
  </sheetViews>
  <sheetFormatPr defaultRowHeight="14.6" x14ac:dyDescent="0.4"/>
  <cols>
    <col min="1" max="1" width="7.61328125" style="424" bestFit="1" customWidth="1"/>
    <col min="2" max="2" width="7.3046875" style="114" bestFit="1" customWidth="1"/>
    <col min="3" max="3" width="13.61328125" style="425"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9.23046875" style="114" hidden="1" customWidth="1"/>
    <col min="29" max="29" width="0" style="426" hidden="1" customWidth="1"/>
    <col min="30" max="30" width="9.23046875" style="114" hidden="1" customWidth="1"/>
    <col min="31" max="45" width="0" style="114" hidden="1" customWidth="1"/>
    <col min="46" max="16384" width="9.23046875" style="114"/>
  </cols>
  <sheetData>
    <row r="1" spans="1:30" s="299" customFormat="1" ht="29.15" x14ac:dyDescent="0.4">
      <c r="A1" s="418" t="s">
        <v>942</v>
      </c>
      <c r="B1" s="418" t="s">
        <v>943</v>
      </c>
      <c r="C1" s="419" t="s">
        <v>944</v>
      </c>
      <c r="D1" s="418" t="s">
        <v>945</v>
      </c>
      <c r="E1" s="418" t="s">
        <v>852</v>
      </c>
      <c r="F1" s="418" t="s">
        <v>946</v>
      </c>
      <c r="G1" s="418" t="s">
        <v>947</v>
      </c>
      <c r="H1" s="418" t="s">
        <v>948</v>
      </c>
      <c r="I1" s="420" t="s">
        <v>949</v>
      </c>
      <c r="J1" s="418" t="s">
        <v>950</v>
      </c>
      <c r="K1" s="418" t="s">
        <v>951</v>
      </c>
      <c r="L1" s="418" t="s">
        <v>952</v>
      </c>
      <c r="M1" s="418" t="s">
        <v>953</v>
      </c>
      <c r="N1" s="418" t="s">
        <v>954</v>
      </c>
      <c r="O1" s="420" t="s">
        <v>955</v>
      </c>
      <c r="P1" s="418" t="s">
        <v>940</v>
      </c>
      <c r="R1" s="421" t="s">
        <v>949</v>
      </c>
      <c r="S1" s="421" t="s">
        <v>852</v>
      </c>
      <c r="T1" s="422" t="str">
        <f>J1</f>
        <v>Form</v>
      </c>
      <c r="U1" s="422" t="str">
        <f>K1</f>
        <v>IP Rating</v>
      </c>
      <c r="V1" s="422" t="str">
        <f>L1</f>
        <v>Colour</v>
      </c>
      <c r="W1" s="422" t="s">
        <v>956</v>
      </c>
      <c r="X1" s="422" t="str">
        <f>N1</f>
        <v>Poles / Dim</v>
      </c>
      <c r="Y1" s="422" t="str">
        <f>O1</f>
        <v>Non-Auto/
MCCB</v>
      </c>
      <c r="AC1" s="423" t="s">
        <v>957</v>
      </c>
    </row>
    <row r="2" spans="1:30" x14ac:dyDescent="0.4">
      <c r="A2" s="424" t="str">
        <f>IF(NOT(I2="N/A"),IF(COUNTBLANK(J2:N2)=0,"VALID","INVALID"),"INVALID")</f>
        <v>INVALID</v>
      </c>
      <c r="B2" s="114" t="str">
        <f>_xlfn.CONCAT("MSSB ", (ROW()-1))</f>
        <v>MSSB 1</v>
      </c>
      <c r="C2" s="425" t="e">
        <f>E2*G2</f>
        <v>#N/A</v>
      </c>
      <c r="D2" s="114" t="e">
        <f>IF(ISBLANK(F2),H2*E2,F2*E2)</f>
        <v>#N/A</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VLOOKUP(S2,[2]Backend!C:D,2,FALSE), ") ",Z2," (Form ",T2, "-", U2, " Rated)
")</f>
        <v xml:space="preserve">0 - Electrical services for 0 (Zero) 0 Pole MSSB (Form 0-0 Rated)
</v>
      </c>
      <c r="AB2" s="114" t="str">
        <f>_xlfn.CONCAT(REPT(" ", 8),AD2,".1 - This includes supply and install of Main switch (",IF(W2="MS3100","100 Amp",_xlfn.CONCAT(W2," Amp")),_xlfn.CONCAT("), contactors circuit breakers busbar and wiring trefolyte labelling miscellaneous items testing escutcheon plate (to retain IP rating for mounting"," of lights and switches), inside powder coated enclosure.
",REPT(" ", 8),AD2,".2 - Please note: MSSB includes other components listed under each system type."))</f>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2" s="426" t="str">
        <f t="shared" ref="AC2:AC22" si="0">IF(AD2=AD1,"",_xlfn.CONCAT(AA2,AB2,"
"))</f>
        <v/>
      </c>
      <c r="AD2" s="114">
        <f xml:space="preserve"> IF(T2&gt;0,AD1+1,AD1)</f>
        <v>0</v>
      </c>
    </row>
    <row r="3" spans="1:30" x14ac:dyDescent="0.4">
      <c r="A3" s="424" t="str">
        <f t="shared" ref="A3:A22" si="1">IF(NOT(I3="N/A"),IF(COUNTBLANK(J3:N3)=0,"VALID","INVALID"),"INVALID")</f>
        <v>INVALID</v>
      </c>
      <c r="B3" s="114" t="str">
        <f t="shared" ref="B3:B22" si="2">_xlfn.CONCAT("MSSB ", (ROW()-1))</f>
        <v>MSSB 2</v>
      </c>
      <c r="C3" s="425" t="e">
        <f t="shared" ref="C3:C22" si="3">E3*G3</f>
        <v>#N/A</v>
      </c>
      <c r="D3" s="114" t="e">
        <f t="shared" ref="D3:D22" si="4">IF(ISBLANK(F3),H3*E3,F3*E3)</f>
        <v>#N/A</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R3" s="286">
        <f t="shared" ref="R3:R22" si="5">I3</f>
        <v>0</v>
      </c>
      <c r="S3" s="286">
        <f t="shared" ref="S3:S22" si="6">E3</f>
        <v>0</v>
      </c>
      <c r="T3" s="286">
        <f>IF(COUNTIF(_MSSB!$E$2:$E$6,'@MSSB'!N3) = 1,1,J3)</f>
        <v>0</v>
      </c>
      <c r="U3" s="286">
        <f>IF(COUNTIF(_MSSB!$E$2:$E$6,'@MSSB'!N3) = 1,"IP65",K3)</f>
        <v>0</v>
      </c>
      <c r="V3" s="286">
        <f t="shared" ref="V3:V22" si="7">L3</f>
        <v>0</v>
      </c>
      <c r="W3" s="286">
        <f>IF(COUNTIF(_MSSB!$E$2:$E$6,'@MSSB'!N3) = 1,"MS3100",M3)</f>
        <v>0</v>
      </c>
      <c r="X3" s="286">
        <f t="shared" ref="X3:X22" si="8">N3</f>
        <v>0</v>
      </c>
      <c r="Y3" s="286">
        <f>IF(COUNTIF(_MSSB!$E$2:$E$6,'@MSSB'!N3) = 1,"N/A",O3)</f>
        <v>0</v>
      </c>
      <c r="Z3" s="114" t="str">
        <f>IF(COUNTIF(_MSSB!$E$2:$E$6,'@MSSB'!N3) = 1,_xlfn.CONCAT(X3, "mm Enclosure"),_xlfn.CONCAT(X3, " Pole MSSB"))</f>
        <v>0 Pole MSSB</v>
      </c>
      <c r="AA3" s="114" t="str">
        <f>_xlfn.CONCAT(AD3," - Electrical services for ",S3, " (", VLOOKUP(S3,[2]Backend!C:D,2,FALSE), ") ",Z3," (Form ",T3, "-", U3, " Rated)
")</f>
        <v xml:space="preserve">0 - Electrical services for 0 (Zero) 0 Pole MSSB (Form 0-0 Rated)
</v>
      </c>
      <c r="AB3" s="114" t="str">
        <f t="shared" ref="AB3:AB22" si="9">_xlfn.CONCAT(REPT(" ", 8),AD3,".1 - This includes supply and install of Main switch (",IF(W3="MS3100","100 Amp",_xlfn.CONCAT(W3," Amp")),_xlfn.CONCAT("), contactors circuit breakers busbar and wiring trefolyte labelling miscellaneous items testing escutcheon plate (to retain IP rating for mounting"," of lights and switches), inside powder coated enclosure.
",REPT(" ", 8),AD3,".2 - Please note: MSSB includes other components listed under each system type."))</f>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3" s="426" t="str">
        <f t="shared" si="0"/>
        <v/>
      </c>
      <c r="AD3" s="114">
        <f xml:space="preserve"> IF(T3&gt;0,AD2+1,AD2)</f>
        <v>0</v>
      </c>
    </row>
    <row r="4" spans="1:30" x14ac:dyDescent="0.4">
      <c r="A4" s="424" t="str">
        <f t="shared" si="1"/>
        <v>INVALID</v>
      </c>
      <c r="B4" s="114" t="str">
        <f t="shared" si="2"/>
        <v>MSSB 3</v>
      </c>
      <c r="C4" s="425" t="e">
        <f t="shared" si="3"/>
        <v>#N/A</v>
      </c>
      <c r="D4" s="114" t="e">
        <f t="shared" si="4"/>
        <v>#N/A</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R4" s="286">
        <f t="shared" si="5"/>
        <v>0</v>
      </c>
      <c r="S4" s="286">
        <f t="shared" si="6"/>
        <v>0</v>
      </c>
      <c r="T4" s="286">
        <f>IF(COUNTIF(_MSSB!$E$2:$E$6,'@MSSB'!N4) = 1,1,J4)</f>
        <v>0</v>
      </c>
      <c r="U4" s="286">
        <f>IF(COUNTIF(_MSSB!$E$2:$E$6,'@MSSB'!N4) = 1,"IP65",K4)</f>
        <v>0</v>
      </c>
      <c r="V4" s="286">
        <f t="shared" si="7"/>
        <v>0</v>
      </c>
      <c r="W4" s="286">
        <f>IF(COUNTIF(_MSSB!$E$2:$E$6,'@MSSB'!N4) = 1,"MS3100",M4)</f>
        <v>0</v>
      </c>
      <c r="X4" s="286">
        <f t="shared" si="8"/>
        <v>0</v>
      </c>
      <c r="Y4" s="286">
        <f>IF(COUNTIF(_MSSB!$E$2:$E$6,'@MSSB'!N4) = 1,"N/A",O4)</f>
        <v>0</v>
      </c>
      <c r="Z4" s="114" t="str">
        <f>IF(COUNTIF(_MSSB!$E$2:$E$6,'@MSSB'!N4) = 1,_xlfn.CONCAT(X4, "mm Enclosure"),_xlfn.CONCAT(X4, " Pole MSSB"))</f>
        <v>0 Pole MSSB</v>
      </c>
      <c r="AA4" s="114" t="str">
        <f>_xlfn.CONCAT(AD4," - Electrical services for ",S4, " (", VLOOKUP(S4,[2]Backend!C:D,2,FALSE), ") ",Z4," (Form ",T4, "-", U4, " Rated)
")</f>
        <v xml:space="preserve">0 - Electrical services for 0 (Zero) 0 Pole MSSB (Form 0-0 Rated)
</v>
      </c>
      <c r="AB4"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4" s="426" t="str">
        <f t="shared" si="0"/>
        <v/>
      </c>
      <c r="AD4" s="114">
        <f t="shared" ref="AD4:AD22" si="10" xml:space="preserve"> IF(T4&gt;0,AD3+1,AD3)</f>
        <v>0</v>
      </c>
    </row>
    <row r="5" spans="1:30" x14ac:dyDescent="0.4">
      <c r="A5" s="424" t="str">
        <f t="shared" si="1"/>
        <v>INVALID</v>
      </c>
      <c r="B5" s="114" t="str">
        <f t="shared" si="2"/>
        <v>MSSB 4</v>
      </c>
      <c r="C5" s="425" t="e">
        <f t="shared" si="3"/>
        <v>#N/A</v>
      </c>
      <c r="D5" s="114" t="e">
        <f t="shared" si="4"/>
        <v>#N/A</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R5" s="286">
        <f t="shared" si="5"/>
        <v>0</v>
      </c>
      <c r="S5" s="286">
        <f t="shared" si="6"/>
        <v>0</v>
      </c>
      <c r="T5" s="286">
        <f>IF(COUNTIF(_MSSB!$E$2:$E$6,'@MSSB'!N5) = 1,1,J5)</f>
        <v>0</v>
      </c>
      <c r="U5" s="286">
        <f>IF(COUNTIF(_MSSB!$E$2:$E$6,'@MSSB'!N5) = 1,"IP65",K5)</f>
        <v>0</v>
      </c>
      <c r="V5" s="286">
        <f t="shared" si="7"/>
        <v>0</v>
      </c>
      <c r="W5" s="286">
        <f>IF(COUNTIF(_MSSB!$E$2:$E$6,'@MSSB'!N5) = 1,"MS3100",M5)</f>
        <v>0</v>
      </c>
      <c r="X5" s="286">
        <f t="shared" si="8"/>
        <v>0</v>
      </c>
      <c r="Y5" s="286">
        <f>IF(COUNTIF(_MSSB!$E$2:$E$6,'@MSSB'!N5) = 1,"N/A",O5)</f>
        <v>0</v>
      </c>
      <c r="Z5" s="114" t="str">
        <f>IF(COUNTIF(_MSSB!$E$2:$E$6,'@MSSB'!N5) = 1,_xlfn.CONCAT(X5, "mm Enclosure"),_xlfn.CONCAT(X5, " Pole MSSB"))</f>
        <v>0 Pole MSSB</v>
      </c>
      <c r="AA5" s="114" t="str">
        <f>_xlfn.CONCAT(AD5," - Electrical services for ",S5, " (", VLOOKUP(S5,[2]Backend!C:D,2,FALSE), ") ",Z5," (Form ",T5, "-", U5, " Rated)
")</f>
        <v xml:space="preserve">0 - Electrical services for 0 (Zero) 0 Pole MSSB (Form 0-0 Rated)
</v>
      </c>
      <c r="AB5"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5" s="426" t="str">
        <f t="shared" si="0"/>
        <v/>
      </c>
      <c r="AD5" s="114">
        <f t="shared" si="10"/>
        <v>0</v>
      </c>
    </row>
    <row r="6" spans="1:30" x14ac:dyDescent="0.4">
      <c r="A6" s="424" t="str">
        <f t="shared" si="1"/>
        <v>INVALID</v>
      </c>
      <c r="B6" s="114" t="str">
        <f t="shared" si="2"/>
        <v>MSSB 5</v>
      </c>
      <c r="C6" s="425" t="e">
        <f t="shared" si="3"/>
        <v>#N/A</v>
      </c>
      <c r="D6" s="114" t="e">
        <f t="shared" si="4"/>
        <v>#N/A</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R6" s="286">
        <f t="shared" si="5"/>
        <v>0</v>
      </c>
      <c r="S6" s="286">
        <f t="shared" si="6"/>
        <v>0</v>
      </c>
      <c r="T6" s="286">
        <f>IF(COUNTIF(_MSSB!$E$2:$E$6,'@MSSB'!N6) = 1,1,J6)</f>
        <v>0</v>
      </c>
      <c r="U6" s="286">
        <f>IF(COUNTIF(_MSSB!$E$2:$E$6,'@MSSB'!N6) = 1,"IP65",K6)</f>
        <v>0</v>
      </c>
      <c r="V6" s="286">
        <f t="shared" si="7"/>
        <v>0</v>
      </c>
      <c r="W6" s="286">
        <f>IF(COUNTIF(_MSSB!$E$2:$E$6,'@MSSB'!N6) = 1,"MS3100",M6)</f>
        <v>0</v>
      </c>
      <c r="X6" s="286">
        <f t="shared" si="8"/>
        <v>0</v>
      </c>
      <c r="Y6" s="286">
        <f>IF(COUNTIF(_MSSB!$E$2:$E$6,'@MSSB'!N6) = 1,"N/A",O6)</f>
        <v>0</v>
      </c>
      <c r="Z6" s="114" t="str">
        <f>IF(COUNTIF(_MSSB!$E$2:$E$6,'@MSSB'!N6) = 1,_xlfn.CONCAT(X6, "mm Enclosure"),_xlfn.CONCAT(X6, " Pole MSSB"))</f>
        <v>0 Pole MSSB</v>
      </c>
      <c r="AA6" s="114" t="str">
        <f>_xlfn.CONCAT(AD6," - Electrical services for ",S6, " (", VLOOKUP(S6,[2]Backend!C:D,2,FALSE), ") ",Z6," (Form ",T6, "-", U6, " Rated)
")</f>
        <v xml:space="preserve">0 - Electrical services for 0 (Zero) 0 Pole MSSB (Form 0-0 Rated)
</v>
      </c>
      <c r="AB6"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6" s="426" t="str">
        <f t="shared" si="0"/>
        <v/>
      </c>
      <c r="AD6" s="114">
        <f t="shared" si="10"/>
        <v>0</v>
      </c>
    </row>
    <row r="7" spans="1:30" x14ac:dyDescent="0.4">
      <c r="A7" s="424" t="str">
        <f t="shared" si="1"/>
        <v>INVALID</v>
      </c>
      <c r="B7" s="114" t="str">
        <f t="shared" si="2"/>
        <v>MSSB 6</v>
      </c>
      <c r="C7" s="425" t="e">
        <f t="shared" si="3"/>
        <v>#N/A</v>
      </c>
      <c r="D7" s="114" t="e">
        <f t="shared" si="4"/>
        <v>#N/A</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R7" s="286">
        <f t="shared" si="5"/>
        <v>0</v>
      </c>
      <c r="S7" s="286">
        <f t="shared" si="6"/>
        <v>0</v>
      </c>
      <c r="T7" s="286">
        <f>IF(COUNTIF(_MSSB!$E$2:$E$6,'@MSSB'!N7) = 1,1,J7)</f>
        <v>0</v>
      </c>
      <c r="U7" s="286">
        <f>IF(COUNTIF(_MSSB!$E$2:$E$6,'@MSSB'!N7) = 1,"IP65",K7)</f>
        <v>0</v>
      </c>
      <c r="V7" s="286">
        <f t="shared" si="7"/>
        <v>0</v>
      </c>
      <c r="W7" s="286">
        <f>IF(COUNTIF(_MSSB!$E$2:$E$6,'@MSSB'!N7) = 1,"MS3100",M7)</f>
        <v>0</v>
      </c>
      <c r="X7" s="286">
        <f t="shared" si="8"/>
        <v>0</v>
      </c>
      <c r="Y7" s="286">
        <f>IF(COUNTIF(_MSSB!$E$2:$E$6,'@MSSB'!N7) = 1,"N/A",O7)</f>
        <v>0</v>
      </c>
      <c r="Z7" s="114" t="str">
        <f>IF(COUNTIF(_MSSB!$E$2:$E$6,'@MSSB'!N7) = 1,_xlfn.CONCAT(X7, "mm Enclosure"),_xlfn.CONCAT(X7, " Pole MSSB"))</f>
        <v>0 Pole MSSB</v>
      </c>
      <c r="AA7" s="114" t="str">
        <f>_xlfn.CONCAT(AD7," - Electrical services for ",S7, " (", VLOOKUP(S7,[2]Backend!C:D,2,FALSE), ") ",Z7," (Form ",T7, "-", U7, " Rated)
")</f>
        <v xml:space="preserve">0 - Electrical services for 0 (Zero) 0 Pole MSSB (Form 0-0 Rated)
</v>
      </c>
      <c r="AB7"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7" s="426" t="str">
        <f t="shared" si="0"/>
        <v/>
      </c>
      <c r="AD7" s="114">
        <f t="shared" si="10"/>
        <v>0</v>
      </c>
    </row>
    <row r="8" spans="1:30" x14ac:dyDescent="0.4">
      <c r="A8" s="424" t="str">
        <f t="shared" si="1"/>
        <v>INVALID</v>
      </c>
      <c r="B8" s="114" t="str">
        <f t="shared" si="2"/>
        <v>MSSB 7</v>
      </c>
      <c r="C8" s="425" t="e">
        <f t="shared" si="3"/>
        <v>#N/A</v>
      </c>
      <c r="D8" s="114" t="e">
        <f t="shared" si="4"/>
        <v>#N/A</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R8" s="286">
        <f t="shared" si="5"/>
        <v>0</v>
      </c>
      <c r="S8" s="286">
        <f t="shared" si="6"/>
        <v>0</v>
      </c>
      <c r="T8" s="286">
        <f>IF(COUNTIF(_MSSB!$E$2:$E$6,'@MSSB'!N8) = 1,1,J8)</f>
        <v>0</v>
      </c>
      <c r="U8" s="286">
        <f>IF(COUNTIF(_MSSB!$E$2:$E$6,'@MSSB'!N8) = 1,"IP65",K8)</f>
        <v>0</v>
      </c>
      <c r="V8" s="286">
        <f t="shared" si="7"/>
        <v>0</v>
      </c>
      <c r="W8" s="286">
        <f>IF(COUNTIF(_MSSB!$E$2:$E$6,'@MSSB'!N8) = 1,"MS3100",M8)</f>
        <v>0</v>
      </c>
      <c r="X8" s="286">
        <f t="shared" si="8"/>
        <v>0</v>
      </c>
      <c r="Y8" s="286">
        <f>IF(COUNTIF(_MSSB!$E$2:$E$6,'@MSSB'!N8) = 1,"N/A",O8)</f>
        <v>0</v>
      </c>
      <c r="Z8" s="114" t="str">
        <f>IF(COUNTIF(_MSSB!$E$2:$E$6,'@MSSB'!N8) = 1,_xlfn.CONCAT(X8, "mm Enclosure"),_xlfn.CONCAT(X8, " Pole MSSB"))</f>
        <v>0 Pole MSSB</v>
      </c>
      <c r="AA8" s="114" t="str">
        <f>_xlfn.CONCAT(AD8," - Electrical services for ",S8, " (", VLOOKUP(S8,[2]Backend!C:D,2,FALSE), ") ",Z8," (Form ",T8, "-", U8, " Rated)
")</f>
        <v xml:space="preserve">0 - Electrical services for 0 (Zero) 0 Pole MSSB (Form 0-0 Rated)
</v>
      </c>
      <c r="AB8"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8" s="426" t="str">
        <f t="shared" si="0"/>
        <v/>
      </c>
      <c r="AD8" s="114">
        <f t="shared" si="10"/>
        <v>0</v>
      </c>
    </row>
    <row r="9" spans="1:30" x14ac:dyDescent="0.4">
      <c r="A9" s="424" t="str">
        <f t="shared" si="1"/>
        <v>INVALID</v>
      </c>
      <c r="B9" s="114" t="str">
        <f t="shared" si="2"/>
        <v>MSSB 8</v>
      </c>
      <c r="C9" s="425" t="e">
        <f t="shared" si="3"/>
        <v>#N/A</v>
      </c>
      <c r="D9" s="114" t="e">
        <f t="shared" si="4"/>
        <v>#N/A</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R9" s="286">
        <f t="shared" si="5"/>
        <v>0</v>
      </c>
      <c r="S9" s="286">
        <f t="shared" si="6"/>
        <v>0</v>
      </c>
      <c r="T9" s="286">
        <f>IF(COUNTIF(_MSSB!$E$2:$E$6,'@MSSB'!N9) = 1,1,J9)</f>
        <v>0</v>
      </c>
      <c r="U9" s="286">
        <f>IF(COUNTIF(_MSSB!$E$2:$E$6,'@MSSB'!N9) = 1,"IP65",K9)</f>
        <v>0</v>
      </c>
      <c r="V9" s="286">
        <f t="shared" si="7"/>
        <v>0</v>
      </c>
      <c r="W9" s="286">
        <f>IF(COUNTIF(_MSSB!$E$2:$E$6,'@MSSB'!N9) = 1,"MS3100",M9)</f>
        <v>0</v>
      </c>
      <c r="X9" s="286">
        <f t="shared" si="8"/>
        <v>0</v>
      </c>
      <c r="Y9" s="286">
        <f>IF(COUNTIF(_MSSB!$E$2:$E$6,'@MSSB'!N9) = 1,"N/A",O9)</f>
        <v>0</v>
      </c>
      <c r="Z9" s="114" t="str">
        <f>IF(COUNTIF(_MSSB!$E$2:$E$6,'@MSSB'!N9) = 1,_xlfn.CONCAT(X9, "mm Enclosure"),_xlfn.CONCAT(X9, " Pole MSSB"))</f>
        <v>0 Pole MSSB</v>
      </c>
      <c r="AA9" s="114" t="str">
        <f>_xlfn.CONCAT(AD9," - Electrical services for ",S9, " (", VLOOKUP(S9,[2]Backend!C:D,2,FALSE), ") ",Z9," (Form ",T9, "-", U9, " Rated)
")</f>
        <v xml:space="preserve">0 - Electrical services for 0 (Zero) 0 Pole MSSB (Form 0-0 Rated)
</v>
      </c>
      <c r="AB9"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9" s="426" t="str">
        <f t="shared" si="0"/>
        <v/>
      </c>
      <c r="AD9" s="114">
        <f t="shared" si="10"/>
        <v>0</v>
      </c>
    </row>
    <row r="10" spans="1:30" x14ac:dyDescent="0.4">
      <c r="A10" s="424" t="str">
        <f t="shared" si="1"/>
        <v>INVALID</v>
      </c>
      <c r="B10" s="114" t="str">
        <f t="shared" si="2"/>
        <v>MSSB 9</v>
      </c>
      <c r="C10" s="425" t="e">
        <f t="shared" si="3"/>
        <v>#N/A</v>
      </c>
      <c r="D10" s="114" t="e">
        <f t="shared" si="4"/>
        <v>#N/A</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R10" s="286">
        <f t="shared" si="5"/>
        <v>0</v>
      </c>
      <c r="S10" s="286">
        <f t="shared" si="6"/>
        <v>0</v>
      </c>
      <c r="T10" s="286">
        <f>IF(COUNTIF(_MSSB!$E$2:$E$6,'@MSSB'!N10) = 1,1,J10)</f>
        <v>0</v>
      </c>
      <c r="U10" s="286">
        <f>IF(COUNTIF(_MSSB!$E$2:$E$6,'@MSSB'!N10) = 1,"IP65",K10)</f>
        <v>0</v>
      </c>
      <c r="V10" s="286">
        <f t="shared" si="7"/>
        <v>0</v>
      </c>
      <c r="W10" s="286">
        <f>IF(COUNTIF(_MSSB!$E$2:$E$6,'@MSSB'!N10) = 1,"MS3100",M10)</f>
        <v>0</v>
      </c>
      <c r="X10" s="286">
        <f t="shared" si="8"/>
        <v>0</v>
      </c>
      <c r="Y10" s="286">
        <f>IF(COUNTIF(_MSSB!$E$2:$E$6,'@MSSB'!N10) = 1,"N/A",O10)</f>
        <v>0</v>
      </c>
      <c r="Z10" s="114" t="str">
        <f>IF(COUNTIF(_MSSB!$E$2:$E$6,'@MSSB'!N10) = 1,_xlfn.CONCAT(X10, "mm Enclosure"),_xlfn.CONCAT(X10, " Pole MSSB"))</f>
        <v>0 Pole MSSB</v>
      </c>
      <c r="AA10" s="114" t="str">
        <f>_xlfn.CONCAT(AD10," - Electrical services for ",S10, " (", VLOOKUP(S10,[2]Backend!C:D,2,FALSE), ") ",Z10," (Form ",T10, "-", U10, " Rated)
")</f>
        <v xml:space="preserve">0 - Electrical services for 0 (Zero) 0 Pole MSSB (Form 0-0 Rated)
</v>
      </c>
      <c r="AB10"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0" s="426" t="str">
        <f t="shared" si="0"/>
        <v/>
      </c>
      <c r="AD10" s="114">
        <f t="shared" si="10"/>
        <v>0</v>
      </c>
    </row>
    <row r="11" spans="1:30" x14ac:dyDescent="0.4">
      <c r="A11" s="424" t="str">
        <f t="shared" si="1"/>
        <v>INVALID</v>
      </c>
      <c r="B11" s="114" t="str">
        <f t="shared" si="2"/>
        <v>MSSB 10</v>
      </c>
      <c r="C11" s="425" t="e">
        <f t="shared" si="3"/>
        <v>#N/A</v>
      </c>
      <c r="D11" s="114" t="e">
        <f t="shared" si="4"/>
        <v>#N/A</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R11" s="286">
        <f t="shared" si="5"/>
        <v>0</v>
      </c>
      <c r="S11" s="286">
        <f t="shared" si="6"/>
        <v>0</v>
      </c>
      <c r="T11" s="286">
        <f>IF(COUNTIF(_MSSB!$E$2:$E$6,'@MSSB'!N11) = 1,1,J11)</f>
        <v>0</v>
      </c>
      <c r="U11" s="286">
        <f>IF(COUNTIF(_MSSB!$E$2:$E$6,'@MSSB'!N11) = 1,"IP65",K11)</f>
        <v>0</v>
      </c>
      <c r="V11" s="286">
        <f t="shared" si="7"/>
        <v>0</v>
      </c>
      <c r="W11" s="286">
        <f>IF(COUNTIF(_MSSB!$E$2:$E$6,'@MSSB'!N11) = 1,"MS3100",M11)</f>
        <v>0</v>
      </c>
      <c r="X11" s="286">
        <f t="shared" si="8"/>
        <v>0</v>
      </c>
      <c r="Y11" s="286">
        <f>IF(COUNTIF(_MSSB!$E$2:$E$6,'@MSSB'!N11) = 1,"N/A",O11)</f>
        <v>0</v>
      </c>
      <c r="Z11" s="114" t="str">
        <f>IF(COUNTIF(_MSSB!$E$2:$E$6,'@MSSB'!N11) = 1,_xlfn.CONCAT(X11, "mm Enclosure"),_xlfn.CONCAT(X11, " Pole MSSB"))</f>
        <v>0 Pole MSSB</v>
      </c>
      <c r="AA11" s="114" t="str">
        <f>_xlfn.CONCAT(AD11," - Electrical services for ",S11, " (", VLOOKUP(S11,[2]Backend!C:D,2,FALSE), ") ",Z11," (Form ",T11, "-", U11, " Rated)
")</f>
        <v xml:space="preserve">0 - Electrical services for 0 (Zero) 0 Pole MSSB (Form 0-0 Rated)
</v>
      </c>
      <c r="AB11"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1" s="426" t="str">
        <f t="shared" si="0"/>
        <v/>
      </c>
      <c r="AD11" s="114">
        <f t="shared" si="10"/>
        <v>0</v>
      </c>
    </row>
    <row r="12" spans="1:30" x14ac:dyDescent="0.4">
      <c r="A12" s="424" t="str">
        <f t="shared" si="1"/>
        <v>INVALID</v>
      </c>
      <c r="B12" s="114" t="str">
        <f t="shared" si="2"/>
        <v>MSSB 11</v>
      </c>
      <c r="C12" s="425" t="e">
        <f t="shared" si="3"/>
        <v>#N/A</v>
      </c>
      <c r="D12" s="114" t="e">
        <f t="shared" si="4"/>
        <v>#N/A</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R12" s="286">
        <f t="shared" si="5"/>
        <v>0</v>
      </c>
      <c r="S12" s="286">
        <f t="shared" si="6"/>
        <v>0</v>
      </c>
      <c r="T12" s="286">
        <f>IF(COUNTIF(_MSSB!$E$2:$E$6,'@MSSB'!N12) = 1,1,J12)</f>
        <v>0</v>
      </c>
      <c r="U12" s="286">
        <f>IF(COUNTIF(_MSSB!$E$2:$E$6,'@MSSB'!N12) = 1,"IP65",K12)</f>
        <v>0</v>
      </c>
      <c r="V12" s="286">
        <f t="shared" si="7"/>
        <v>0</v>
      </c>
      <c r="W12" s="286">
        <f>IF(COUNTIF(_MSSB!$E$2:$E$6,'@MSSB'!N12) = 1,"MS3100",M12)</f>
        <v>0</v>
      </c>
      <c r="X12" s="286">
        <f t="shared" si="8"/>
        <v>0</v>
      </c>
      <c r="Y12" s="286">
        <f>IF(COUNTIF(_MSSB!$E$2:$E$6,'@MSSB'!N12) = 1,"N/A",O12)</f>
        <v>0</v>
      </c>
      <c r="Z12" s="114" t="str">
        <f>IF(COUNTIF(_MSSB!$E$2:$E$6,'@MSSB'!N12) = 1,_xlfn.CONCAT(X12, "mm Enclosure"),_xlfn.CONCAT(X12, " Pole MSSB"))</f>
        <v>0 Pole MSSB</v>
      </c>
      <c r="AA12" s="114" t="str">
        <f>_xlfn.CONCAT(AD12," - Electrical services for ",S12, " (", VLOOKUP(S12,[2]Backend!C:D,2,FALSE), ") ",Z12," (Form ",T12, "-", U12, " Rated)
")</f>
        <v xml:space="preserve">0 - Electrical services for 0 (Zero) 0 Pole MSSB (Form 0-0 Rated)
</v>
      </c>
      <c r="AB12"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2" s="426" t="str">
        <f t="shared" si="0"/>
        <v/>
      </c>
      <c r="AD12" s="114">
        <f t="shared" si="10"/>
        <v>0</v>
      </c>
    </row>
    <row r="13" spans="1:30" x14ac:dyDescent="0.4">
      <c r="A13" s="424" t="str">
        <f t="shared" si="1"/>
        <v>INVALID</v>
      </c>
      <c r="B13" s="114" t="str">
        <f t="shared" si="2"/>
        <v>MSSB 12</v>
      </c>
      <c r="C13" s="425" t="e">
        <f t="shared" si="3"/>
        <v>#N/A</v>
      </c>
      <c r="D13" s="114" t="e">
        <f t="shared" si="4"/>
        <v>#N/A</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R13" s="286">
        <f t="shared" si="5"/>
        <v>0</v>
      </c>
      <c r="S13" s="286">
        <f t="shared" si="6"/>
        <v>0</v>
      </c>
      <c r="T13" s="286">
        <f>IF(COUNTIF(_MSSB!$E$2:$E$6,'@MSSB'!N13) = 1,1,J13)</f>
        <v>0</v>
      </c>
      <c r="U13" s="286">
        <f>IF(COUNTIF(_MSSB!$E$2:$E$6,'@MSSB'!N13) = 1,"IP65",K13)</f>
        <v>0</v>
      </c>
      <c r="V13" s="286">
        <f t="shared" si="7"/>
        <v>0</v>
      </c>
      <c r="W13" s="286">
        <f>IF(COUNTIF(_MSSB!$E$2:$E$6,'@MSSB'!N13) = 1,"MS3100",M13)</f>
        <v>0</v>
      </c>
      <c r="X13" s="286">
        <f t="shared" si="8"/>
        <v>0</v>
      </c>
      <c r="Y13" s="286">
        <f>IF(COUNTIF(_MSSB!$E$2:$E$6,'@MSSB'!N13) = 1,"N/A",O13)</f>
        <v>0</v>
      </c>
      <c r="Z13" s="114" t="str">
        <f>IF(COUNTIF(_MSSB!$E$2:$E$6,'@MSSB'!N13) = 1,_xlfn.CONCAT(X13, "mm Enclosure"),_xlfn.CONCAT(X13, " Pole MSSB"))</f>
        <v>0 Pole MSSB</v>
      </c>
      <c r="AA13" s="114" t="str">
        <f>_xlfn.CONCAT(AD13," - Electrical services for ",S13, " (", VLOOKUP(S13,[2]Backend!C:D,2,FALSE), ") ",Z13," (Form ",T13, "-", U13, " Rated)
")</f>
        <v xml:space="preserve">0 - Electrical services for 0 (Zero) 0 Pole MSSB (Form 0-0 Rated)
</v>
      </c>
      <c r="AB13"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3" s="426" t="str">
        <f t="shared" si="0"/>
        <v/>
      </c>
      <c r="AD13" s="114">
        <f t="shared" si="10"/>
        <v>0</v>
      </c>
    </row>
    <row r="14" spans="1:30" x14ac:dyDescent="0.4">
      <c r="A14" s="424" t="str">
        <f t="shared" si="1"/>
        <v>INVALID</v>
      </c>
      <c r="B14" s="114" t="str">
        <f t="shared" si="2"/>
        <v>MSSB 13</v>
      </c>
      <c r="C14" s="425" t="e">
        <f t="shared" si="3"/>
        <v>#N/A</v>
      </c>
      <c r="D14" s="114" t="e">
        <f t="shared" si="4"/>
        <v>#N/A</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R14" s="286">
        <f t="shared" si="5"/>
        <v>0</v>
      </c>
      <c r="S14" s="286">
        <f t="shared" si="6"/>
        <v>0</v>
      </c>
      <c r="T14" s="286">
        <f>IF(COUNTIF(_MSSB!$E$2:$E$6,'@MSSB'!N14) = 1,1,J14)</f>
        <v>0</v>
      </c>
      <c r="U14" s="286">
        <f>IF(COUNTIF(_MSSB!$E$2:$E$6,'@MSSB'!N14) = 1,"IP65",K14)</f>
        <v>0</v>
      </c>
      <c r="V14" s="286">
        <f t="shared" si="7"/>
        <v>0</v>
      </c>
      <c r="W14" s="286">
        <f>IF(COUNTIF(_MSSB!$E$2:$E$6,'@MSSB'!N14) = 1,"MS3100",M14)</f>
        <v>0</v>
      </c>
      <c r="X14" s="286">
        <f t="shared" si="8"/>
        <v>0</v>
      </c>
      <c r="Y14" s="286">
        <f>IF(COUNTIF(_MSSB!$E$2:$E$6,'@MSSB'!N14) = 1,"N/A",O14)</f>
        <v>0</v>
      </c>
      <c r="Z14" s="114" t="str">
        <f>IF(COUNTIF(_MSSB!$E$2:$E$6,'@MSSB'!N14) = 1,_xlfn.CONCAT(X14, "mm Enclosure"),_xlfn.CONCAT(X14, " Pole MSSB"))</f>
        <v>0 Pole MSSB</v>
      </c>
      <c r="AA14" s="114" t="str">
        <f>_xlfn.CONCAT(AD14," - Electrical services for ",S14, " (", VLOOKUP(S14,[2]Backend!C:D,2,FALSE), ") ",Z14," (Form ",T14, "-", U14, " Rated)
")</f>
        <v xml:space="preserve">0 - Electrical services for 0 (Zero) 0 Pole MSSB (Form 0-0 Rated)
</v>
      </c>
      <c r="AB14"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4" s="426" t="str">
        <f t="shared" si="0"/>
        <v/>
      </c>
      <c r="AD14" s="114">
        <f t="shared" si="10"/>
        <v>0</v>
      </c>
    </row>
    <row r="15" spans="1:30" x14ac:dyDescent="0.4">
      <c r="A15" s="424" t="str">
        <f t="shared" si="1"/>
        <v>INVALID</v>
      </c>
      <c r="B15" s="114" t="str">
        <f t="shared" si="2"/>
        <v>MSSB 14</v>
      </c>
      <c r="C15" s="425" t="e">
        <f t="shared" si="3"/>
        <v>#N/A</v>
      </c>
      <c r="D15" s="114" t="e">
        <f t="shared" si="4"/>
        <v>#N/A</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R15" s="286">
        <f t="shared" si="5"/>
        <v>0</v>
      </c>
      <c r="S15" s="286">
        <f t="shared" si="6"/>
        <v>0</v>
      </c>
      <c r="T15" s="286">
        <f>IF(COUNTIF(_MSSB!$E$2:$E$6,'@MSSB'!N15) = 1,1,J15)</f>
        <v>0</v>
      </c>
      <c r="U15" s="286">
        <f>IF(COUNTIF(_MSSB!$E$2:$E$6,'@MSSB'!N15) = 1,"IP65",K15)</f>
        <v>0</v>
      </c>
      <c r="V15" s="286">
        <f t="shared" si="7"/>
        <v>0</v>
      </c>
      <c r="W15" s="286">
        <f>IF(COUNTIF(_MSSB!$E$2:$E$6,'@MSSB'!N15) = 1,"MS3100",M15)</f>
        <v>0</v>
      </c>
      <c r="X15" s="286">
        <f t="shared" si="8"/>
        <v>0</v>
      </c>
      <c r="Y15" s="286">
        <f>IF(COUNTIF(_MSSB!$E$2:$E$6,'@MSSB'!N15) = 1,"N/A",O15)</f>
        <v>0</v>
      </c>
      <c r="Z15" s="114" t="str">
        <f>IF(COUNTIF(_MSSB!$E$2:$E$6,'@MSSB'!N15) = 1,_xlfn.CONCAT(X15, "mm Enclosure"),_xlfn.CONCAT(X15, " Pole MSSB"))</f>
        <v>0 Pole MSSB</v>
      </c>
      <c r="AA15" s="114" t="str">
        <f>_xlfn.CONCAT(AD15," - Electrical services for ",S15, " (", VLOOKUP(S15,[2]Backend!C:D,2,FALSE), ") ",Z15," (Form ",T15, "-", U15, " Rated)
")</f>
        <v xml:space="preserve">0 - Electrical services for 0 (Zero) 0 Pole MSSB (Form 0-0 Rated)
</v>
      </c>
      <c r="AB15"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5" s="426" t="str">
        <f t="shared" si="0"/>
        <v/>
      </c>
      <c r="AD15" s="114">
        <f t="shared" si="10"/>
        <v>0</v>
      </c>
    </row>
    <row r="16" spans="1:30" x14ac:dyDescent="0.4">
      <c r="A16" s="424" t="str">
        <f t="shared" si="1"/>
        <v>INVALID</v>
      </c>
      <c r="B16" s="114" t="str">
        <f t="shared" si="2"/>
        <v>MSSB 15</v>
      </c>
      <c r="C16" s="425" t="e">
        <f t="shared" si="3"/>
        <v>#N/A</v>
      </c>
      <c r="D16" s="114" t="e">
        <f t="shared" si="4"/>
        <v>#N/A</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R16" s="286">
        <f t="shared" si="5"/>
        <v>0</v>
      </c>
      <c r="S16" s="286">
        <f t="shared" si="6"/>
        <v>0</v>
      </c>
      <c r="T16" s="286">
        <f>IF(COUNTIF(_MSSB!$E$2:$E$6,'@MSSB'!N16) = 1,1,J16)</f>
        <v>0</v>
      </c>
      <c r="U16" s="286">
        <f>IF(COUNTIF(_MSSB!$E$2:$E$6,'@MSSB'!N16) = 1,"IP65",K16)</f>
        <v>0</v>
      </c>
      <c r="V16" s="286">
        <f t="shared" si="7"/>
        <v>0</v>
      </c>
      <c r="W16" s="286">
        <f>IF(COUNTIF(_MSSB!$E$2:$E$6,'@MSSB'!N16) = 1,"MS3100",M16)</f>
        <v>0</v>
      </c>
      <c r="X16" s="286">
        <f t="shared" si="8"/>
        <v>0</v>
      </c>
      <c r="Y16" s="286">
        <f>IF(COUNTIF(_MSSB!$E$2:$E$6,'@MSSB'!N16) = 1,"N/A",O16)</f>
        <v>0</v>
      </c>
      <c r="Z16" s="114" t="str">
        <f>IF(COUNTIF(_MSSB!$E$2:$E$6,'@MSSB'!N16) = 1,_xlfn.CONCAT(X16, "mm Enclosure"),_xlfn.CONCAT(X16, " Pole MSSB"))</f>
        <v>0 Pole MSSB</v>
      </c>
      <c r="AA16" s="114" t="str">
        <f>_xlfn.CONCAT(AD16," - Electrical services for ",S16, " (", VLOOKUP(S16,[2]Backend!C:D,2,FALSE), ") ",Z16," (Form ",T16, "-", U16, " Rated)
")</f>
        <v xml:space="preserve">0 - Electrical services for 0 (Zero) 0 Pole MSSB (Form 0-0 Rated)
</v>
      </c>
      <c r="AB16"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6" s="426" t="str">
        <f t="shared" si="0"/>
        <v/>
      </c>
      <c r="AD16" s="114">
        <f t="shared" si="10"/>
        <v>0</v>
      </c>
    </row>
    <row r="17" spans="1:30" x14ac:dyDescent="0.4">
      <c r="A17" s="424" t="str">
        <f t="shared" si="1"/>
        <v>INVALID</v>
      </c>
      <c r="B17" s="114" t="str">
        <f t="shared" si="2"/>
        <v>MSSB 16</v>
      </c>
      <c r="C17" s="425" t="e">
        <f t="shared" si="3"/>
        <v>#N/A</v>
      </c>
      <c r="D17" s="114" t="e">
        <f t="shared" si="4"/>
        <v>#N/A</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R17" s="286">
        <f t="shared" si="5"/>
        <v>0</v>
      </c>
      <c r="S17" s="286">
        <f t="shared" si="6"/>
        <v>0</v>
      </c>
      <c r="T17" s="286">
        <f>IF(COUNTIF(_MSSB!$E$2:$E$6,'@MSSB'!N17) = 1,1,J17)</f>
        <v>0</v>
      </c>
      <c r="U17" s="286">
        <f>IF(COUNTIF(_MSSB!$E$2:$E$6,'@MSSB'!N17) = 1,"IP65",K17)</f>
        <v>0</v>
      </c>
      <c r="V17" s="286">
        <f t="shared" si="7"/>
        <v>0</v>
      </c>
      <c r="W17" s="286">
        <f>IF(COUNTIF(_MSSB!$E$2:$E$6,'@MSSB'!N17) = 1,"MS3100",M17)</f>
        <v>0</v>
      </c>
      <c r="X17" s="286">
        <f t="shared" si="8"/>
        <v>0</v>
      </c>
      <c r="Y17" s="286">
        <f>IF(COUNTIF(_MSSB!$E$2:$E$6,'@MSSB'!N17) = 1,"N/A",O17)</f>
        <v>0</v>
      </c>
      <c r="Z17" s="114" t="str">
        <f>IF(COUNTIF(_MSSB!$E$2:$E$6,'@MSSB'!N17) = 1,_xlfn.CONCAT(X17, "mm Enclosure"),_xlfn.CONCAT(X17, " Pole MSSB"))</f>
        <v>0 Pole MSSB</v>
      </c>
      <c r="AA17" s="114" t="str">
        <f>_xlfn.CONCAT(AD17," - Electrical services for ",S17, " (", VLOOKUP(S17,[2]Backend!C:D,2,FALSE), ") ",Z17," (Form ",T17, "-", U17, " Rated)
")</f>
        <v xml:space="preserve">0 - Electrical services for 0 (Zero) 0 Pole MSSB (Form 0-0 Rated)
</v>
      </c>
      <c r="AB17"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7" s="426" t="str">
        <f t="shared" si="0"/>
        <v/>
      </c>
      <c r="AD17" s="114">
        <f t="shared" si="10"/>
        <v>0</v>
      </c>
    </row>
    <row r="18" spans="1:30" x14ac:dyDescent="0.4">
      <c r="A18" s="424" t="str">
        <f t="shared" si="1"/>
        <v>INVALID</v>
      </c>
      <c r="B18" s="114" t="str">
        <f t="shared" si="2"/>
        <v>MSSB 17</v>
      </c>
      <c r="C18" s="425" t="e">
        <f t="shared" si="3"/>
        <v>#N/A</v>
      </c>
      <c r="D18" s="114" t="e">
        <f t="shared" si="4"/>
        <v>#N/A</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R18" s="286">
        <f t="shared" si="5"/>
        <v>0</v>
      </c>
      <c r="S18" s="286">
        <f t="shared" si="6"/>
        <v>0</v>
      </c>
      <c r="T18" s="286">
        <f>IF(COUNTIF(_MSSB!$E$2:$E$6,'@MSSB'!N18) = 1,1,J18)</f>
        <v>0</v>
      </c>
      <c r="U18" s="286">
        <f>IF(COUNTIF(_MSSB!$E$2:$E$6,'@MSSB'!N18) = 1,"IP65",K18)</f>
        <v>0</v>
      </c>
      <c r="V18" s="286">
        <f t="shared" si="7"/>
        <v>0</v>
      </c>
      <c r="W18" s="286">
        <f>IF(COUNTIF(_MSSB!$E$2:$E$6,'@MSSB'!N18) = 1,"MS3100",M18)</f>
        <v>0</v>
      </c>
      <c r="X18" s="286">
        <f t="shared" si="8"/>
        <v>0</v>
      </c>
      <c r="Y18" s="286">
        <f>IF(COUNTIF(_MSSB!$E$2:$E$6,'@MSSB'!N18) = 1,"N/A",O18)</f>
        <v>0</v>
      </c>
      <c r="Z18" s="114" t="str">
        <f>IF(COUNTIF(_MSSB!$E$2:$E$6,'@MSSB'!N18) = 1,_xlfn.CONCAT(X18, "mm Enclosure"),_xlfn.CONCAT(X18, " Pole MSSB"))</f>
        <v>0 Pole MSSB</v>
      </c>
      <c r="AA18" s="114" t="str">
        <f>_xlfn.CONCAT(AD18," - Electrical services for ",S18, " (", VLOOKUP(S18,[2]Backend!C:D,2,FALSE), ") ",Z18," (Form ",T18, "-", U18, " Rated)
")</f>
        <v xml:space="preserve">0 - Electrical services for 0 (Zero) 0 Pole MSSB (Form 0-0 Rated)
</v>
      </c>
      <c r="AB18"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8" s="426" t="str">
        <f t="shared" si="0"/>
        <v/>
      </c>
      <c r="AD18" s="114">
        <f t="shared" si="10"/>
        <v>0</v>
      </c>
    </row>
    <row r="19" spans="1:30" x14ac:dyDescent="0.4">
      <c r="A19" s="424" t="str">
        <f t="shared" si="1"/>
        <v>INVALID</v>
      </c>
      <c r="B19" s="114" t="str">
        <f t="shared" si="2"/>
        <v>MSSB 18</v>
      </c>
      <c r="C19" s="425" t="e">
        <f t="shared" si="3"/>
        <v>#N/A</v>
      </c>
      <c r="D19" s="114" t="e">
        <f t="shared" si="4"/>
        <v>#N/A</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R19" s="286">
        <f t="shared" si="5"/>
        <v>0</v>
      </c>
      <c r="S19" s="286">
        <f t="shared" si="6"/>
        <v>0</v>
      </c>
      <c r="T19" s="286">
        <f>IF(COUNTIF(_MSSB!$E$2:$E$6,'@MSSB'!N19) = 1,1,J19)</f>
        <v>0</v>
      </c>
      <c r="U19" s="286">
        <f>IF(COUNTIF(_MSSB!$E$2:$E$6,'@MSSB'!N19) = 1,"IP65",K19)</f>
        <v>0</v>
      </c>
      <c r="V19" s="286">
        <f t="shared" si="7"/>
        <v>0</v>
      </c>
      <c r="W19" s="286">
        <f>IF(COUNTIF(_MSSB!$E$2:$E$6,'@MSSB'!N19) = 1,"MS3100",M19)</f>
        <v>0</v>
      </c>
      <c r="X19" s="286">
        <f t="shared" si="8"/>
        <v>0</v>
      </c>
      <c r="Y19" s="286">
        <f>IF(COUNTIF(_MSSB!$E$2:$E$6,'@MSSB'!N19) = 1,"N/A",O19)</f>
        <v>0</v>
      </c>
      <c r="Z19" s="114" t="str">
        <f>IF(COUNTIF(_MSSB!$E$2:$E$6,'@MSSB'!N19) = 1,_xlfn.CONCAT(X19, "mm Enclosure"),_xlfn.CONCAT(X19, " Pole MSSB"))</f>
        <v>0 Pole MSSB</v>
      </c>
      <c r="AA19" s="114" t="str">
        <f>_xlfn.CONCAT(AD19," - Electrical services for ",S19, " (", VLOOKUP(S19,[2]Backend!C:D,2,FALSE), ") ",Z19," (Form ",T19, "-", U19, " Rated)
")</f>
        <v xml:space="preserve">0 - Electrical services for 0 (Zero) 0 Pole MSSB (Form 0-0 Rated)
</v>
      </c>
      <c r="AB19"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19" s="426" t="str">
        <f t="shared" si="0"/>
        <v/>
      </c>
      <c r="AD19" s="114">
        <f t="shared" si="10"/>
        <v>0</v>
      </c>
    </row>
    <row r="20" spans="1:30" x14ac:dyDescent="0.4">
      <c r="A20" s="424" t="str">
        <f t="shared" si="1"/>
        <v>INVALID</v>
      </c>
      <c r="B20" s="114" t="str">
        <f t="shared" si="2"/>
        <v>MSSB 19</v>
      </c>
      <c r="C20" s="425" t="e">
        <f t="shared" si="3"/>
        <v>#N/A</v>
      </c>
      <c r="D20" s="114" t="e">
        <f t="shared" si="4"/>
        <v>#N/A</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R20" s="286">
        <f t="shared" si="5"/>
        <v>0</v>
      </c>
      <c r="S20" s="286">
        <f t="shared" si="6"/>
        <v>0</v>
      </c>
      <c r="T20" s="286">
        <f>IF(COUNTIF(_MSSB!$E$2:$E$6,'@MSSB'!N20) = 1,1,J20)</f>
        <v>0</v>
      </c>
      <c r="U20" s="286">
        <f>IF(COUNTIF(_MSSB!$E$2:$E$6,'@MSSB'!N20) = 1,"IP65",K20)</f>
        <v>0</v>
      </c>
      <c r="V20" s="286">
        <f t="shared" si="7"/>
        <v>0</v>
      </c>
      <c r="W20" s="286">
        <f>IF(COUNTIF(_MSSB!$E$2:$E$6,'@MSSB'!N20) = 1,"MS3100",M20)</f>
        <v>0</v>
      </c>
      <c r="X20" s="286">
        <f t="shared" si="8"/>
        <v>0</v>
      </c>
      <c r="Y20" s="286">
        <f>IF(COUNTIF(_MSSB!$E$2:$E$6,'@MSSB'!N20) = 1,"N/A",O20)</f>
        <v>0</v>
      </c>
      <c r="Z20" s="114" t="str">
        <f>IF(COUNTIF(_MSSB!$E$2:$E$6,'@MSSB'!N20) = 1,_xlfn.CONCAT(X20, "mm Enclosure"),_xlfn.CONCAT(X20, " Pole MSSB"))</f>
        <v>0 Pole MSSB</v>
      </c>
      <c r="AA20" s="114" t="str">
        <f>_xlfn.CONCAT(AD20," - Electrical services for ",S20, " (", VLOOKUP(S20,[2]Backend!C:D,2,FALSE), ") ",Z20," (Form ",T20, "-", U20, " Rated)
")</f>
        <v xml:space="preserve">0 - Electrical services for 0 (Zero) 0 Pole MSSB (Form 0-0 Rated)
</v>
      </c>
      <c r="AB20"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20" s="426" t="str">
        <f t="shared" si="0"/>
        <v/>
      </c>
      <c r="AD20" s="114">
        <f t="shared" si="10"/>
        <v>0</v>
      </c>
    </row>
    <row r="21" spans="1:30" x14ac:dyDescent="0.4">
      <c r="A21" s="424" t="str">
        <f t="shared" si="1"/>
        <v>INVALID</v>
      </c>
      <c r="B21" s="114" t="str">
        <f t="shared" si="2"/>
        <v>MSSB 20</v>
      </c>
      <c r="C21" s="425" t="e">
        <f t="shared" si="3"/>
        <v>#N/A</v>
      </c>
      <c r="D21" s="114" t="e">
        <f t="shared" si="4"/>
        <v>#N/A</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R21" s="286">
        <f t="shared" si="5"/>
        <v>0</v>
      </c>
      <c r="S21" s="286">
        <f t="shared" si="6"/>
        <v>0</v>
      </c>
      <c r="T21" s="286">
        <f>IF(COUNTIF(_MSSB!$E$2:$E$6,'@MSSB'!N21) = 1,1,J21)</f>
        <v>0</v>
      </c>
      <c r="U21" s="286">
        <f>IF(COUNTIF(_MSSB!$E$2:$E$6,'@MSSB'!N21) = 1,"IP65",K21)</f>
        <v>0</v>
      </c>
      <c r="V21" s="286">
        <f t="shared" si="7"/>
        <v>0</v>
      </c>
      <c r="W21" s="286">
        <f>IF(COUNTIF(_MSSB!$E$2:$E$6,'@MSSB'!N21) = 1,"MS3100",M21)</f>
        <v>0</v>
      </c>
      <c r="X21" s="286">
        <f t="shared" si="8"/>
        <v>0</v>
      </c>
      <c r="Y21" s="286">
        <f>IF(COUNTIF(_MSSB!$E$2:$E$6,'@MSSB'!N21) = 1,"N/A",O21)</f>
        <v>0</v>
      </c>
      <c r="Z21" s="114" t="str">
        <f>IF(COUNTIF(_MSSB!$E$2:$E$6,'@MSSB'!N21) = 1,_xlfn.CONCAT(X21, "mm Enclosure"),_xlfn.CONCAT(X21, " Pole MSSB"))</f>
        <v>0 Pole MSSB</v>
      </c>
      <c r="AA21" s="114" t="str">
        <f>_xlfn.CONCAT(AD21," - Electrical services for ",S21, " (", VLOOKUP(S21,[2]Backend!C:D,2,FALSE), ") ",Z21," (Form ",T21, "-", U21, " Rated)
")</f>
        <v xml:space="preserve">0 - Electrical services for 0 (Zero) 0 Pole MSSB (Form 0-0 Rated)
</v>
      </c>
      <c r="AB21"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21" s="426" t="str">
        <f t="shared" si="0"/>
        <v/>
      </c>
      <c r="AD21" s="114">
        <f t="shared" si="10"/>
        <v>0</v>
      </c>
    </row>
    <row r="22" spans="1:30" x14ac:dyDescent="0.4">
      <c r="A22" s="424" t="str">
        <f t="shared" si="1"/>
        <v>INVALID</v>
      </c>
      <c r="B22" s="114" t="str">
        <f t="shared" si="2"/>
        <v>MSSB 21</v>
      </c>
      <c r="C22" s="425" t="e">
        <f t="shared" si="3"/>
        <v>#N/A</v>
      </c>
      <c r="D22" s="114" t="e">
        <f t="shared" si="4"/>
        <v>#N/A</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R22" s="286">
        <f t="shared" si="5"/>
        <v>0</v>
      </c>
      <c r="S22" s="286">
        <f t="shared" si="6"/>
        <v>0</v>
      </c>
      <c r="T22" s="286">
        <f>IF(COUNTIF(_MSSB!$E$2:$E$6,'@MSSB'!N22) = 1,1,J22)</f>
        <v>0</v>
      </c>
      <c r="U22" s="286">
        <f>IF(COUNTIF(_MSSB!$E$2:$E$6,'@MSSB'!N22) = 1,"IP65",K22)</f>
        <v>0</v>
      </c>
      <c r="V22" s="286">
        <f t="shared" si="7"/>
        <v>0</v>
      </c>
      <c r="W22" s="286">
        <f>IF(COUNTIF(_MSSB!$E$2:$E$6,'@MSSB'!N22) = 1,"MS3100",M22)</f>
        <v>0</v>
      </c>
      <c r="X22" s="286">
        <f t="shared" si="8"/>
        <v>0</v>
      </c>
      <c r="Y22" s="286">
        <f>IF(COUNTIF(_MSSB!$E$2:$E$6,'@MSSB'!N22) = 1,"N/A",O22)</f>
        <v>0</v>
      </c>
      <c r="Z22" s="114" t="str">
        <f>IF(COUNTIF(_MSSB!$E$2:$E$6,'@MSSB'!N22) = 1,_xlfn.CONCAT(X22, "mm Enclosure"),_xlfn.CONCAT(X22, " Pole MSSB"))</f>
        <v>0 Pole MSSB</v>
      </c>
      <c r="AA22" s="114" t="str">
        <f>_xlfn.CONCAT(AD22," - Electrical services for ",S22, " (", VLOOKUP(S22,[2]Backend!C:D,2,FALSE), ") ",Z22," (Form ",T22, "-", U22, " Rated)
")</f>
        <v xml:space="preserve">0 - Electrical services for 0 (Zero) 0 Pole MSSB (Form 0-0 Rated)
</v>
      </c>
      <c r="AB22" s="114" t="str">
        <f t="shared" si="9"/>
        <v xml:space="preserve">        0.1 - This includes supply and install of Main switch (0 Amp), contactors circuit breakers busbar and wiring trefolyte labelling miscellaneous items testing escutcheon plate (to retain IP rating for mounting of lights and switches), inside powder coated enclosure.
        0.2 - Please note: MSSB includes other components listed under each system type.</v>
      </c>
      <c r="AC22" s="426" t="str">
        <f t="shared" si="0"/>
        <v/>
      </c>
      <c r="AD22" s="114">
        <f t="shared" si="10"/>
        <v>0</v>
      </c>
    </row>
    <row r="23" spans="1:30" x14ac:dyDescent="0.4">
      <c r="Y23" s="286"/>
    </row>
    <row r="24" spans="1:30" x14ac:dyDescent="0.4">
      <c r="Y24" s="286"/>
    </row>
  </sheetData>
  <conditionalFormatting sqref="A2:A22">
    <cfRule type="cellIs" dxfId="116" priority="2" operator="equal">
      <formula>"INVALID"</formula>
    </cfRule>
    <cfRule type="cellIs" dxfId="115" priority="3" operator="equal">
      <formula>"VALID"</formula>
    </cfRule>
  </conditionalFormatting>
  <conditionalFormatting sqref="J2:O22">
    <cfRule type="cellIs" dxfId="114"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N2:N22</xm:sqref>
        </x14:dataValidation>
        <x14:dataValidation type="list" allowBlank="1" showInputMessage="1" showErrorMessage="1" promptTitle="IP Rating" xr:uid="{83DC48F9-8F26-4B1A-9911-83A4C179CBF4}">
          <x14:formula1>
            <xm:f>_MSSB!$B$2:$B$4</xm:f>
          </x14:formula1>
          <xm:sqref>K2:K22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O2:O22</xm:sqref>
        </x14:dataValidation>
        <x14:dataValidation type="list" allowBlank="1" showInputMessage="1" showErrorMessage="1" promptTitle="250/400" xr:uid="{D294A5BB-DC48-487B-9B7C-6D703195A156}">
          <x14:formula1>
            <xm:f>_MSSB!$D$2:$D$3</xm:f>
          </x14:formula1>
          <xm:sqref>M2:M22</xm:sqref>
        </x14:dataValidation>
        <x14:dataValidation type="list" allowBlank="1" showInputMessage="1" showErrorMessage="1" promptTitle="Colour" xr:uid="{0D995E05-BA1B-4628-A4FA-680D245E7F1B}">
          <x14:formula1>
            <xm:f>_MSSB!$C$2:$C$3</xm:f>
          </x14:formula1>
          <xm:sqref>L2:L22</xm:sqref>
        </x14:dataValidation>
        <x14:dataValidation type="list" allowBlank="1" showInputMessage="1" showErrorMessage="1" promptTitle="Form" prompt="{1,2,3}" xr:uid="{4A926123-058E-471D-9550-2DC08BECE333}">
          <x14:formula1>
            <xm:f>_MSSB!$A$2:$A$4</xm:f>
          </x14:formula1>
          <xm:sqref>J2:J22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G25"/>
  <sheetViews>
    <sheetView topLeftCell="B1" workbookViewId="0">
      <selection activeCell="D39" sqref="D39"/>
    </sheetView>
  </sheetViews>
  <sheetFormatPr defaultRowHeight="14.6" x14ac:dyDescent="0.4"/>
  <cols>
    <col min="1" max="1" width="7.61328125" style="424" bestFit="1" customWidth="1"/>
    <col min="2" max="2" width="7.3046875" style="114" bestFit="1" customWidth="1"/>
    <col min="3" max="3" width="13.61328125" style="425" bestFit="1" customWidth="1"/>
    <col min="4" max="4" width="6.23046875" style="114" bestFit="1" customWidth="1"/>
    <col min="5" max="5" width="4.07421875" style="114" bestFit="1" customWidth="1"/>
    <col min="6" max="7" width="12.15234375" style="114" customWidth="1"/>
    <col min="8" max="9" width="13.3046875" style="114" customWidth="1"/>
    <col min="10" max="10" width="17.4609375" style="114" customWidth="1"/>
    <col min="11" max="21" width="12.23046875" style="114" customWidth="1"/>
    <col min="22" max="22" width="12.3828125" style="426" customWidth="1"/>
    <col min="23" max="23" width="12.3828125" style="114" customWidth="1"/>
    <col min="24" max="24" width="16" style="114" customWidth="1"/>
    <col min="25" max="25" width="11.61328125" style="114" customWidth="1"/>
    <col min="26" max="31" width="9.23046875" style="114" customWidth="1"/>
    <col min="32" max="32" width="48.4609375" style="114" customWidth="1"/>
    <col min="33" max="33" width="55.15234375" style="114" customWidth="1"/>
    <col min="34" max="39" width="9.23046875" style="114" customWidth="1"/>
    <col min="40" max="16384" width="9.23046875" style="114"/>
  </cols>
  <sheetData>
    <row r="1" spans="1:33" s="299" customFormat="1" ht="29.15" x14ac:dyDescent="0.4">
      <c r="A1" s="427" t="s">
        <v>942</v>
      </c>
      <c r="B1" s="427" t="s">
        <v>943</v>
      </c>
      <c r="C1" s="428" t="s">
        <v>944</v>
      </c>
      <c r="D1" s="427" t="s">
        <v>945</v>
      </c>
      <c r="E1" s="427" t="s">
        <v>852</v>
      </c>
      <c r="F1" s="429" t="s">
        <v>991</v>
      </c>
      <c r="G1" s="429" t="s">
        <v>992</v>
      </c>
      <c r="H1" s="427" t="s">
        <v>947</v>
      </c>
      <c r="I1" s="427" t="s">
        <v>948</v>
      </c>
      <c r="J1" s="429" t="s">
        <v>993</v>
      </c>
      <c r="K1" s="429" t="s">
        <v>677</v>
      </c>
      <c r="L1" s="429" t="s">
        <v>994</v>
      </c>
      <c r="M1" s="429" t="s">
        <v>995</v>
      </c>
      <c r="N1" s="429" t="s">
        <v>996</v>
      </c>
      <c r="O1" s="429" t="s">
        <v>670</v>
      </c>
      <c r="P1" s="429" t="s">
        <v>997</v>
      </c>
      <c r="Q1" s="429" t="s">
        <v>998</v>
      </c>
      <c r="R1" s="429" t="s">
        <v>999</v>
      </c>
      <c r="S1" s="429" t="s">
        <v>1000</v>
      </c>
      <c r="T1" s="429" t="s">
        <v>1001</v>
      </c>
      <c r="U1" s="429" t="s">
        <v>1254</v>
      </c>
      <c r="V1" s="430" t="s">
        <v>494</v>
      </c>
      <c r="W1" s="299">
        <f>MAX('@MSSB'!AD:AD)</f>
        <v>0</v>
      </c>
    </row>
    <row r="2" spans="1:33" x14ac:dyDescent="0.4">
      <c r="A2" s="431" t="str">
        <f>IF(NOT(J2="N/A"),IF(COUNTBLANK(K2:T2)=0,"VALID","INVALID"),"INVALID")</f>
        <v>INVALID</v>
      </c>
      <c r="B2" s="432" t="str">
        <f>_xlfn.CONCAT("Fan ",(ROW()-1))</f>
        <v>Fan 1</v>
      </c>
      <c r="C2" s="433" t="e">
        <f>E2*H2</f>
        <v>#N/A</v>
      </c>
      <c r="D2" s="432">
        <f>IF(ISBLANK(F2),I2*E2,F2*E2)</f>
        <v>0</v>
      </c>
      <c r="E2" s="432"/>
      <c r="F2" s="432"/>
      <c r="G2" s="432"/>
      <c r="H2" s="432" t="e">
        <f>VLOOKUP(K2,_Fan!L:N,2,FALSE)
+VLOOKUP(N2,_Fan!L:N,2,FALSE)
+IF(L2="YES",VLOOKUP(L$1,_Fan!L:N,2,FALSE),0)
+IF(M2="YES",VLOOKUP(M$1,_Fan!L:N,2,FALSE),0)
+IF(O2="YES",VLOOKUP(O$1,_Fan!L:N,2,FALSE),0)
+IF(P2="YES",VLOOKUP(P$1,_Fan!L:N,2,FALSE),0)
+IF(Q2="YES",VLOOKUP(Q$1,_Fan!L:N,2,FALSE),0)
+IF(R2="YES",VLOOKUP(R$1,_Fan!L:N,2,FALSE),0)
+IF(S2="YES",VLOOKUP(S$1,_Fan!L:N,2,FALSE),0)
+IF(T2="YES",VLOOKUP(T$1,_Fan!L:N,2,FALSE),0)
+IF(U2="Yes",VLOOKUP("4mm Cable 3 core and Earth",'Part List'!$A:$G,3,FALSE) + VLOOKUP("7030 2 pair TCAS7302P",'Part List'!$A:$G,3,FALSE),
VLOOKUP("2.5mm Twin and Earth",'Part List'!$A:$G,3,FALSE))*IF(COUNTBLANK(G2)=1, IF(K2="Local",5,20),G2)</f>
        <v>#N/A</v>
      </c>
      <c r="I2" s="432">
        <f>VLOOKUP(K2,_Fan!L:N,3,FALSE)
+IF(U2="Yes",VLOOKUP("4mm Cable 3 core and Earth",'Part List'!$A:$G,5,FALSE) + VLOOKUP("7030 2 pair TCAS7302P",'Part List'!$A:$G,5,FALSE),
VLOOKUP("2.5mm Twin and Earth",'Part List'!$A:$G,5,FALSE))*IF(COUNTBLANK(G2)=1, IF(K2="Local",5,20),G2)</f>
        <v>5</v>
      </c>
      <c r="J2" s="432" t="str">
        <f>IF(COUNTBLANK(K2:T2)=0,_xlfn.CONCAT("F",IF(K2="Local","L","M"),"-",IF(L2="Yes",1,0),IF(M2="Yes",1,0),IF(O2="Yes",1,0),IF(P2="Yes",1,0),IF(Q2="Yes",1,0),IF(R2="Yes",1,0),IF(S2="Yes",1,0),IF(T2="Yes",1,0), IF(N2 = "Interlock", "-I",
IF(N2 = "Interlock with Associated Units", "-IA",
IF(N2 = "Interlock with Lighting Circuit", "-IC",
IF(N2 = "Interlock with Local Switch", "-IS","")))),IF(U2="Yes","-J","")),"")</f>
        <v/>
      </c>
      <c r="K2" s="432" t="s">
        <v>679</v>
      </c>
      <c r="L2" s="432"/>
      <c r="M2" s="432"/>
      <c r="N2" s="432"/>
      <c r="O2" s="432"/>
      <c r="P2" s="432"/>
      <c r="Q2" s="432"/>
      <c r="R2" s="432"/>
      <c r="S2" s="432"/>
      <c r="T2" s="432"/>
      <c r="U2" s="432"/>
      <c r="V2" s="434" t="str">
        <f>IF(A2="VALID",_xlfn.CONCAT(AC2,"
",REPT(" ",8),AD2,"
",REPT(" ",8),AE2,"
",REPT(" ", 8),AF2, "
"),"")</f>
        <v/>
      </c>
      <c r="W2" s="114">
        <f xml:space="preserve"> IF(AND(E2&gt;0,A2="VALID"),W1+1,W1)</f>
        <v>0</v>
      </c>
      <c r="X2" s="114" t="str">
        <f>_xlfn.CONCAT(E2," (",VLOOKUP(E2,[2]Backend!C:D,2,FALSE),")")</f>
        <v xml:space="preserve"> (Zero)</v>
      </c>
      <c r="Y2" s="114" t="str">
        <f>_xlfn.CONCAT(W2," - Electrical power supply and controls to ",X2,IF(U2="Yes"," Jet fan", " fan"))</f>
        <v>0 - Electrical power supply and controls to  (Zero) fan</v>
      </c>
      <c r="Z2" s="114" t="str">
        <f>IF((COUNTIF(L2:T2,"No") &lt; 9)," with: "," ")</f>
        <v xml:space="preserve"> with: </v>
      </c>
      <c r="AA2" s="114" t="str">
        <f>_xlfn.CONCAT(IF(L2 = "Yes",_xlfn.CONCAT($L$1, ", "),""),IF(M2 = "Yes",_xlfn.CONCAT($M$1, ", "),""),IF(O2 = "Yes",_xlfn.CONCAT($O$1, ", "),""),IF(P2 = "Yes",_xlfn.CONCAT($P$1, ", "),""),IF(Q2 = "Yes",_xlfn.CONCAT($Q$1, ", "),""),IF(R2 = "Yes",_xlfn.CONCAT($R$1, ", "),""),IF(S2 = "Yes",_xlfn.CONCAT($S$1, ", "),""),IF(T2 = "Yes",_xlfn.CONCAT($T$1, ", "),""))</f>
        <v/>
      </c>
      <c r="AB2" s="114" t="str">
        <f>_xlfn.CONCAT("from ",K2, " Power Supply")</f>
        <v>from MSSB Power Supply</v>
      </c>
      <c r="AC2" s="114" t="str">
        <f>_xlfn.CONCAT(Y2,Z2,AA2,AB2)</f>
        <v>0 - Electrical power supply and controls to  (Zero) fan with: from MSSB Power Supply</v>
      </c>
      <c r="AD2" s="114" t="str">
        <f>_xlfn.CONCAT(W2,".1 - This includes supply and install of power and controls.")</f>
        <v>0.1 - This includes supply and install of power and controls.</v>
      </c>
      <c r="AE2" s="114" t="str">
        <f>_xlfn.CONCAT(W2,".2 - Power for system includes: ",VLOOKUP(K2,_Fan!L:O,4,FALSE))</f>
        <v xml:space="preserve">0.2 - Power for system includes: CB and cabling to fan from MSSB, and local isolator, </v>
      </c>
      <c r="AF2" s="114" t="e">
        <f t="shared" ref="AF2:AF22" si="0">IF(OR((K2="Local"),NOT(N2="No"),(COUNTIF(L2:T2,"Yes")&gt;0)),_xlfn.CONCAT(W2,".3 - Controls for system includes: ",_xlfn.CONCAT(AG2,IF(K2="Local","controls enclosure.","")),""),"")</f>
        <v>#N/A</v>
      </c>
      <c r="AG2" s="114" t="e">
        <f>_xlfn.CONCAT(IF(L2="Yes",VLOOKUP(L$1,_Fan!L:Z,4,FALSE),""),IF(M2="Yes",VLOOKUP(M$1,_Fan!L:Z,4,FALSE),""),IF(NOT(N2="No"),VLOOKUP(N2,_Fan!L:Z,4,FALSE),""),IF(O2="Yes",VLOOKUP(O$1,_Fan!L:Z,4,FALSE),""),IF(P2="Yes",VLOOKUP(P$1,_Fan!L:Z,4,FALSE),""),IF(Q2="Yes",VLOOKUP(Q$1,_Fan!L:Z,4,FALSE),""),IF(R2="Yes",VLOOKUP(R$1,_Fan!L:Z,4,FALSE),""),IF(S2="Yes",VLOOKUP(S$1,_Fan!L:Z,4,FALSE),""),IF(T2="Yes",VLOOKUP(T$1,_Fan!L:Z,4,FALSE),""))</f>
        <v>#N/A</v>
      </c>
    </row>
    <row r="3" spans="1:33" x14ac:dyDescent="0.4">
      <c r="A3" s="431" t="str">
        <f>IF(NOT(J3="N/A"),IF(COUNTBLANK(K3:T3)=0,"VALID","INVALID"),"INVALID")</f>
        <v>INVALID</v>
      </c>
      <c r="B3" s="432" t="str">
        <f t="shared" ref="B3:B22" si="1">_xlfn.CONCAT("Fan ",(ROW()-1))</f>
        <v>Fan 2</v>
      </c>
      <c r="C3" s="433" t="e">
        <f t="shared" ref="C3:C22" si="2">E3*H3</f>
        <v>#N/A</v>
      </c>
      <c r="D3" s="432">
        <f t="shared" ref="D3:D22" si="3">IF(ISBLANK(F3),I3*E3,F3*E3)</f>
        <v>0</v>
      </c>
      <c r="E3" s="432"/>
      <c r="F3" s="432"/>
      <c r="G3" s="432"/>
      <c r="H3" s="432" t="e">
        <f>VLOOKUP(K3,_Fan!L:N,2,FALSE)
+VLOOKUP(N3,_Fan!L:N,2,FALSE)
+IF(L3="YES",VLOOKUP(L$1,_Fan!L:N,2,FALSE),0)
+IF(M3="YES",VLOOKUP(M$1,_Fan!L:N,2,FALSE),0)
+IF(O3="YES",VLOOKUP(O$1,_Fan!L:N,2,FALSE),0)
+IF(P3="YES",VLOOKUP(P$1,_Fan!L:N,2,FALSE),0)
+IF(Q3="YES",VLOOKUP(Q$1,_Fan!L:N,2,FALSE),0)
+IF(R3="YES",VLOOKUP(R$1,_Fan!L:N,2,FALSE),0)
+IF(S3="YES",VLOOKUP(S$1,_Fan!L:N,2,FALSE),0)
+IF(T3="YES",VLOOKUP(T$1,_Fan!L:N,2,FALSE),0)
+IF(U3="Yes",VLOOKUP("4mm Cable 3 core and Earth",'Part List'!$A:$G,3,FALSE) + VLOOKUP("7030 2 pair TCAS7302P",'Part List'!$A:$G,3,FALSE),
VLOOKUP("2.5mm Twin and Earth",'Part List'!$A:$G,3,FALSE))*IF(COUNTBLANK(G3)=1, IF(K3="Local",5,20),G3)</f>
        <v>#N/A</v>
      </c>
      <c r="I3" s="432">
        <f>VLOOKUP(K3,_Fan!L:N,3,FALSE)
+IF(U3="Yes",VLOOKUP("4mm Cable 3 core and Earth",'Part List'!$A:$G,5,FALSE) + VLOOKUP("7030 2 pair TCAS7302P",'Part List'!$A:$G,5,FALSE),
VLOOKUP("2.5mm Twin and Earth",'Part List'!$A:$G,5,FALSE))*IF(COUNTBLANK(G3)=1, IF(K3="Local",5,20),G3)</f>
        <v>5</v>
      </c>
      <c r="J3" s="432" t="str">
        <f t="shared" ref="J3:J22" si="4">IF(COUNTBLANK(K3:T3)=0,_xlfn.CONCAT("F",IF(K3="Local","L","M"),"-",IF(L3="Yes",1,0),IF(M3="Yes",1,0),IF(O3="Yes",1,0),IF(P3="Yes",1,0),IF(Q3="Yes",1,0),IF(R3="Yes",1,0),IF(S3="Yes",1,0),IF(T3="Yes",1,0), IF(N3 = "Interlock", "-I",
IF(N3 = "Interlock with Associated Units", "-IA",
IF(N3 = "Interlock with Lighting Circuit", "-IC",
IF(N3 = "Interlock with Local Switch", "-IS","")))),IF(U3="Yes","-J","")),"")</f>
        <v/>
      </c>
      <c r="K3" s="432" t="s">
        <v>679</v>
      </c>
      <c r="L3" s="432"/>
      <c r="M3" s="432"/>
      <c r="N3" s="432"/>
      <c r="O3" s="432"/>
      <c r="P3" s="432"/>
      <c r="Q3" s="432"/>
      <c r="R3" s="432"/>
      <c r="S3" s="432"/>
      <c r="T3" s="432"/>
      <c r="U3" s="432"/>
      <c r="V3" s="434" t="str">
        <f t="shared" ref="V3:V22" si="5">IF(A3="VALID",_xlfn.CONCAT(AC3,"
",REPT(" ",8),AD3,"
",REPT(" ",8),AE3,"
",REPT(" ", 8),AF3, "
"),"")</f>
        <v/>
      </c>
      <c r="W3" s="114">
        <f t="shared" ref="W3:W22" si="6" xml:space="preserve"> IF(AND(E3&gt;0,A3="VALID"),W2+1,W2)</f>
        <v>0</v>
      </c>
      <c r="X3" s="114" t="str">
        <f>_xlfn.CONCAT(E3," (",VLOOKUP(E3,[2]Backend!C:D,2,FALSE),")")</f>
        <v xml:space="preserve"> (Zero)</v>
      </c>
      <c r="Y3" s="114" t="str">
        <f t="shared" ref="Y3:Y22" si="7">_xlfn.CONCAT(W3," - Electrical power supply and controls to ",X3," fan")</f>
        <v>0 - Electrical power supply and controls to  (Zero) fan</v>
      </c>
      <c r="Z3" s="114" t="str">
        <f t="shared" ref="Z3:Z22" si="8">IF((COUNTIF(L3:T3,"No") &lt; 9)," with: "," ")</f>
        <v xml:space="preserve"> with: </v>
      </c>
      <c r="AA3" s="114" t="str">
        <f t="shared" ref="AA3:AA22" si="9">_xlfn.CONCAT(IF(L3 = "Yes",_xlfn.CONCAT($L$1, ", "),""),IF(M3 = "Yes",_xlfn.CONCAT($M$1, ", "),""),IF(O3 = "Yes",_xlfn.CONCAT($O$1, ", "),""),IF(P3 = "Yes",_xlfn.CONCAT($P$1, ", "),""),IF(Q3 = "Yes",_xlfn.CONCAT($Q$1, ", "),""),IF(R3 = "Yes",_xlfn.CONCAT($R$1, ", "),""),IF(S3 = "Yes",_xlfn.CONCAT($S$1, ", "),""),IF(T3 = "Yes",_xlfn.CONCAT($T$1, ", "),""))</f>
        <v/>
      </c>
      <c r="AB3" s="114" t="str">
        <f t="shared" ref="AB3:AB22" si="10">_xlfn.CONCAT("from ",K3, " Power Supply")</f>
        <v>from MSSB Power Supply</v>
      </c>
      <c r="AC3" s="114" t="str">
        <f>_xlfn.CONCAT(Y3,Z3,AA3,AB3)</f>
        <v>0 - Electrical power supply and controls to  (Zero) fan with: from MSSB Power Supply</v>
      </c>
      <c r="AD3" s="114" t="str">
        <f t="shared" ref="AD3:AD22" si="11">_xlfn.CONCAT(W3,".1 - This includes supply and install of power and controls.")</f>
        <v>0.1 - This includes supply and install of power and controls.</v>
      </c>
      <c r="AE3" s="114" t="str">
        <f>_xlfn.CONCAT(W3,".2 - Power for system includes: ",VLOOKUP(K3,_Fan!L:O,4,FALSE))</f>
        <v xml:space="preserve">0.2 - Power for system includes: CB and cabling to fan from MSSB, and local isolator, </v>
      </c>
      <c r="AF3" s="114" t="e">
        <f t="shared" si="0"/>
        <v>#N/A</v>
      </c>
      <c r="AG3" s="114" t="e">
        <f>_xlfn.CONCAT(IF(L3="Yes",VLOOKUP(L$1,_Fan!L:Z,4,FALSE),""),IF(M3="Yes",VLOOKUP(M$1,_Fan!L:Z,4,FALSE),""),IF(NOT(N3="No"),VLOOKUP(N3,_Fan!L:Z,4,FALSE),""),IF(O3="Yes",VLOOKUP(O$1,_Fan!L:Z,4,FALSE),""),IF(P3="Yes",VLOOKUP(P$1,_Fan!L:Z,4,FALSE),""),IF(Q3="Yes",VLOOKUP(Q$1,_Fan!L:Z,4,FALSE),""),IF(R3="Yes",VLOOKUP(R$1,_Fan!L:Z,4,FALSE),""),IF(S3="Yes",VLOOKUP(S$1,_Fan!L:Z,4,FALSE),""),IF(T3="Yes",VLOOKUP(T$1,_Fan!L:Z,4,FALSE),""))</f>
        <v>#N/A</v>
      </c>
    </row>
    <row r="4" spans="1:33" x14ac:dyDescent="0.4">
      <c r="A4" s="431" t="str">
        <f t="shared" ref="A4:A22" si="12">IF(NOT(J4="N/A"),IF(COUNTBLANK(K4:T4)=0,"VALID","INVALID"),"INVALID")</f>
        <v>INVALID</v>
      </c>
      <c r="B4" s="432" t="str">
        <f t="shared" si="1"/>
        <v>Fan 3</v>
      </c>
      <c r="C4" s="433" t="e">
        <f t="shared" si="2"/>
        <v>#N/A</v>
      </c>
      <c r="D4" s="432">
        <f t="shared" si="3"/>
        <v>0</v>
      </c>
      <c r="E4" s="432"/>
      <c r="F4" s="432"/>
      <c r="G4" s="432"/>
      <c r="H4" s="432" t="e">
        <f>VLOOKUP(K4,_Fan!L:N,2,FALSE)
+VLOOKUP(N4,_Fan!L:N,2,FALSE)
+IF(L4="YES",VLOOKUP(L$1,_Fan!L:N,2,FALSE),0)
+IF(M4="YES",VLOOKUP(M$1,_Fan!L:N,2,FALSE),0)
+IF(O4="YES",VLOOKUP(O$1,_Fan!L:N,2,FALSE),0)
+IF(P4="YES",VLOOKUP(P$1,_Fan!L:N,2,FALSE),0)
+IF(Q4="YES",VLOOKUP(Q$1,_Fan!L:N,2,FALSE),0)
+IF(R4="YES",VLOOKUP(R$1,_Fan!L:N,2,FALSE),0)
+IF(S4="YES",VLOOKUP(S$1,_Fan!L:N,2,FALSE),0)
+IF(T4="YES",VLOOKUP(T$1,_Fan!L:N,2,FALSE),0)
+IF(U4="Yes",VLOOKUP("4mm Cable 3 core and Earth",'Part List'!$A:$G,3,FALSE) + VLOOKUP("7030 2 pair TCAS7302P",'Part List'!$A:$G,3,FALSE),
VLOOKUP("2.5mm Twin and Earth",'Part List'!$A:$G,3,FALSE))*IF(COUNTBLANK(G4)=1, IF(K4="Local",5,20),G4)</f>
        <v>#N/A</v>
      </c>
      <c r="I4" s="432">
        <f>VLOOKUP(K4,_Fan!L:N,3,FALSE)
+IF(U4="Yes",VLOOKUP("4mm Cable 3 core and Earth",'Part List'!$A:$G,5,FALSE) + VLOOKUP("7030 2 pair TCAS7302P",'Part List'!$A:$G,5,FALSE),
VLOOKUP("2.5mm Twin and Earth",'Part List'!$A:$G,5,FALSE))*IF(COUNTBLANK(G4)=1, IF(K4="Local",5,20),G4)</f>
        <v>5</v>
      </c>
      <c r="J4" s="432" t="str">
        <f t="shared" si="4"/>
        <v/>
      </c>
      <c r="K4" s="432" t="s">
        <v>679</v>
      </c>
      <c r="L4" s="432"/>
      <c r="M4" s="432"/>
      <c r="N4" s="432"/>
      <c r="O4" s="432"/>
      <c r="P4" s="432"/>
      <c r="Q4" s="432"/>
      <c r="R4" s="432"/>
      <c r="S4" s="432"/>
      <c r="T4" s="432"/>
      <c r="U4" s="432"/>
      <c r="V4" s="434" t="str">
        <f t="shared" si="5"/>
        <v/>
      </c>
      <c r="W4" s="114">
        <f t="shared" si="6"/>
        <v>0</v>
      </c>
      <c r="X4" s="114" t="str">
        <f>_xlfn.CONCAT(E4," (",VLOOKUP(E4,[2]Backend!C:D,2,FALSE),")")</f>
        <v xml:space="preserve"> (Zero)</v>
      </c>
      <c r="Y4" s="114" t="str">
        <f t="shared" si="7"/>
        <v>0 - Electrical power supply and controls to  (Zero) fan</v>
      </c>
      <c r="Z4" s="114" t="str">
        <f t="shared" si="8"/>
        <v xml:space="preserve"> with: </v>
      </c>
      <c r="AA4" s="114" t="str">
        <f t="shared" si="9"/>
        <v/>
      </c>
      <c r="AB4" s="114" t="str">
        <f t="shared" si="10"/>
        <v>from MSSB Power Supply</v>
      </c>
      <c r="AC4" s="114" t="str">
        <f>_xlfn.CONCAT(Y4,Z4,AA4,AB4)</f>
        <v>0 - Electrical power supply and controls to  (Zero) fan with: from MSSB Power Supply</v>
      </c>
      <c r="AD4" s="114" t="str">
        <f t="shared" si="11"/>
        <v>0.1 - This includes supply and install of power and controls.</v>
      </c>
      <c r="AE4" s="114" t="str">
        <f>_xlfn.CONCAT(W4,".2 - Power for system includes: ",VLOOKUP(K4,_Fan!L:O,4,FALSE))</f>
        <v xml:space="preserve">0.2 - Power for system includes: CB and cabling to fan from MSSB, and local isolator, </v>
      </c>
      <c r="AF4" s="114" t="e">
        <f t="shared" si="0"/>
        <v>#N/A</v>
      </c>
      <c r="AG4" s="114" t="e">
        <f>_xlfn.CONCAT(IF(L4="Yes",VLOOKUP(L$1,_Fan!L:Z,4,FALSE),""),IF(M4="Yes",VLOOKUP(M$1,_Fan!L:Z,4,FALSE),""),IF(NOT(N4="No"),VLOOKUP(N4,_Fan!L:Z,4,FALSE),""),IF(O4="Yes",VLOOKUP(O$1,_Fan!L:Z,4,FALSE),""),IF(P4="Yes",VLOOKUP(P$1,_Fan!L:Z,4,FALSE),""),IF(Q4="Yes",VLOOKUP(Q$1,_Fan!L:Z,4,FALSE),""),IF(R4="Yes",VLOOKUP(R$1,_Fan!L:Z,4,FALSE),""),IF(S4="Yes",VLOOKUP(S$1,_Fan!L:Z,4,FALSE),""),IF(T4="Yes",VLOOKUP(T$1,_Fan!L:Z,4,FALSE),""))</f>
        <v>#N/A</v>
      </c>
    </row>
    <row r="5" spans="1:33" x14ac:dyDescent="0.4">
      <c r="A5" s="431" t="str">
        <f t="shared" si="12"/>
        <v>INVALID</v>
      </c>
      <c r="B5" s="432" t="str">
        <f t="shared" si="1"/>
        <v>Fan 4</v>
      </c>
      <c r="C5" s="433" t="e">
        <f t="shared" si="2"/>
        <v>#N/A</v>
      </c>
      <c r="D5" s="432">
        <f t="shared" si="3"/>
        <v>0</v>
      </c>
      <c r="E5" s="432"/>
      <c r="F5" s="432"/>
      <c r="G5" s="432"/>
      <c r="H5" s="432" t="e">
        <f>VLOOKUP(K5,_Fan!L:N,2,FALSE)
+VLOOKUP(N5,_Fan!L:N,2,FALSE)
+IF(L5="YES",VLOOKUP(L$1,_Fan!L:N,2,FALSE),0)
+IF(M5="YES",VLOOKUP(M$1,_Fan!L:N,2,FALSE),0)
+IF(O5="YES",VLOOKUP(O$1,_Fan!L:N,2,FALSE),0)
+IF(P5="YES",VLOOKUP(P$1,_Fan!L:N,2,FALSE),0)
+IF(Q5="YES",VLOOKUP(Q$1,_Fan!L:N,2,FALSE),0)
+IF(R5="YES",VLOOKUP(R$1,_Fan!L:N,2,FALSE),0)
+IF(S5="YES",VLOOKUP(S$1,_Fan!L:N,2,FALSE),0)
+IF(T5="YES",VLOOKUP(T$1,_Fan!L:N,2,FALSE),0)
+IF(U5="Yes",VLOOKUP("4mm Cable 3 core and Earth",'Part List'!$A:$G,3,FALSE) + VLOOKUP("7030 2 pair TCAS7302P",'Part List'!$A:$G,3,FALSE),
VLOOKUP("2.5mm Twin and Earth",'Part List'!$A:$G,3,FALSE))*IF(COUNTBLANK(G5)=1, IF(K5="Local",5,20),G5)</f>
        <v>#N/A</v>
      </c>
      <c r="I5" s="432">
        <f>VLOOKUP(K5,_Fan!L:N,3,FALSE)
+IF(U5="Yes",VLOOKUP("4mm Cable 3 core and Earth",'Part List'!$A:$G,5,FALSE) + VLOOKUP("7030 2 pair TCAS7302P",'Part List'!$A:$G,5,FALSE),
VLOOKUP("2.5mm Twin and Earth",'Part List'!$A:$G,5,FALSE))*IF(COUNTBLANK(G5)=1, IF(K5="Local",5,20),G5)</f>
        <v>5</v>
      </c>
      <c r="J5" s="432" t="str">
        <f t="shared" si="4"/>
        <v/>
      </c>
      <c r="K5" s="432" t="s">
        <v>679</v>
      </c>
      <c r="L5" s="432"/>
      <c r="M5" s="432"/>
      <c r="N5" s="432"/>
      <c r="O5" s="432"/>
      <c r="P5" s="432"/>
      <c r="Q5" s="432"/>
      <c r="R5" s="432"/>
      <c r="S5" s="432"/>
      <c r="T5" s="432"/>
      <c r="U5" s="432"/>
      <c r="V5" s="434" t="str">
        <f t="shared" si="5"/>
        <v/>
      </c>
      <c r="W5" s="114">
        <f t="shared" si="6"/>
        <v>0</v>
      </c>
      <c r="X5" s="114" t="str">
        <f>_xlfn.CONCAT(E5," (",VLOOKUP(E5,[2]Backend!C:D,2,FALSE),")")</f>
        <v xml:space="preserve"> (Zero)</v>
      </c>
      <c r="Y5" s="114" t="str">
        <f t="shared" si="7"/>
        <v>0 - Electrical power supply and controls to  (Zero) fan</v>
      </c>
      <c r="Z5" s="114" t="str">
        <f t="shared" si="8"/>
        <v xml:space="preserve"> with: </v>
      </c>
      <c r="AA5" s="114" t="str">
        <f t="shared" si="9"/>
        <v/>
      </c>
      <c r="AB5" s="114" t="str">
        <f t="shared" si="10"/>
        <v>from MSSB Power Supply</v>
      </c>
      <c r="AC5" s="114" t="str">
        <f>_xlfn.CONCAT(Y5,Z5,AA5,AB5)</f>
        <v>0 - Electrical power supply and controls to  (Zero) fan with: from MSSB Power Supply</v>
      </c>
      <c r="AD5" s="114" t="str">
        <f t="shared" si="11"/>
        <v>0.1 - This includes supply and install of power and controls.</v>
      </c>
      <c r="AE5" s="114" t="str">
        <f>_xlfn.CONCAT(W5,".2 - Power for system includes: ",VLOOKUP(K5,_Fan!L:O,4,FALSE))</f>
        <v xml:space="preserve">0.2 - Power for system includes: CB and cabling to fan from MSSB, and local isolator, </v>
      </c>
      <c r="AF5" s="114" t="e">
        <f t="shared" si="0"/>
        <v>#N/A</v>
      </c>
      <c r="AG5" s="114" t="e">
        <f>_xlfn.CONCAT(IF(L5="Yes",VLOOKUP(L$1,_Fan!L:Z,4,FALSE),""),IF(M5="Yes",VLOOKUP(M$1,_Fan!L:Z,4,FALSE),""),IF(NOT(N5="No"),VLOOKUP(N5,_Fan!L:Z,4,FALSE),""),IF(O5="Yes",VLOOKUP(O$1,_Fan!L:Z,4,FALSE),""),IF(P5="Yes",VLOOKUP(P$1,_Fan!L:Z,4,FALSE),""),IF(Q5="Yes",VLOOKUP(Q$1,_Fan!L:Z,4,FALSE),""),IF(R5="Yes",VLOOKUP(R$1,_Fan!L:Z,4,FALSE),""),IF(S5="Yes",VLOOKUP(S$1,_Fan!L:Z,4,FALSE),""),IF(T5="Yes",VLOOKUP(T$1,_Fan!L:Z,4,FALSE),""))</f>
        <v>#N/A</v>
      </c>
    </row>
    <row r="6" spans="1:33" x14ac:dyDescent="0.4">
      <c r="A6" s="431" t="str">
        <f t="shared" si="12"/>
        <v>INVALID</v>
      </c>
      <c r="B6" s="432" t="str">
        <f t="shared" si="1"/>
        <v>Fan 5</v>
      </c>
      <c r="C6" s="433" t="e">
        <f t="shared" si="2"/>
        <v>#N/A</v>
      </c>
      <c r="D6" s="432">
        <f t="shared" si="3"/>
        <v>0</v>
      </c>
      <c r="E6" s="432"/>
      <c r="F6" s="432"/>
      <c r="G6" s="432"/>
      <c r="H6" s="432" t="e">
        <f>VLOOKUP(K6,_Fan!L:N,2,FALSE)
+VLOOKUP(N6,_Fan!L:N,2,FALSE)
+IF(L6="YES",VLOOKUP(L$1,_Fan!L:N,2,FALSE),0)
+IF(M6="YES",VLOOKUP(M$1,_Fan!L:N,2,FALSE),0)
+IF(O6="YES",VLOOKUP(O$1,_Fan!L:N,2,FALSE),0)
+IF(P6="YES",VLOOKUP(P$1,_Fan!L:N,2,FALSE),0)
+IF(Q6="YES",VLOOKUP(Q$1,_Fan!L:N,2,FALSE),0)
+IF(R6="YES",VLOOKUP(R$1,_Fan!L:N,2,FALSE),0)
+IF(S6="YES",VLOOKUP(S$1,_Fan!L:N,2,FALSE),0)
+IF(T6="YES",VLOOKUP(T$1,_Fan!L:N,2,FALSE),0)
+IF(U6="Yes",VLOOKUP("4mm Cable 3 core and Earth",'Part List'!$A:$G,3,FALSE) + VLOOKUP("7030 2 pair TCAS7302P",'Part List'!$A:$G,3,FALSE),
VLOOKUP("2.5mm Twin and Earth",'Part List'!$A:$G,3,FALSE))*IF(COUNTBLANK(G6)=1, IF(K6="Local",5,20),G6)</f>
        <v>#N/A</v>
      </c>
      <c r="I6" s="432">
        <f>VLOOKUP(K6,_Fan!L:N,3,FALSE)
+IF(U6="Yes",VLOOKUP("4mm Cable 3 core and Earth",'Part List'!$A:$G,5,FALSE) + VLOOKUP("7030 2 pair TCAS7302P",'Part List'!$A:$G,5,FALSE),
VLOOKUP("2.5mm Twin and Earth",'Part List'!$A:$G,5,FALSE))*IF(COUNTBLANK(G6)=1, IF(K6="Local",5,20),G6)</f>
        <v>5</v>
      </c>
      <c r="J6" s="432" t="str">
        <f t="shared" si="4"/>
        <v/>
      </c>
      <c r="K6" s="432" t="s">
        <v>679</v>
      </c>
      <c r="L6" s="432"/>
      <c r="M6" s="432"/>
      <c r="N6" s="432"/>
      <c r="O6" s="432"/>
      <c r="P6" s="432"/>
      <c r="Q6" s="432"/>
      <c r="R6" s="432"/>
      <c r="S6" s="432"/>
      <c r="T6" s="432"/>
      <c r="U6" s="432"/>
      <c r="V6" s="434" t="str">
        <f t="shared" si="5"/>
        <v/>
      </c>
      <c r="W6" s="114">
        <f t="shared" si="6"/>
        <v>0</v>
      </c>
      <c r="X6" s="114" t="str">
        <f>_xlfn.CONCAT(E6," (",VLOOKUP(E6,[2]Backend!C:D,2,FALSE),")")</f>
        <v xml:space="preserve"> (Zero)</v>
      </c>
      <c r="Y6" s="114" t="str">
        <f t="shared" si="7"/>
        <v>0 - Electrical power supply and controls to  (Zero) fan</v>
      </c>
      <c r="Z6" s="114" t="str">
        <f t="shared" si="8"/>
        <v xml:space="preserve"> with: </v>
      </c>
      <c r="AA6" s="114" t="str">
        <f t="shared" si="9"/>
        <v/>
      </c>
      <c r="AB6" s="114" t="str">
        <f t="shared" si="10"/>
        <v>from MSSB Power Supply</v>
      </c>
      <c r="AC6" s="114" t="str">
        <f t="shared" ref="AC6:AC22" si="13">_xlfn.CONCAT(Y6,Z6,AA6,AB6)</f>
        <v>0 - Electrical power supply and controls to  (Zero) fan with: from MSSB Power Supply</v>
      </c>
      <c r="AD6" s="114" t="str">
        <f t="shared" si="11"/>
        <v>0.1 - This includes supply and install of power and controls.</v>
      </c>
      <c r="AE6" s="114" t="str">
        <f>_xlfn.CONCAT(W6,".2 - Power for system includes: ",VLOOKUP(K6,_Fan!L:O,4,FALSE))</f>
        <v xml:space="preserve">0.2 - Power for system includes: CB and cabling to fan from MSSB, and local isolator, </v>
      </c>
      <c r="AF6" s="114" t="e">
        <f>IF(OR((K6="Local"),NOT(N6="No"),(COUNTIF(L6:T6,"Yes")&gt;0)),_xlfn.CONCAT(W6,".3 - Controls for system includes: ",_xlfn.CONCAT(AG6,IF(K6="Local","controls enclosure.","")),""),"")</f>
        <v>#N/A</v>
      </c>
      <c r="AG6" s="114" t="e">
        <f>_xlfn.CONCAT(IF(L6="Yes",VLOOKUP(L$1,_Fan!L:Z,4,FALSE),""),IF(M6="Yes",VLOOKUP(M$1,_Fan!L:Z,4,FALSE),""),IF(NOT(N6="No"),VLOOKUP(N6,_Fan!L:Z,4,FALSE),""),IF(O6="Yes",VLOOKUP(O$1,_Fan!L:Z,4,FALSE),""),IF(P6="Yes",VLOOKUP(P$1,_Fan!L:Z,4,FALSE),""),IF(Q6="Yes",VLOOKUP(Q$1,_Fan!L:Z,4,FALSE),""),IF(R6="Yes",VLOOKUP(R$1,_Fan!L:Z,4,FALSE),""),IF(S6="Yes",VLOOKUP(S$1,_Fan!L:Z,4,FALSE),""),IF(T6="Yes",VLOOKUP(T$1,_Fan!L:Z,4,FALSE),""))</f>
        <v>#N/A</v>
      </c>
    </row>
    <row r="7" spans="1:33" x14ac:dyDescent="0.4">
      <c r="A7" s="431" t="str">
        <f t="shared" si="12"/>
        <v>INVALID</v>
      </c>
      <c r="B7" s="432" t="str">
        <f t="shared" si="1"/>
        <v>Fan 6</v>
      </c>
      <c r="C7" s="433" t="e">
        <f t="shared" si="2"/>
        <v>#N/A</v>
      </c>
      <c r="D7" s="432">
        <f t="shared" si="3"/>
        <v>0</v>
      </c>
      <c r="E7" s="432"/>
      <c r="F7" s="432"/>
      <c r="G7" s="432"/>
      <c r="H7" s="432" t="e">
        <f>VLOOKUP(K7,_Fan!L:N,2,FALSE)
+VLOOKUP(N7,_Fan!L:N,2,FALSE)
+IF(L7="YES",VLOOKUP(L$1,_Fan!L:N,2,FALSE),0)
+IF(M7="YES",VLOOKUP(M$1,_Fan!L:N,2,FALSE),0)
+IF(O7="YES",VLOOKUP(O$1,_Fan!L:N,2,FALSE),0)
+IF(P7="YES",VLOOKUP(P$1,_Fan!L:N,2,FALSE),0)
+IF(Q7="YES",VLOOKUP(Q$1,_Fan!L:N,2,FALSE),0)
+IF(R7="YES",VLOOKUP(R$1,_Fan!L:N,2,FALSE),0)
+IF(S7="YES",VLOOKUP(S$1,_Fan!L:N,2,FALSE),0)
+IF(T7="YES",VLOOKUP(T$1,_Fan!L:N,2,FALSE),0)
+IF(U7="Yes",VLOOKUP("4mm Cable 3 core and Earth",'Part List'!$A:$G,3,FALSE) + VLOOKUP("7030 2 pair TCAS7302P",'Part List'!$A:$G,3,FALSE),
VLOOKUP("2.5mm Twin and Earth",'Part List'!$A:$G,3,FALSE))*IF(COUNTBLANK(G7)=1, IF(K7="Local",5,20),G7)</f>
        <v>#N/A</v>
      </c>
      <c r="I7" s="432">
        <f>VLOOKUP(K7,_Fan!L:N,3,FALSE)
+IF(U7="Yes",VLOOKUP("4mm Cable 3 core and Earth",'Part List'!$A:$G,5,FALSE) + VLOOKUP("7030 2 pair TCAS7302P",'Part List'!$A:$G,5,FALSE),
VLOOKUP("2.5mm Twin and Earth",'Part List'!$A:$G,5,FALSE))*IF(COUNTBLANK(G7)=1, IF(K7="Local",5,20),G7)</f>
        <v>5</v>
      </c>
      <c r="J7" s="432" t="str">
        <f t="shared" si="4"/>
        <v/>
      </c>
      <c r="K7" s="432" t="s">
        <v>679</v>
      </c>
      <c r="L7" s="432"/>
      <c r="M7" s="432"/>
      <c r="N7" s="432"/>
      <c r="O7" s="432"/>
      <c r="P7" s="432"/>
      <c r="Q7" s="432"/>
      <c r="R7" s="432"/>
      <c r="S7" s="432"/>
      <c r="T7" s="432"/>
      <c r="U7" s="432"/>
      <c r="V7" s="434" t="str">
        <f t="shared" si="5"/>
        <v/>
      </c>
      <c r="W7" s="114">
        <f t="shared" si="6"/>
        <v>0</v>
      </c>
      <c r="X7" s="114" t="str">
        <f>_xlfn.CONCAT(E7," (",VLOOKUP(E7,[2]Backend!C:D,2,FALSE),")")</f>
        <v xml:space="preserve"> (Zero)</v>
      </c>
      <c r="Y7" s="114" t="str">
        <f t="shared" si="7"/>
        <v>0 - Electrical power supply and controls to  (Zero) fan</v>
      </c>
      <c r="Z7" s="114" t="str">
        <f t="shared" si="8"/>
        <v xml:space="preserve"> with: </v>
      </c>
      <c r="AA7" s="114" t="str">
        <f t="shared" si="9"/>
        <v/>
      </c>
      <c r="AB7" s="114" t="str">
        <f t="shared" si="10"/>
        <v>from MSSB Power Supply</v>
      </c>
      <c r="AC7" s="114" t="str">
        <f t="shared" si="13"/>
        <v>0 - Electrical power supply and controls to  (Zero) fan with: from MSSB Power Supply</v>
      </c>
      <c r="AD7" s="114" t="str">
        <f t="shared" si="11"/>
        <v>0.1 - This includes supply and install of power and controls.</v>
      </c>
      <c r="AE7" s="114" t="str">
        <f>_xlfn.CONCAT(W7,".2 - Power for system includes: ",VLOOKUP(K7,_Fan!L:O,4,FALSE))</f>
        <v xml:space="preserve">0.2 - Power for system includes: CB and cabling to fan from MSSB, and local isolator, </v>
      </c>
      <c r="AF7" s="114" t="e">
        <f t="shared" si="0"/>
        <v>#N/A</v>
      </c>
      <c r="AG7" s="114" t="e">
        <f>_xlfn.CONCAT(IF(L7="Yes",VLOOKUP(L$1,_Fan!L:Z,4,FALSE),""),IF(M7="Yes",VLOOKUP(M$1,_Fan!L:Z,4,FALSE),""),IF(NOT(N7="No"),VLOOKUP(N7,_Fan!L:Z,4,FALSE),""),IF(O7="Yes",VLOOKUP(O$1,_Fan!L:Z,4,FALSE),""),IF(P7="Yes",VLOOKUP(P$1,_Fan!L:Z,4,FALSE),""),IF(Q7="Yes",VLOOKUP(Q$1,_Fan!L:Z,4,FALSE),""),IF(R7="Yes",VLOOKUP(R$1,_Fan!L:Z,4,FALSE),""),IF(S7="Yes",VLOOKUP(S$1,_Fan!L:Z,4,FALSE),""),IF(T7="Yes",VLOOKUP(T$1,_Fan!L:Z,4,FALSE),""))</f>
        <v>#N/A</v>
      </c>
    </row>
    <row r="8" spans="1:33" x14ac:dyDescent="0.4">
      <c r="A8" s="431" t="str">
        <f t="shared" si="12"/>
        <v>INVALID</v>
      </c>
      <c r="B8" s="432" t="str">
        <f t="shared" si="1"/>
        <v>Fan 7</v>
      </c>
      <c r="C8" s="433" t="e">
        <f t="shared" si="2"/>
        <v>#N/A</v>
      </c>
      <c r="D8" s="432">
        <f t="shared" si="3"/>
        <v>0</v>
      </c>
      <c r="E8" s="432"/>
      <c r="F8" s="432"/>
      <c r="G8" s="432"/>
      <c r="H8" s="432" t="e">
        <f>VLOOKUP(K8,_Fan!L:N,2,FALSE)
+VLOOKUP(N8,_Fan!L:N,2,FALSE)
+IF(L8="YES",VLOOKUP(L$1,_Fan!L:N,2,FALSE),0)
+IF(M8="YES",VLOOKUP(M$1,_Fan!L:N,2,FALSE),0)
+IF(O8="YES",VLOOKUP(O$1,_Fan!L:N,2,FALSE),0)
+IF(P8="YES",VLOOKUP(P$1,_Fan!L:N,2,FALSE),0)
+IF(Q8="YES",VLOOKUP(Q$1,_Fan!L:N,2,FALSE),0)
+IF(R8="YES",VLOOKUP(R$1,_Fan!L:N,2,FALSE),0)
+IF(S8="YES",VLOOKUP(S$1,_Fan!L:N,2,FALSE),0)
+IF(T8="YES",VLOOKUP(T$1,_Fan!L:N,2,FALSE),0)
+IF(U8="Yes",VLOOKUP("4mm Cable 3 core and Earth",'Part List'!$A:$G,3,FALSE) + VLOOKUP("7030 2 pair TCAS7302P",'Part List'!$A:$G,3,FALSE),
VLOOKUP("2.5mm Twin and Earth",'Part List'!$A:$G,3,FALSE))*IF(COUNTBLANK(G8)=1, IF(K8="Local",5,20),G8)</f>
        <v>#N/A</v>
      </c>
      <c r="I8" s="432">
        <f>VLOOKUP(K8,_Fan!L:N,3,FALSE)
+IF(U8="Yes",VLOOKUP("4mm Cable 3 core and Earth",'Part List'!$A:$G,5,FALSE) + VLOOKUP("7030 2 pair TCAS7302P",'Part List'!$A:$G,5,FALSE),
VLOOKUP("2.5mm Twin and Earth",'Part List'!$A:$G,5,FALSE))*IF(COUNTBLANK(G8)=1, IF(K8="Local",5,20),G8)</f>
        <v>5</v>
      </c>
      <c r="J8" s="432" t="str">
        <f t="shared" si="4"/>
        <v/>
      </c>
      <c r="K8" s="432" t="s">
        <v>679</v>
      </c>
      <c r="L8" s="432"/>
      <c r="M8" s="432"/>
      <c r="N8" s="432"/>
      <c r="O8" s="432"/>
      <c r="P8" s="432"/>
      <c r="Q8" s="432"/>
      <c r="R8" s="432"/>
      <c r="S8" s="432"/>
      <c r="T8" s="432"/>
      <c r="U8" s="432"/>
      <c r="V8" s="434" t="str">
        <f t="shared" si="5"/>
        <v/>
      </c>
      <c r="W8" s="114">
        <f t="shared" si="6"/>
        <v>0</v>
      </c>
      <c r="X8" s="114" t="str">
        <f>_xlfn.CONCAT(E8," (",VLOOKUP(E8,[2]Backend!C:D,2,FALSE),")")</f>
        <v xml:space="preserve"> (Zero)</v>
      </c>
      <c r="Y8" s="114" t="str">
        <f t="shared" si="7"/>
        <v>0 - Electrical power supply and controls to  (Zero) fan</v>
      </c>
      <c r="Z8" s="114" t="str">
        <f t="shared" si="8"/>
        <v xml:space="preserve"> with: </v>
      </c>
      <c r="AA8" s="114" t="str">
        <f t="shared" si="9"/>
        <v/>
      </c>
      <c r="AB8" s="114" t="str">
        <f t="shared" si="10"/>
        <v>from MSSB Power Supply</v>
      </c>
      <c r="AC8" s="114" t="str">
        <f t="shared" si="13"/>
        <v>0 - Electrical power supply and controls to  (Zero) fan with: from MSSB Power Supply</v>
      </c>
      <c r="AD8" s="114" t="str">
        <f t="shared" si="11"/>
        <v>0.1 - This includes supply and install of power and controls.</v>
      </c>
      <c r="AE8" s="114" t="str">
        <f>_xlfn.CONCAT(W8,".2 - Power for system includes: ",VLOOKUP(K8,_Fan!L:O,4,FALSE))</f>
        <v xml:space="preserve">0.2 - Power for system includes: CB and cabling to fan from MSSB, and local isolator, </v>
      </c>
      <c r="AF8" s="114" t="e">
        <f t="shared" si="0"/>
        <v>#N/A</v>
      </c>
      <c r="AG8" s="114" t="e">
        <f>_xlfn.CONCAT(IF(L8="Yes",VLOOKUP(L$1,_Fan!L:Z,4,FALSE),""),IF(M8="Yes",VLOOKUP(M$1,_Fan!L:Z,4,FALSE),""),IF(NOT(N8="No"),VLOOKUP(N8,_Fan!L:Z,4,FALSE),""),IF(O8="Yes",VLOOKUP(O$1,_Fan!L:Z,4,FALSE),""),IF(P8="Yes",VLOOKUP(P$1,_Fan!L:Z,4,FALSE),""),IF(Q8="Yes",VLOOKUP(Q$1,_Fan!L:Z,4,FALSE),""),IF(R8="Yes",VLOOKUP(R$1,_Fan!L:Z,4,FALSE),""),IF(S8="Yes",VLOOKUP(S$1,_Fan!L:Z,4,FALSE),""),IF(T8="Yes",VLOOKUP(T$1,_Fan!L:Z,4,FALSE),""))</f>
        <v>#N/A</v>
      </c>
    </row>
    <row r="9" spans="1:33" x14ac:dyDescent="0.4">
      <c r="A9" s="431" t="str">
        <f t="shared" si="12"/>
        <v>INVALID</v>
      </c>
      <c r="B9" s="432" t="str">
        <f t="shared" si="1"/>
        <v>Fan 8</v>
      </c>
      <c r="C9" s="433" t="e">
        <f t="shared" si="2"/>
        <v>#N/A</v>
      </c>
      <c r="D9" s="432">
        <f t="shared" si="3"/>
        <v>0</v>
      </c>
      <c r="E9" s="432"/>
      <c r="F9" s="432"/>
      <c r="G9" s="432"/>
      <c r="H9" s="432" t="e">
        <f>VLOOKUP(K9,_Fan!L:N,2,FALSE)
+VLOOKUP(N9,_Fan!L:N,2,FALSE)
+IF(L9="YES",VLOOKUP(L$1,_Fan!L:N,2,FALSE),0)
+IF(M9="YES",VLOOKUP(M$1,_Fan!L:N,2,FALSE),0)
+IF(O9="YES",VLOOKUP(O$1,_Fan!L:N,2,FALSE),0)
+IF(P9="YES",VLOOKUP(P$1,_Fan!L:N,2,FALSE),0)
+IF(Q9="YES",VLOOKUP(Q$1,_Fan!L:N,2,FALSE),0)
+IF(R9="YES",VLOOKUP(R$1,_Fan!L:N,2,FALSE),0)
+IF(S9="YES",VLOOKUP(S$1,_Fan!L:N,2,FALSE),0)
+IF(T9="YES",VLOOKUP(T$1,_Fan!L:N,2,FALSE),0)
+IF(U9="Yes",VLOOKUP("4mm Cable 3 core and Earth",'Part List'!$A:$G,3,FALSE) + VLOOKUP("7030 2 pair TCAS7302P",'Part List'!$A:$G,3,FALSE),
VLOOKUP("2.5mm Twin and Earth",'Part List'!$A:$G,3,FALSE))*IF(COUNTBLANK(G9)=1, IF(K9="Local",5,20),G9)</f>
        <v>#N/A</v>
      </c>
      <c r="I9" s="432">
        <f>VLOOKUP(K9,_Fan!L:N,3,FALSE)
+IF(U9="Yes",VLOOKUP("4mm Cable 3 core and Earth",'Part List'!$A:$G,5,FALSE) + VLOOKUP("7030 2 pair TCAS7302P",'Part List'!$A:$G,5,FALSE),
VLOOKUP("2.5mm Twin and Earth",'Part List'!$A:$G,5,FALSE))*IF(COUNTBLANK(G9)=1, IF(K9="Local",5,20),G9)</f>
        <v>5</v>
      </c>
      <c r="J9" s="432" t="str">
        <f t="shared" si="4"/>
        <v/>
      </c>
      <c r="K9" s="432" t="s">
        <v>679</v>
      </c>
      <c r="L9" s="432"/>
      <c r="M9" s="432"/>
      <c r="N9" s="432"/>
      <c r="O9" s="432"/>
      <c r="P9" s="432"/>
      <c r="Q9" s="432"/>
      <c r="R9" s="432"/>
      <c r="S9" s="432"/>
      <c r="T9" s="432"/>
      <c r="U9" s="432"/>
      <c r="V9" s="434" t="str">
        <f t="shared" si="5"/>
        <v/>
      </c>
      <c r="W9" s="114">
        <f t="shared" si="6"/>
        <v>0</v>
      </c>
      <c r="X9" s="114" t="str">
        <f>_xlfn.CONCAT(E9," (",VLOOKUP(E9,[2]Backend!C:D,2,FALSE),")")</f>
        <v xml:space="preserve"> (Zero)</v>
      </c>
      <c r="Y9" s="114" t="str">
        <f t="shared" si="7"/>
        <v>0 - Electrical power supply and controls to  (Zero) fan</v>
      </c>
      <c r="Z9" s="114" t="str">
        <f t="shared" si="8"/>
        <v xml:space="preserve"> with: </v>
      </c>
      <c r="AA9" s="114" t="str">
        <f t="shared" si="9"/>
        <v/>
      </c>
      <c r="AB9" s="114" t="str">
        <f t="shared" si="10"/>
        <v>from MSSB Power Supply</v>
      </c>
      <c r="AC9" s="114" t="str">
        <f t="shared" si="13"/>
        <v>0 - Electrical power supply and controls to  (Zero) fan with: from MSSB Power Supply</v>
      </c>
      <c r="AD9" s="114" t="str">
        <f t="shared" si="11"/>
        <v>0.1 - This includes supply and install of power and controls.</v>
      </c>
      <c r="AE9" s="114" t="str">
        <f>_xlfn.CONCAT(W9,".2 - Power for system includes: ",VLOOKUP(K9,_Fan!L:O,4,FALSE))</f>
        <v xml:space="preserve">0.2 - Power for system includes: CB and cabling to fan from MSSB, and local isolator, </v>
      </c>
      <c r="AF9" s="114" t="e">
        <f t="shared" si="0"/>
        <v>#N/A</v>
      </c>
      <c r="AG9" s="114" t="e">
        <f>_xlfn.CONCAT(IF(L9="Yes",VLOOKUP(L$1,_Fan!L:Z,4,FALSE),""),IF(M9="Yes",VLOOKUP(M$1,_Fan!L:Z,4,FALSE),""),IF(NOT(N9="No"),VLOOKUP(N9,_Fan!L:Z,4,FALSE),""),IF(O9="Yes",VLOOKUP(O$1,_Fan!L:Z,4,FALSE),""),IF(P9="Yes",VLOOKUP(P$1,_Fan!L:Z,4,FALSE),""),IF(Q9="Yes",VLOOKUP(Q$1,_Fan!L:Z,4,FALSE),""),IF(R9="Yes",VLOOKUP(R$1,_Fan!L:Z,4,FALSE),""),IF(S9="Yes",VLOOKUP(S$1,_Fan!L:Z,4,FALSE),""),IF(T9="Yes",VLOOKUP(T$1,_Fan!L:Z,4,FALSE),""))</f>
        <v>#N/A</v>
      </c>
    </row>
    <row r="10" spans="1:33" x14ac:dyDescent="0.4">
      <c r="A10" s="431" t="str">
        <f t="shared" si="12"/>
        <v>INVALID</v>
      </c>
      <c r="B10" s="432" t="str">
        <f t="shared" si="1"/>
        <v>Fan 9</v>
      </c>
      <c r="C10" s="433" t="e">
        <f t="shared" si="2"/>
        <v>#N/A</v>
      </c>
      <c r="D10" s="432">
        <f t="shared" si="3"/>
        <v>0</v>
      </c>
      <c r="E10" s="432"/>
      <c r="F10" s="432"/>
      <c r="G10" s="432"/>
      <c r="H10" s="432" t="e">
        <f>VLOOKUP(K10,_Fan!L:N,2,FALSE)
+VLOOKUP(N10,_Fan!L:N,2,FALSE)
+IF(L10="YES",VLOOKUP(L$1,_Fan!L:N,2,FALSE),0)
+IF(M10="YES",VLOOKUP(M$1,_Fan!L:N,2,FALSE),0)
+IF(O10="YES",VLOOKUP(O$1,_Fan!L:N,2,FALSE),0)
+IF(P10="YES",VLOOKUP(P$1,_Fan!L:N,2,FALSE),0)
+IF(Q10="YES",VLOOKUP(Q$1,_Fan!L:N,2,FALSE),0)
+IF(R10="YES",VLOOKUP(R$1,_Fan!L:N,2,FALSE),0)
+IF(S10="YES",VLOOKUP(S$1,_Fan!L:N,2,FALSE),0)
+IF(T10="YES",VLOOKUP(T$1,_Fan!L:N,2,FALSE),0)
+IF(U10="Yes",VLOOKUP("4mm Cable 3 core and Earth",'Part List'!$A:$G,3,FALSE) + VLOOKUP("7030 2 pair TCAS7302P",'Part List'!$A:$G,3,FALSE),
VLOOKUP("2.5mm Twin and Earth",'Part List'!$A:$G,3,FALSE))*IF(COUNTBLANK(G10)=1, IF(K10="Local",5,20),G10)</f>
        <v>#N/A</v>
      </c>
      <c r="I10" s="432">
        <f>VLOOKUP(K10,_Fan!L:N,3,FALSE)
+IF(U10="Yes",VLOOKUP("4mm Cable 3 core and Earth",'Part List'!$A:$G,5,FALSE) + VLOOKUP("7030 2 pair TCAS7302P",'Part List'!$A:$G,5,FALSE),
VLOOKUP("2.5mm Twin and Earth",'Part List'!$A:$G,5,FALSE))*IF(COUNTBLANK(G10)=1, IF(K10="Local",5,20),G10)</f>
        <v>5</v>
      </c>
      <c r="J10" s="432" t="str">
        <f t="shared" si="4"/>
        <v/>
      </c>
      <c r="K10" s="432" t="s">
        <v>679</v>
      </c>
      <c r="L10" s="432"/>
      <c r="M10" s="432"/>
      <c r="N10" s="432"/>
      <c r="O10" s="432"/>
      <c r="P10" s="432"/>
      <c r="Q10" s="432"/>
      <c r="R10" s="432"/>
      <c r="S10" s="432"/>
      <c r="T10" s="432"/>
      <c r="U10" s="432"/>
      <c r="V10" s="434" t="str">
        <f t="shared" si="5"/>
        <v/>
      </c>
      <c r="W10" s="114">
        <f t="shared" si="6"/>
        <v>0</v>
      </c>
      <c r="X10" s="114" t="str">
        <f>_xlfn.CONCAT(E10," (",VLOOKUP(E10,[2]Backend!C:D,2,FALSE),")")</f>
        <v xml:space="preserve"> (Zero)</v>
      </c>
      <c r="Y10" s="114" t="str">
        <f t="shared" si="7"/>
        <v>0 - Electrical power supply and controls to  (Zero) fan</v>
      </c>
      <c r="Z10" s="114" t="str">
        <f t="shared" si="8"/>
        <v xml:space="preserve"> with: </v>
      </c>
      <c r="AA10" s="114" t="str">
        <f t="shared" si="9"/>
        <v/>
      </c>
      <c r="AB10" s="114" t="str">
        <f t="shared" si="10"/>
        <v>from MSSB Power Supply</v>
      </c>
      <c r="AC10" s="114" t="str">
        <f t="shared" si="13"/>
        <v>0 - Electrical power supply and controls to  (Zero) fan with: from MSSB Power Supply</v>
      </c>
      <c r="AD10" s="114" t="str">
        <f t="shared" si="11"/>
        <v>0.1 - This includes supply and install of power and controls.</v>
      </c>
      <c r="AE10" s="114" t="str">
        <f>_xlfn.CONCAT(W10,".2 - Power for system includes: ",VLOOKUP(K10,_Fan!L:O,4,FALSE))</f>
        <v xml:space="preserve">0.2 - Power for system includes: CB and cabling to fan from MSSB, and local isolator, </v>
      </c>
      <c r="AF10" s="114" t="e">
        <f t="shared" si="0"/>
        <v>#N/A</v>
      </c>
      <c r="AG10" s="114" t="e">
        <f>_xlfn.CONCAT(IF(L10="Yes",VLOOKUP(L$1,_Fan!L:Z,4,FALSE),""),IF(M10="Yes",VLOOKUP(M$1,_Fan!L:Z,4,FALSE),""),IF(NOT(N10="No"),VLOOKUP(N10,_Fan!L:Z,4,FALSE),""),IF(O10="Yes",VLOOKUP(O$1,_Fan!L:Z,4,FALSE),""),IF(P10="Yes",VLOOKUP(P$1,_Fan!L:Z,4,FALSE),""),IF(Q10="Yes",VLOOKUP(Q$1,_Fan!L:Z,4,FALSE),""),IF(R10="Yes",VLOOKUP(R$1,_Fan!L:Z,4,FALSE),""),IF(S10="Yes",VLOOKUP(S$1,_Fan!L:Z,4,FALSE),""),IF(T10="Yes",VLOOKUP(T$1,_Fan!L:Z,4,FALSE),""))</f>
        <v>#N/A</v>
      </c>
    </row>
    <row r="11" spans="1:33" x14ac:dyDescent="0.4">
      <c r="A11" s="431" t="str">
        <f t="shared" si="12"/>
        <v>INVALID</v>
      </c>
      <c r="B11" s="432" t="str">
        <f t="shared" si="1"/>
        <v>Fan 10</v>
      </c>
      <c r="C11" s="433" t="e">
        <f t="shared" si="2"/>
        <v>#N/A</v>
      </c>
      <c r="D11" s="432">
        <f t="shared" si="3"/>
        <v>0</v>
      </c>
      <c r="E11" s="432"/>
      <c r="F11" s="432"/>
      <c r="G11" s="432"/>
      <c r="H11" s="432" t="e">
        <f>VLOOKUP(K11,_Fan!L:N,2,FALSE)
+VLOOKUP(N11,_Fan!L:N,2,FALSE)
+IF(L11="YES",VLOOKUP(L$1,_Fan!L:N,2,FALSE),0)
+IF(M11="YES",VLOOKUP(M$1,_Fan!L:N,2,FALSE),0)
+IF(O11="YES",VLOOKUP(O$1,_Fan!L:N,2,FALSE),0)
+IF(P11="YES",VLOOKUP(P$1,_Fan!L:N,2,FALSE),0)
+IF(Q11="YES",VLOOKUP(Q$1,_Fan!L:N,2,FALSE),0)
+IF(R11="YES",VLOOKUP(R$1,_Fan!L:N,2,FALSE),0)
+IF(S11="YES",VLOOKUP(S$1,_Fan!L:N,2,FALSE),0)
+IF(T11="YES",VLOOKUP(T$1,_Fan!L:N,2,FALSE),0)
+IF(U11="Yes",VLOOKUP("4mm Cable 3 core and Earth",'Part List'!$A:$G,3,FALSE) + VLOOKUP("7030 2 pair TCAS7302P",'Part List'!$A:$G,3,FALSE),
VLOOKUP("2.5mm Twin and Earth",'Part List'!$A:$G,3,FALSE))*IF(COUNTBLANK(G11)=1, IF(K11="Local",5,20),G11)</f>
        <v>#N/A</v>
      </c>
      <c r="I11" s="432">
        <f>VLOOKUP(K11,_Fan!L:N,3,FALSE)
+IF(U11="Yes",VLOOKUP("4mm Cable 3 core and Earth",'Part List'!$A:$G,5,FALSE) + VLOOKUP("7030 2 pair TCAS7302P",'Part List'!$A:$G,5,FALSE),
VLOOKUP("2.5mm Twin and Earth",'Part List'!$A:$G,5,FALSE))*IF(COUNTBLANK(G11)=1, IF(K11="Local",5,20),G11)</f>
        <v>5</v>
      </c>
      <c r="J11" s="432" t="str">
        <f t="shared" si="4"/>
        <v/>
      </c>
      <c r="K11" s="432" t="s">
        <v>679</v>
      </c>
      <c r="L11" s="432"/>
      <c r="M11" s="432"/>
      <c r="N11" s="432"/>
      <c r="O11" s="432"/>
      <c r="P11" s="432"/>
      <c r="Q11" s="432"/>
      <c r="R11" s="432"/>
      <c r="S11" s="432"/>
      <c r="T11" s="432"/>
      <c r="U11" s="432"/>
      <c r="V11" s="434" t="str">
        <f t="shared" si="5"/>
        <v/>
      </c>
      <c r="W11" s="114">
        <f t="shared" si="6"/>
        <v>0</v>
      </c>
      <c r="X11" s="114" t="str">
        <f>_xlfn.CONCAT(E11," (",VLOOKUP(E11,[2]Backend!C:D,2,FALSE),")")</f>
        <v xml:space="preserve"> (Zero)</v>
      </c>
      <c r="Y11" s="114" t="str">
        <f t="shared" si="7"/>
        <v>0 - Electrical power supply and controls to  (Zero) fan</v>
      </c>
      <c r="Z11" s="114" t="str">
        <f t="shared" si="8"/>
        <v xml:space="preserve"> with: </v>
      </c>
      <c r="AA11" s="114" t="str">
        <f t="shared" si="9"/>
        <v/>
      </c>
      <c r="AB11" s="114" t="str">
        <f t="shared" si="10"/>
        <v>from MSSB Power Supply</v>
      </c>
      <c r="AC11" s="114" t="str">
        <f t="shared" si="13"/>
        <v>0 - Electrical power supply and controls to  (Zero) fan with: from MSSB Power Supply</v>
      </c>
      <c r="AD11" s="114" t="str">
        <f t="shared" si="11"/>
        <v>0.1 - This includes supply and install of power and controls.</v>
      </c>
      <c r="AE11" s="114" t="str">
        <f>_xlfn.CONCAT(W11,".2 - Power for system includes: ",VLOOKUP(K11,_Fan!L:O,4,FALSE))</f>
        <v xml:space="preserve">0.2 - Power for system includes: CB and cabling to fan from MSSB, and local isolator, </v>
      </c>
      <c r="AF11" s="114" t="e">
        <f t="shared" si="0"/>
        <v>#N/A</v>
      </c>
      <c r="AG11" s="114" t="e">
        <f>_xlfn.CONCAT(IF(L11="Yes",VLOOKUP(L$1,_Fan!L:Z,4,FALSE),""),IF(M11="Yes",VLOOKUP(M$1,_Fan!L:Z,4,FALSE),""),IF(NOT(N11="No"),VLOOKUP(N11,_Fan!L:Z,4,FALSE),""),IF(O11="Yes",VLOOKUP(O$1,_Fan!L:Z,4,FALSE),""),IF(P11="Yes",VLOOKUP(P$1,_Fan!L:Z,4,FALSE),""),IF(Q11="Yes",VLOOKUP(Q$1,_Fan!L:Z,4,FALSE),""),IF(R11="Yes",VLOOKUP(R$1,_Fan!L:Z,4,FALSE),""),IF(S11="Yes",VLOOKUP(S$1,_Fan!L:Z,4,FALSE),""),IF(T11="Yes",VLOOKUP(T$1,_Fan!L:Z,4,FALSE),""))</f>
        <v>#N/A</v>
      </c>
    </row>
    <row r="12" spans="1:33" x14ac:dyDescent="0.4">
      <c r="A12" s="431" t="str">
        <f t="shared" si="12"/>
        <v>INVALID</v>
      </c>
      <c r="B12" s="432" t="str">
        <f t="shared" si="1"/>
        <v>Fan 11</v>
      </c>
      <c r="C12" s="433" t="e">
        <f t="shared" si="2"/>
        <v>#N/A</v>
      </c>
      <c r="D12" s="432">
        <f t="shared" si="3"/>
        <v>0</v>
      </c>
      <c r="E12" s="432"/>
      <c r="F12" s="432"/>
      <c r="G12" s="432"/>
      <c r="H12" s="432" t="e">
        <f>VLOOKUP(K12,_Fan!L:N,2,FALSE)
+VLOOKUP(N12,_Fan!L:N,2,FALSE)
+IF(L12="YES",VLOOKUP(L$1,_Fan!L:N,2,FALSE),0)
+IF(M12="YES",VLOOKUP(M$1,_Fan!L:N,2,FALSE),0)
+IF(O12="YES",VLOOKUP(O$1,_Fan!L:N,2,FALSE),0)
+IF(P12="YES",VLOOKUP(P$1,_Fan!L:N,2,FALSE),0)
+IF(Q12="YES",VLOOKUP(Q$1,_Fan!L:N,2,FALSE),0)
+IF(R12="YES",VLOOKUP(R$1,_Fan!L:N,2,FALSE),0)
+IF(S12="YES",VLOOKUP(S$1,_Fan!L:N,2,FALSE),0)
+IF(T12="YES",VLOOKUP(T$1,_Fan!L:N,2,FALSE),0)
+IF(U12="Yes",VLOOKUP("4mm Cable 3 core and Earth",'Part List'!$A:$G,3,FALSE) + VLOOKUP("7030 2 pair TCAS7302P",'Part List'!$A:$G,3,FALSE),
VLOOKUP("2.5mm Twin and Earth",'Part List'!$A:$G,3,FALSE))*IF(COUNTBLANK(G12)=1, IF(K12="Local",5,20),G12)</f>
        <v>#N/A</v>
      </c>
      <c r="I12" s="432">
        <f>VLOOKUP(K12,_Fan!L:N,3,FALSE)
+IF(U12="Yes",VLOOKUP("4mm Cable 3 core and Earth",'Part List'!$A:$G,5,FALSE) + VLOOKUP("7030 2 pair TCAS7302P",'Part List'!$A:$G,5,FALSE),
VLOOKUP("2.5mm Twin and Earth",'Part List'!$A:$G,5,FALSE))*IF(COUNTBLANK(G12)=1, IF(K12="Local",5,20),G12)</f>
        <v>5</v>
      </c>
      <c r="J12" s="432" t="str">
        <f t="shared" si="4"/>
        <v/>
      </c>
      <c r="K12" s="432" t="s">
        <v>679</v>
      </c>
      <c r="L12" s="432"/>
      <c r="M12" s="432"/>
      <c r="N12" s="432"/>
      <c r="O12" s="432"/>
      <c r="P12" s="432"/>
      <c r="Q12" s="432"/>
      <c r="R12" s="432"/>
      <c r="S12" s="432"/>
      <c r="T12" s="432"/>
      <c r="U12" s="432"/>
      <c r="V12" s="434" t="str">
        <f t="shared" si="5"/>
        <v/>
      </c>
      <c r="W12" s="114">
        <f t="shared" si="6"/>
        <v>0</v>
      </c>
      <c r="X12" s="114" t="str">
        <f>_xlfn.CONCAT(E12," (",VLOOKUP(E12,[2]Backend!C:D,2,FALSE),")")</f>
        <v xml:space="preserve"> (Zero)</v>
      </c>
      <c r="Y12" s="114" t="str">
        <f t="shared" si="7"/>
        <v>0 - Electrical power supply and controls to  (Zero) fan</v>
      </c>
      <c r="Z12" s="114" t="str">
        <f t="shared" si="8"/>
        <v xml:space="preserve"> with: </v>
      </c>
      <c r="AA12" s="114" t="str">
        <f t="shared" si="9"/>
        <v/>
      </c>
      <c r="AB12" s="114" t="str">
        <f t="shared" si="10"/>
        <v>from MSSB Power Supply</v>
      </c>
      <c r="AC12" s="114" t="str">
        <f t="shared" si="13"/>
        <v>0 - Electrical power supply and controls to  (Zero) fan with: from MSSB Power Supply</v>
      </c>
      <c r="AD12" s="114" t="str">
        <f t="shared" si="11"/>
        <v>0.1 - This includes supply and install of power and controls.</v>
      </c>
      <c r="AE12" s="114" t="str">
        <f>_xlfn.CONCAT(W12,".2 - Power for system includes: ",VLOOKUP(K12,_Fan!L:O,4,FALSE))</f>
        <v xml:space="preserve">0.2 - Power for system includes: CB and cabling to fan from MSSB, and local isolator, </v>
      </c>
      <c r="AF12" s="114" t="e">
        <f t="shared" si="0"/>
        <v>#N/A</v>
      </c>
      <c r="AG12" s="114" t="e">
        <f>_xlfn.CONCAT(IF(L12="Yes",VLOOKUP(L$1,_Fan!L:Z,4,FALSE),""),IF(M12="Yes",VLOOKUP(M$1,_Fan!L:Z,4,FALSE),""),IF(NOT(N12="No"),VLOOKUP(N12,_Fan!L:Z,4,FALSE),""),IF(O12="Yes",VLOOKUP(O$1,_Fan!L:Z,4,FALSE),""),IF(P12="Yes",VLOOKUP(P$1,_Fan!L:Z,4,FALSE),""),IF(Q12="Yes",VLOOKUP(Q$1,_Fan!L:Z,4,FALSE),""),IF(R12="Yes",VLOOKUP(R$1,_Fan!L:Z,4,FALSE),""),IF(S12="Yes",VLOOKUP(S$1,_Fan!L:Z,4,FALSE),""),IF(T12="Yes",VLOOKUP(T$1,_Fan!L:Z,4,FALSE),""))</f>
        <v>#N/A</v>
      </c>
    </row>
    <row r="13" spans="1:33" x14ac:dyDescent="0.4">
      <c r="A13" s="431" t="str">
        <f t="shared" si="12"/>
        <v>INVALID</v>
      </c>
      <c r="B13" s="432" t="str">
        <f t="shared" si="1"/>
        <v>Fan 12</v>
      </c>
      <c r="C13" s="433" t="e">
        <f t="shared" si="2"/>
        <v>#N/A</v>
      </c>
      <c r="D13" s="432">
        <f t="shared" si="3"/>
        <v>0</v>
      </c>
      <c r="E13" s="432"/>
      <c r="F13" s="432"/>
      <c r="G13" s="432"/>
      <c r="H13" s="432" t="e">
        <f>VLOOKUP(K13,_Fan!L:N,2,FALSE)
+VLOOKUP(N13,_Fan!L:N,2,FALSE)
+IF(L13="YES",VLOOKUP(L$1,_Fan!L:N,2,FALSE),0)
+IF(M13="YES",VLOOKUP(M$1,_Fan!L:N,2,FALSE),0)
+IF(O13="YES",VLOOKUP(O$1,_Fan!L:N,2,FALSE),0)
+IF(P13="YES",VLOOKUP(P$1,_Fan!L:N,2,FALSE),0)
+IF(Q13="YES",VLOOKUP(Q$1,_Fan!L:N,2,FALSE),0)
+IF(R13="YES",VLOOKUP(R$1,_Fan!L:N,2,FALSE),0)
+IF(S13="YES",VLOOKUP(S$1,_Fan!L:N,2,FALSE),0)
+IF(T13="YES",VLOOKUP(T$1,_Fan!L:N,2,FALSE),0)
+IF(U13="Yes",VLOOKUP("4mm Cable 3 core and Earth",'Part List'!$A:$G,3,FALSE) + VLOOKUP("7030 2 pair TCAS7302P",'Part List'!$A:$G,3,FALSE),
VLOOKUP("2.5mm Twin and Earth",'Part List'!$A:$G,3,FALSE))*IF(COUNTBLANK(G13)=1, IF(K13="Local",5,20),G13)</f>
        <v>#N/A</v>
      </c>
      <c r="I13" s="432">
        <f>VLOOKUP(K13,_Fan!L:N,3,FALSE)
+IF(U13="Yes",VLOOKUP("4mm Cable 3 core and Earth",'Part List'!$A:$G,5,FALSE) + VLOOKUP("7030 2 pair TCAS7302P",'Part List'!$A:$G,5,FALSE),
VLOOKUP("2.5mm Twin and Earth",'Part List'!$A:$G,5,FALSE))*IF(COUNTBLANK(G13)=1, IF(K13="Local",5,20),G13)</f>
        <v>5</v>
      </c>
      <c r="J13" s="432" t="str">
        <f t="shared" si="4"/>
        <v/>
      </c>
      <c r="K13" s="432" t="s">
        <v>679</v>
      </c>
      <c r="L13" s="432"/>
      <c r="M13" s="432"/>
      <c r="N13" s="432"/>
      <c r="O13" s="432"/>
      <c r="P13" s="432"/>
      <c r="Q13" s="432"/>
      <c r="R13" s="432"/>
      <c r="S13" s="432"/>
      <c r="T13" s="432"/>
      <c r="U13" s="432"/>
      <c r="V13" s="434" t="str">
        <f t="shared" si="5"/>
        <v/>
      </c>
      <c r="W13" s="114">
        <f t="shared" si="6"/>
        <v>0</v>
      </c>
      <c r="X13" s="114" t="str">
        <f>_xlfn.CONCAT(E13," (",VLOOKUP(E13,[2]Backend!C:D,2,FALSE),")")</f>
        <v xml:space="preserve"> (Zero)</v>
      </c>
      <c r="Y13" s="114" t="str">
        <f t="shared" si="7"/>
        <v>0 - Electrical power supply and controls to  (Zero) fan</v>
      </c>
      <c r="Z13" s="114" t="str">
        <f t="shared" si="8"/>
        <v xml:space="preserve"> with: </v>
      </c>
      <c r="AA13" s="114" t="str">
        <f t="shared" si="9"/>
        <v/>
      </c>
      <c r="AB13" s="114" t="str">
        <f t="shared" si="10"/>
        <v>from MSSB Power Supply</v>
      </c>
      <c r="AC13" s="114" t="str">
        <f t="shared" si="13"/>
        <v>0 - Electrical power supply and controls to  (Zero) fan with: from MSSB Power Supply</v>
      </c>
      <c r="AD13" s="114" t="str">
        <f t="shared" si="11"/>
        <v>0.1 - This includes supply and install of power and controls.</v>
      </c>
      <c r="AE13" s="114" t="str">
        <f>_xlfn.CONCAT(W13,".2 - Power for system includes: ",VLOOKUP(K13,_Fan!L:O,4,FALSE))</f>
        <v xml:space="preserve">0.2 - Power for system includes: CB and cabling to fan from MSSB, and local isolator, </v>
      </c>
      <c r="AF13" s="114" t="e">
        <f t="shared" si="0"/>
        <v>#N/A</v>
      </c>
      <c r="AG13" s="114" t="e">
        <f>_xlfn.CONCAT(IF(L13="Yes",VLOOKUP(L$1,_Fan!L:Z,4,FALSE),""),IF(M13="Yes",VLOOKUP(M$1,_Fan!L:Z,4,FALSE),""),IF(NOT(N13="No"),VLOOKUP(N13,_Fan!L:Z,4,FALSE),""),IF(O13="Yes",VLOOKUP(O$1,_Fan!L:Z,4,FALSE),""),IF(P13="Yes",VLOOKUP(P$1,_Fan!L:Z,4,FALSE),""),IF(Q13="Yes",VLOOKUP(Q$1,_Fan!L:Z,4,FALSE),""),IF(R13="Yes",VLOOKUP(R$1,_Fan!L:Z,4,FALSE),""),IF(S13="Yes",VLOOKUP(S$1,_Fan!L:Z,4,FALSE),""),IF(T13="Yes",VLOOKUP(T$1,_Fan!L:Z,4,FALSE),""))</f>
        <v>#N/A</v>
      </c>
    </row>
    <row r="14" spans="1:33" x14ac:dyDescent="0.4">
      <c r="A14" s="431" t="str">
        <f t="shared" si="12"/>
        <v>INVALID</v>
      </c>
      <c r="B14" s="432" t="str">
        <f t="shared" si="1"/>
        <v>Fan 13</v>
      </c>
      <c r="C14" s="433" t="e">
        <f t="shared" si="2"/>
        <v>#N/A</v>
      </c>
      <c r="D14" s="432">
        <f t="shared" si="3"/>
        <v>0</v>
      </c>
      <c r="E14" s="432"/>
      <c r="F14" s="432"/>
      <c r="G14" s="432"/>
      <c r="H14" s="432" t="e">
        <f>VLOOKUP(K14,_Fan!L:N,2,FALSE)
+VLOOKUP(N14,_Fan!L:N,2,FALSE)
+IF(L14="YES",VLOOKUP(L$1,_Fan!L:N,2,FALSE),0)
+IF(M14="YES",VLOOKUP(M$1,_Fan!L:N,2,FALSE),0)
+IF(O14="YES",VLOOKUP(O$1,_Fan!L:N,2,FALSE),0)
+IF(P14="YES",VLOOKUP(P$1,_Fan!L:N,2,FALSE),0)
+IF(Q14="YES",VLOOKUP(Q$1,_Fan!L:N,2,FALSE),0)
+IF(R14="YES",VLOOKUP(R$1,_Fan!L:N,2,FALSE),0)
+IF(S14="YES",VLOOKUP(S$1,_Fan!L:N,2,FALSE),0)
+IF(T14="YES",VLOOKUP(T$1,_Fan!L:N,2,FALSE),0)
+IF(U14="Yes",VLOOKUP("4mm Cable 3 core and Earth",'Part List'!$A:$G,3,FALSE) + VLOOKUP("7030 2 pair TCAS7302P",'Part List'!$A:$G,3,FALSE),
VLOOKUP("2.5mm Twin and Earth",'Part List'!$A:$G,3,FALSE))*IF(COUNTBLANK(G14)=1, IF(K14="Local",5,20),G14)</f>
        <v>#N/A</v>
      </c>
      <c r="I14" s="432">
        <f>VLOOKUP(K14,_Fan!L:N,3,FALSE)
+IF(U14="Yes",VLOOKUP("4mm Cable 3 core and Earth",'Part List'!$A:$G,5,FALSE) + VLOOKUP("7030 2 pair TCAS7302P",'Part List'!$A:$G,5,FALSE),
VLOOKUP("2.5mm Twin and Earth",'Part List'!$A:$G,5,FALSE))*IF(COUNTBLANK(G14)=1, IF(K14="Local",5,20),G14)</f>
        <v>5</v>
      </c>
      <c r="J14" s="432" t="str">
        <f t="shared" si="4"/>
        <v/>
      </c>
      <c r="K14" s="432" t="s">
        <v>679</v>
      </c>
      <c r="L14" s="432"/>
      <c r="M14" s="432"/>
      <c r="N14" s="432"/>
      <c r="O14" s="432"/>
      <c r="P14" s="432"/>
      <c r="Q14" s="432"/>
      <c r="R14" s="432"/>
      <c r="S14" s="432"/>
      <c r="T14" s="432"/>
      <c r="U14" s="432"/>
      <c r="V14" s="434" t="str">
        <f t="shared" si="5"/>
        <v/>
      </c>
      <c r="W14" s="114">
        <f t="shared" si="6"/>
        <v>0</v>
      </c>
      <c r="X14" s="114" t="str">
        <f>_xlfn.CONCAT(E14," (",VLOOKUP(E14,[2]Backend!C:D,2,FALSE),")")</f>
        <v xml:space="preserve"> (Zero)</v>
      </c>
      <c r="Y14" s="114" t="str">
        <f t="shared" si="7"/>
        <v>0 - Electrical power supply and controls to  (Zero) fan</v>
      </c>
      <c r="Z14" s="114" t="str">
        <f t="shared" si="8"/>
        <v xml:space="preserve"> with: </v>
      </c>
      <c r="AA14" s="114" t="str">
        <f t="shared" si="9"/>
        <v/>
      </c>
      <c r="AB14" s="114" t="str">
        <f t="shared" si="10"/>
        <v>from MSSB Power Supply</v>
      </c>
      <c r="AC14" s="114" t="str">
        <f t="shared" si="13"/>
        <v>0 - Electrical power supply and controls to  (Zero) fan with: from MSSB Power Supply</v>
      </c>
      <c r="AD14" s="114" t="str">
        <f t="shared" si="11"/>
        <v>0.1 - This includes supply and install of power and controls.</v>
      </c>
      <c r="AE14" s="114" t="str">
        <f>_xlfn.CONCAT(W14,".2 - Power for system includes: ",VLOOKUP(K14,_Fan!L:O,4,FALSE))</f>
        <v xml:space="preserve">0.2 - Power for system includes: CB and cabling to fan from MSSB, and local isolator, </v>
      </c>
      <c r="AF14" s="114" t="e">
        <f t="shared" si="0"/>
        <v>#N/A</v>
      </c>
      <c r="AG14" s="114" t="e">
        <f>_xlfn.CONCAT(IF(L14="Yes",VLOOKUP(L$1,_Fan!L:Z,4,FALSE),""),IF(M14="Yes",VLOOKUP(M$1,_Fan!L:Z,4,FALSE),""),IF(NOT(N14="No"),VLOOKUP(N14,_Fan!L:Z,4,FALSE),""),IF(O14="Yes",VLOOKUP(O$1,_Fan!L:Z,4,FALSE),""),IF(P14="Yes",VLOOKUP(P$1,_Fan!L:Z,4,FALSE),""),IF(Q14="Yes",VLOOKUP(Q$1,_Fan!L:Z,4,FALSE),""),IF(R14="Yes",VLOOKUP(R$1,_Fan!L:Z,4,FALSE),""),IF(S14="Yes",VLOOKUP(S$1,_Fan!L:Z,4,FALSE),""),IF(T14="Yes",VLOOKUP(T$1,_Fan!L:Z,4,FALSE),""))</f>
        <v>#N/A</v>
      </c>
    </row>
    <row r="15" spans="1:33" x14ac:dyDescent="0.4">
      <c r="A15" s="431" t="str">
        <f t="shared" si="12"/>
        <v>INVALID</v>
      </c>
      <c r="B15" s="432" t="str">
        <f t="shared" si="1"/>
        <v>Fan 14</v>
      </c>
      <c r="C15" s="433" t="e">
        <f t="shared" si="2"/>
        <v>#N/A</v>
      </c>
      <c r="D15" s="432">
        <f t="shared" si="3"/>
        <v>0</v>
      </c>
      <c r="E15" s="432"/>
      <c r="F15" s="432"/>
      <c r="G15" s="432"/>
      <c r="H15" s="432" t="e">
        <f>VLOOKUP(K15,_Fan!L:N,2,FALSE)
+VLOOKUP(N15,_Fan!L:N,2,FALSE)
+IF(L15="YES",VLOOKUP(L$1,_Fan!L:N,2,FALSE),0)
+IF(M15="YES",VLOOKUP(M$1,_Fan!L:N,2,FALSE),0)
+IF(O15="YES",VLOOKUP(O$1,_Fan!L:N,2,FALSE),0)
+IF(P15="YES",VLOOKUP(P$1,_Fan!L:N,2,FALSE),0)
+IF(Q15="YES",VLOOKUP(Q$1,_Fan!L:N,2,FALSE),0)
+IF(R15="YES",VLOOKUP(R$1,_Fan!L:N,2,FALSE),0)
+IF(S15="YES",VLOOKUP(S$1,_Fan!L:N,2,FALSE),0)
+IF(T15="YES",VLOOKUP(T$1,_Fan!L:N,2,FALSE),0)
+IF(U15="Yes",VLOOKUP("4mm Cable 3 core and Earth",'Part List'!$A:$G,3,FALSE) + VLOOKUP("7030 2 pair TCAS7302P",'Part List'!$A:$G,3,FALSE),
VLOOKUP("2.5mm Twin and Earth",'Part List'!$A:$G,3,FALSE))*IF(COUNTBLANK(G15)=1, IF(K15="Local",5,20),G15)</f>
        <v>#N/A</v>
      </c>
      <c r="I15" s="432">
        <f>VLOOKUP(K15,_Fan!L:N,3,FALSE)
+IF(U15="Yes",VLOOKUP("4mm Cable 3 core and Earth",'Part List'!$A:$G,5,FALSE) + VLOOKUP("7030 2 pair TCAS7302P",'Part List'!$A:$G,5,FALSE),
VLOOKUP("2.5mm Twin and Earth",'Part List'!$A:$G,5,FALSE))*IF(COUNTBLANK(G15)=1, IF(K15="Local",5,20),G15)</f>
        <v>5</v>
      </c>
      <c r="J15" s="432" t="str">
        <f t="shared" si="4"/>
        <v/>
      </c>
      <c r="K15" s="432" t="s">
        <v>679</v>
      </c>
      <c r="L15" s="432"/>
      <c r="M15" s="432"/>
      <c r="N15" s="432"/>
      <c r="O15" s="432"/>
      <c r="P15" s="432"/>
      <c r="Q15" s="432"/>
      <c r="R15" s="432"/>
      <c r="S15" s="432"/>
      <c r="T15" s="432"/>
      <c r="U15" s="432"/>
      <c r="V15" s="434" t="str">
        <f t="shared" si="5"/>
        <v/>
      </c>
      <c r="W15" s="114">
        <f t="shared" si="6"/>
        <v>0</v>
      </c>
      <c r="X15" s="114" t="str">
        <f>_xlfn.CONCAT(E15," (",VLOOKUP(E15,[2]Backend!C:D,2,FALSE),")")</f>
        <v xml:space="preserve"> (Zero)</v>
      </c>
      <c r="Y15" s="114" t="str">
        <f t="shared" si="7"/>
        <v>0 - Electrical power supply and controls to  (Zero) fan</v>
      </c>
      <c r="Z15" s="114" t="str">
        <f t="shared" si="8"/>
        <v xml:space="preserve"> with: </v>
      </c>
      <c r="AA15" s="114" t="str">
        <f t="shared" si="9"/>
        <v/>
      </c>
      <c r="AB15" s="114" t="str">
        <f t="shared" si="10"/>
        <v>from MSSB Power Supply</v>
      </c>
      <c r="AC15" s="114" t="str">
        <f t="shared" si="13"/>
        <v>0 - Electrical power supply and controls to  (Zero) fan with: from MSSB Power Supply</v>
      </c>
      <c r="AD15" s="114" t="str">
        <f t="shared" si="11"/>
        <v>0.1 - This includes supply and install of power and controls.</v>
      </c>
      <c r="AE15" s="114" t="str">
        <f>_xlfn.CONCAT(W15,".2 - Power for system includes: ",VLOOKUP(K15,_Fan!L:O,4,FALSE))</f>
        <v xml:space="preserve">0.2 - Power for system includes: CB and cabling to fan from MSSB, and local isolator, </v>
      </c>
      <c r="AF15" s="114" t="e">
        <f t="shared" si="0"/>
        <v>#N/A</v>
      </c>
      <c r="AG15" s="114" t="e">
        <f>_xlfn.CONCAT(IF(L15="Yes",VLOOKUP(L$1,_Fan!L:Z,4,FALSE),""),IF(M15="Yes",VLOOKUP(M$1,_Fan!L:Z,4,FALSE),""),IF(NOT(N15="No"),VLOOKUP(N15,_Fan!L:Z,4,FALSE),""),IF(O15="Yes",VLOOKUP(O$1,_Fan!L:Z,4,FALSE),""),IF(P15="Yes",VLOOKUP(P$1,_Fan!L:Z,4,FALSE),""),IF(Q15="Yes",VLOOKUP(Q$1,_Fan!L:Z,4,FALSE),""),IF(R15="Yes",VLOOKUP(R$1,_Fan!L:Z,4,FALSE),""),IF(S15="Yes",VLOOKUP(S$1,_Fan!L:Z,4,FALSE),""),IF(T15="Yes",VLOOKUP(T$1,_Fan!L:Z,4,FALSE),""))</f>
        <v>#N/A</v>
      </c>
    </row>
    <row r="16" spans="1:33" x14ac:dyDescent="0.4">
      <c r="A16" s="431" t="str">
        <f t="shared" si="12"/>
        <v>INVALID</v>
      </c>
      <c r="B16" s="432" t="str">
        <f t="shared" si="1"/>
        <v>Fan 15</v>
      </c>
      <c r="C16" s="433" t="e">
        <f t="shared" si="2"/>
        <v>#N/A</v>
      </c>
      <c r="D16" s="432">
        <f t="shared" si="3"/>
        <v>0</v>
      </c>
      <c r="E16" s="432"/>
      <c r="F16" s="432"/>
      <c r="G16" s="432"/>
      <c r="H16" s="432" t="e">
        <f>VLOOKUP(K16,_Fan!L:N,2,FALSE)
+VLOOKUP(N16,_Fan!L:N,2,FALSE)
+IF(L16="YES",VLOOKUP(L$1,_Fan!L:N,2,FALSE),0)
+IF(M16="YES",VLOOKUP(M$1,_Fan!L:N,2,FALSE),0)
+IF(O16="YES",VLOOKUP(O$1,_Fan!L:N,2,FALSE),0)
+IF(P16="YES",VLOOKUP(P$1,_Fan!L:N,2,FALSE),0)
+IF(Q16="YES",VLOOKUP(Q$1,_Fan!L:N,2,FALSE),0)
+IF(R16="YES",VLOOKUP(R$1,_Fan!L:N,2,FALSE),0)
+IF(S16="YES",VLOOKUP(S$1,_Fan!L:N,2,FALSE),0)
+IF(T16="YES",VLOOKUP(T$1,_Fan!L:N,2,FALSE),0)
+IF(U16="Yes",VLOOKUP("4mm Cable 3 core and Earth",'Part List'!$A:$G,3,FALSE) + VLOOKUP("7030 2 pair TCAS7302P",'Part List'!$A:$G,3,FALSE),
VLOOKUP("2.5mm Twin and Earth",'Part List'!$A:$G,3,FALSE))*IF(COUNTBLANK(G16)=1, IF(K16="Local",5,20),G16)</f>
        <v>#N/A</v>
      </c>
      <c r="I16" s="432">
        <f>VLOOKUP(K16,_Fan!L:N,3,FALSE)
+IF(U16="Yes",VLOOKUP("4mm Cable 3 core and Earth",'Part List'!$A:$G,5,FALSE) + VLOOKUP("7030 2 pair TCAS7302P",'Part List'!$A:$G,5,FALSE),
VLOOKUP("2.5mm Twin and Earth",'Part List'!$A:$G,5,FALSE))*IF(COUNTBLANK(G16)=1, IF(K16="Local",5,20),G16)</f>
        <v>5</v>
      </c>
      <c r="J16" s="432" t="str">
        <f t="shared" si="4"/>
        <v/>
      </c>
      <c r="K16" s="432" t="s">
        <v>679</v>
      </c>
      <c r="L16" s="432"/>
      <c r="M16" s="432"/>
      <c r="N16" s="432"/>
      <c r="O16" s="432"/>
      <c r="P16" s="432"/>
      <c r="Q16" s="432"/>
      <c r="R16" s="432"/>
      <c r="S16" s="432"/>
      <c r="T16" s="432"/>
      <c r="U16" s="432"/>
      <c r="V16" s="434" t="str">
        <f t="shared" si="5"/>
        <v/>
      </c>
      <c r="W16" s="114">
        <f t="shared" si="6"/>
        <v>0</v>
      </c>
      <c r="X16" s="114" t="str">
        <f>_xlfn.CONCAT(E16," (",VLOOKUP(E16,[2]Backend!C:D,2,FALSE),")")</f>
        <v xml:space="preserve"> (Zero)</v>
      </c>
      <c r="Y16" s="114" t="str">
        <f t="shared" si="7"/>
        <v>0 - Electrical power supply and controls to  (Zero) fan</v>
      </c>
      <c r="Z16" s="114" t="str">
        <f t="shared" si="8"/>
        <v xml:space="preserve"> with: </v>
      </c>
      <c r="AA16" s="114" t="str">
        <f t="shared" si="9"/>
        <v/>
      </c>
      <c r="AB16" s="114" t="str">
        <f t="shared" si="10"/>
        <v>from MSSB Power Supply</v>
      </c>
      <c r="AC16" s="114" t="str">
        <f t="shared" si="13"/>
        <v>0 - Electrical power supply and controls to  (Zero) fan with: from MSSB Power Supply</v>
      </c>
      <c r="AD16" s="114" t="str">
        <f t="shared" si="11"/>
        <v>0.1 - This includes supply and install of power and controls.</v>
      </c>
      <c r="AE16" s="114" t="str">
        <f>_xlfn.CONCAT(W16,".2 - Power for system includes: ",VLOOKUP(K16,_Fan!L:O,4,FALSE))</f>
        <v xml:space="preserve">0.2 - Power for system includes: CB and cabling to fan from MSSB, and local isolator, </v>
      </c>
      <c r="AF16" s="114" t="e">
        <f t="shared" si="0"/>
        <v>#N/A</v>
      </c>
      <c r="AG16" s="114" t="e">
        <f>_xlfn.CONCAT(IF(L16="Yes",VLOOKUP(L$1,_Fan!L:Z,4,FALSE),""),IF(M16="Yes",VLOOKUP(M$1,_Fan!L:Z,4,FALSE),""),IF(NOT(N16="No"),VLOOKUP(N16,_Fan!L:Z,4,FALSE),""),IF(O16="Yes",VLOOKUP(O$1,_Fan!L:Z,4,FALSE),""),IF(P16="Yes",VLOOKUP(P$1,_Fan!L:Z,4,FALSE),""),IF(Q16="Yes",VLOOKUP(Q$1,_Fan!L:Z,4,FALSE),""),IF(R16="Yes",VLOOKUP(R$1,_Fan!L:Z,4,FALSE),""),IF(S16="Yes",VLOOKUP(S$1,_Fan!L:Z,4,FALSE),""),IF(T16="Yes",VLOOKUP(T$1,_Fan!L:Z,4,FALSE),""))</f>
        <v>#N/A</v>
      </c>
    </row>
    <row r="17" spans="1:33" x14ac:dyDescent="0.4">
      <c r="A17" s="431" t="str">
        <f t="shared" si="12"/>
        <v>INVALID</v>
      </c>
      <c r="B17" s="432" t="str">
        <f t="shared" si="1"/>
        <v>Fan 16</v>
      </c>
      <c r="C17" s="433" t="e">
        <f t="shared" si="2"/>
        <v>#N/A</v>
      </c>
      <c r="D17" s="432">
        <f t="shared" si="3"/>
        <v>0</v>
      </c>
      <c r="E17" s="432"/>
      <c r="F17" s="432"/>
      <c r="G17" s="432"/>
      <c r="H17" s="432" t="e">
        <f>VLOOKUP(K17,_Fan!L:N,2,FALSE)
+VLOOKUP(N17,_Fan!L:N,2,FALSE)
+IF(L17="YES",VLOOKUP(L$1,_Fan!L:N,2,FALSE),0)
+IF(M17="YES",VLOOKUP(M$1,_Fan!L:N,2,FALSE),0)
+IF(O17="YES",VLOOKUP(O$1,_Fan!L:N,2,FALSE),0)
+IF(P17="YES",VLOOKUP(P$1,_Fan!L:N,2,FALSE),0)
+IF(Q17="YES",VLOOKUP(Q$1,_Fan!L:N,2,FALSE),0)
+IF(R17="YES",VLOOKUP(R$1,_Fan!L:N,2,FALSE),0)
+IF(S17="YES",VLOOKUP(S$1,_Fan!L:N,2,FALSE),0)
+IF(T17="YES",VLOOKUP(T$1,_Fan!L:N,2,FALSE),0)
+IF(U17="Yes",VLOOKUP("4mm Cable 3 core and Earth",'Part List'!$A:$G,3,FALSE) + VLOOKUP("7030 2 pair TCAS7302P",'Part List'!$A:$G,3,FALSE),
VLOOKUP("2.5mm Twin and Earth",'Part List'!$A:$G,3,FALSE))*IF(COUNTBLANK(G17)=1, IF(K17="Local",5,20),G17)</f>
        <v>#N/A</v>
      </c>
      <c r="I17" s="432">
        <f>VLOOKUP(K17,_Fan!L:N,3,FALSE)
+IF(U17="Yes",VLOOKUP("4mm Cable 3 core and Earth",'Part List'!$A:$G,5,FALSE) + VLOOKUP("7030 2 pair TCAS7302P",'Part List'!$A:$G,5,FALSE),
VLOOKUP("2.5mm Twin and Earth",'Part List'!$A:$G,5,FALSE))*IF(COUNTBLANK(G17)=1, IF(K17="Local",5,20),G17)</f>
        <v>5</v>
      </c>
      <c r="J17" s="432" t="str">
        <f t="shared" si="4"/>
        <v/>
      </c>
      <c r="K17" s="432" t="s">
        <v>679</v>
      </c>
      <c r="L17" s="432"/>
      <c r="M17" s="432"/>
      <c r="N17" s="432"/>
      <c r="O17" s="432"/>
      <c r="P17" s="432"/>
      <c r="Q17" s="432"/>
      <c r="R17" s="432"/>
      <c r="S17" s="432"/>
      <c r="T17" s="432"/>
      <c r="U17" s="432"/>
      <c r="V17" s="434" t="str">
        <f t="shared" si="5"/>
        <v/>
      </c>
      <c r="W17" s="114">
        <f t="shared" si="6"/>
        <v>0</v>
      </c>
      <c r="X17" s="114" t="str">
        <f>_xlfn.CONCAT(E17," (",VLOOKUP(E17,[2]Backend!C:D,2,FALSE),")")</f>
        <v xml:space="preserve"> (Zero)</v>
      </c>
      <c r="Y17" s="114" t="str">
        <f t="shared" si="7"/>
        <v>0 - Electrical power supply and controls to  (Zero) fan</v>
      </c>
      <c r="Z17" s="114" t="str">
        <f t="shared" si="8"/>
        <v xml:space="preserve"> with: </v>
      </c>
      <c r="AA17" s="114" t="str">
        <f t="shared" si="9"/>
        <v/>
      </c>
      <c r="AB17" s="114" t="str">
        <f t="shared" si="10"/>
        <v>from MSSB Power Supply</v>
      </c>
      <c r="AC17" s="114" t="str">
        <f t="shared" si="13"/>
        <v>0 - Electrical power supply and controls to  (Zero) fan with: from MSSB Power Supply</v>
      </c>
      <c r="AD17" s="114" t="str">
        <f t="shared" si="11"/>
        <v>0.1 - This includes supply and install of power and controls.</v>
      </c>
      <c r="AE17" s="114" t="str">
        <f>_xlfn.CONCAT(W17,".2 - Power for system includes: ",VLOOKUP(K17,_Fan!L:O,4,FALSE))</f>
        <v xml:space="preserve">0.2 - Power for system includes: CB and cabling to fan from MSSB, and local isolator, </v>
      </c>
      <c r="AF17" s="114" t="e">
        <f t="shared" si="0"/>
        <v>#N/A</v>
      </c>
      <c r="AG17" s="114" t="e">
        <f>_xlfn.CONCAT(IF(L17="Yes",VLOOKUP(L$1,_Fan!L:Z,4,FALSE),""),IF(M17="Yes",VLOOKUP(M$1,_Fan!L:Z,4,FALSE),""),IF(NOT(N17="No"),VLOOKUP(N17,_Fan!L:Z,4,FALSE),""),IF(O17="Yes",VLOOKUP(O$1,_Fan!L:Z,4,FALSE),""),IF(P17="Yes",VLOOKUP(P$1,_Fan!L:Z,4,FALSE),""),IF(Q17="Yes",VLOOKUP(Q$1,_Fan!L:Z,4,FALSE),""),IF(R17="Yes",VLOOKUP(R$1,_Fan!L:Z,4,FALSE),""),IF(S17="Yes",VLOOKUP(S$1,_Fan!L:Z,4,FALSE),""),IF(T17="Yes",VLOOKUP(T$1,_Fan!L:Z,4,FALSE),""))</f>
        <v>#N/A</v>
      </c>
    </row>
    <row r="18" spans="1:33" x14ac:dyDescent="0.4">
      <c r="A18" s="431" t="str">
        <f t="shared" si="12"/>
        <v>INVALID</v>
      </c>
      <c r="B18" s="432" t="str">
        <f t="shared" si="1"/>
        <v>Fan 17</v>
      </c>
      <c r="C18" s="433" t="e">
        <f t="shared" si="2"/>
        <v>#N/A</v>
      </c>
      <c r="D18" s="432">
        <f t="shared" si="3"/>
        <v>0</v>
      </c>
      <c r="E18" s="432"/>
      <c r="F18" s="432"/>
      <c r="G18" s="432"/>
      <c r="H18" s="432" t="e">
        <f>VLOOKUP(K18,_Fan!L:N,2,FALSE)
+VLOOKUP(N18,_Fan!L:N,2,FALSE)
+IF(L18="YES",VLOOKUP(L$1,_Fan!L:N,2,FALSE),0)
+IF(M18="YES",VLOOKUP(M$1,_Fan!L:N,2,FALSE),0)
+IF(O18="YES",VLOOKUP(O$1,_Fan!L:N,2,FALSE),0)
+IF(P18="YES",VLOOKUP(P$1,_Fan!L:N,2,FALSE),0)
+IF(Q18="YES",VLOOKUP(Q$1,_Fan!L:N,2,FALSE),0)
+IF(R18="YES",VLOOKUP(R$1,_Fan!L:N,2,FALSE),0)
+IF(S18="YES",VLOOKUP(S$1,_Fan!L:N,2,FALSE),0)
+IF(T18="YES",VLOOKUP(T$1,_Fan!L:N,2,FALSE),0)
+IF(U18="Yes",VLOOKUP("4mm Cable 3 core and Earth",'Part List'!$A:$G,3,FALSE) + VLOOKUP("7030 2 pair TCAS7302P",'Part List'!$A:$G,3,FALSE),
VLOOKUP("2.5mm Twin and Earth",'Part List'!$A:$G,3,FALSE))*IF(COUNTBLANK(G18)=1, IF(K18="Local",5,20),G18)</f>
        <v>#N/A</v>
      </c>
      <c r="I18" s="432">
        <f>VLOOKUP(K18,_Fan!L:N,3,FALSE)
+IF(U18="Yes",VLOOKUP("4mm Cable 3 core and Earth",'Part List'!$A:$G,5,FALSE) + VLOOKUP("7030 2 pair TCAS7302P",'Part List'!$A:$G,5,FALSE),
VLOOKUP("2.5mm Twin and Earth",'Part List'!$A:$G,5,FALSE))*IF(COUNTBLANK(G18)=1, IF(K18="Local",5,20),G18)</f>
        <v>5</v>
      </c>
      <c r="J18" s="432" t="str">
        <f t="shared" si="4"/>
        <v/>
      </c>
      <c r="K18" s="432" t="s">
        <v>679</v>
      </c>
      <c r="L18" s="432"/>
      <c r="M18" s="432"/>
      <c r="N18" s="432"/>
      <c r="O18" s="432"/>
      <c r="P18" s="432"/>
      <c r="Q18" s="432"/>
      <c r="R18" s="432"/>
      <c r="S18" s="432"/>
      <c r="T18" s="432"/>
      <c r="U18" s="432"/>
      <c r="V18" s="434" t="str">
        <f t="shared" si="5"/>
        <v/>
      </c>
      <c r="W18" s="114">
        <f t="shared" si="6"/>
        <v>0</v>
      </c>
      <c r="X18" s="114" t="str">
        <f>_xlfn.CONCAT(E18," (",VLOOKUP(E18,[2]Backend!C:D,2,FALSE),")")</f>
        <v xml:space="preserve"> (Zero)</v>
      </c>
      <c r="Y18" s="114" t="str">
        <f t="shared" si="7"/>
        <v>0 - Electrical power supply and controls to  (Zero) fan</v>
      </c>
      <c r="Z18" s="114" t="str">
        <f t="shared" si="8"/>
        <v xml:space="preserve"> with: </v>
      </c>
      <c r="AA18" s="114" t="str">
        <f t="shared" si="9"/>
        <v/>
      </c>
      <c r="AB18" s="114" t="str">
        <f t="shared" si="10"/>
        <v>from MSSB Power Supply</v>
      </c>
      <c r="AC18" s="114" t="str">
        <f t="shared" si="13"/>
        <v>0 - Electrical power supply and controls to  (Zero) fan with: from MSSB Power Supply</v>
      </c>
      <c r="AD18" s="114" t="str">
        <f t="shared" si="11"/>
        <v>0.1 - This includes supply and install of power and controls.</v>
      </c>
      <c r="AE18" s="114" t="str">
        <f>_xlfn.CONCAT(W18,".2 - Power for system includes: ",VLOOKUP(K18,_Fan!L:O,4,FALSE))</f>
        <v xml:space="preserve">0.2 - Power for system includes: CB and cabling to fan from MSSB, and local isolator, </v>
      </c>
      <c r="AF18" s="114" t="e">
        <f t="shared" si="0"/>
        <v>#N/A</v>
      </c>
      <c r="AG18" s="114" t="e">
        <f>_xlfn.CONCAT(IF(L18="Yes",VLOOKUP(L$1,_Fan!L:Z,4,FALSE),""),IF(M18="Yes",VLOOKUP(M$1,_Fan!L:Z,4,FALSE),""),IF(NOT(N18="No"),VLOOKUP(N18,_Fan!L:Z,4,FALSE),""),IF(O18="Yes",VLOOKUP(O$1,_Fan!L:Z,4,FALSE),""),IF(P18="Yes",VLOOKUP(P$1,_Fan!L:Z,4,FALSE),""),IF(Q18="Yes",VLOOKUP(Q$1,_Fan!L:Z,4,FALSE),""),IF(R18="Yes",VLOOKUP(R$1,_Fan!L:Z,4,FALSE),""),IF(S18="Yes",VLOOKUP(S$1,_Fan!L:Z,4,FALSE),""),IF(T18="Yes",VLOOKUP(T$1,_Fan!L:Z,4,FALSE),""))</f>
        <v>#N/A</v>
      </c>
    </row>
    <row r="19" spans="1:33" x14ac:dyDescent="0.4">
      <c r="A19" s="431" t="str">
        <f t="shared" si="12"/>
        <v>INVALID</v>
      </c>
      <c r="B19" s="432" t="str">
        <f t="shared" si="1"/>
        <v>Fan 18</v>
      </c>
      <c r="C19" s="433" t="e">
        <f t="shared" si="2"/>
        <v>#N/A</v>
      </c>
      <c r="D19" s="432">
        <f t="shared" si="3"/>
        <v>0</v>
      </c>
      <c r="E19" s="432"/>
      <c r="F19" s="432"/>
      <c r="G19" s="432"/>
      <c r="H19" s="432" t="e">
        <f>VLOOKUP(K19,_Fan!L:N,2,FALSE)
+VLOOKUP(N19,_Fan!L:N,2,FALSE)
+IF(L19="YES",VLOOKUP(L$1,_Fan!L:N,2,FALSE),0)
+IF(M19="YES",VLOOKUP(M$1,_Fan!L:N,2,FALSE),0)
+IF(O19="YES",VLOOKUP(O$1,_Fan!L:N,2,FALSE),0)
+IF(P19="YES",VLOOKUP(P$1,_Fan!L:N,2,FALSE),0)
+IF(Q19="YES",VLOOKUP(Q$1,_Fan!L:N,2,FALSE),0)
+IF(R19="YES",VLOOKUP(R$1,_Fan!L:N,2,FALSE),0)
+IF(S19="YES",VLOOKUP(S$1,_Fan!L:N,2,FALSE),0)
+IF(T19="YES",VLOOKUP(T$1,_Fan!L:N,2,FALSE),0)
+IF(U19="Yes",VLOOKUP("4mm Cable 3 core and Earth",'Part List'!$A:$G,3,FALSE) + VLOOKUP("7030 2 pair TCAS7302P",'Part List'!$A:$G,3,FALSE),
VLOOKUP("2.5mm Twin and Earth",'Part List'!$A:$G,3,FALSE))*IF(COUNTBLANK(G19)=1, IF(K19="Local",5,20),G19)</f>
        <v>#N/A</v>
      </c>
      <c r="I19" s="432">
        <f>VLOOKUP(K19,_Fan!L:N,3,FALSE)
+IF(U19="Yes",VLOOKUP("4mm Cable 3 core and Earth",'Part List'!$A:$G,5,FALSE) + VLOOKUP("7030 2 pair TCAS7302P",'Part List'!$A:$G,5,FALSE),
VLOOKUP("2.5mm Twin and Earth",'Part List'!$A:$G,5,FALSE))*IF(COUNTBLANK(G19)=1, IF(K19="Local",5,20),G19)</f>
        <v>5</v>
      </c>
      <c r="J19" s="432" t="str">
        <f t="shared" si="4"/>
        <v/>
      </c>
      <c r="K19" s="432" t="s">
        <v>679</v>
      </c>
      <c r="L19" s="432"/>
      <c r="M19" s="432"/>
      <c r="N19" s="432"/>
      <c r="O19" s="432"/>
      <c r="P19" s="432"/>
      <c r="Q19" s="432"/>
      <c r="R19" s="432"/>
      <c r="S19" s="432"/>
      <c r="T19" s="432"/>
      <c r="U19" s="432"/>
      <c r="V19" s="434" t="str">
        <f t="shared" si="5"/>
        <v/>
      </c>
      <c r="W19" s="114">
        <f t="shared" si="6"/>
        <v>0</v>
      </c>
      <c r="X19" s="114" t="str">
        <f>_xlfn.CONCAT(E19," (",VLOOKUP(E19,[2]Backend!C:D,2,FALSE),")")</f>
        <v xml:space="preserve"> (Zero)</v>
      </c>
      <c r="Y19" s="114" t="str">
        <f t="shared" si="7"/>
        <v>0 - Electrical power supply and controls to  (Zero) fan</v>
      </c>
      <c r="Z19" s="114" t="str">
        <f t="shared" si="8"/>
        <v xml:space="preserve"> with: </v>
      </c>
      <c r="AA19" s="114" t="str">
        <f t="shared" si="9"/>
        <v/>
      </c>
      <c r="AB19" s="114" t="str">
        <f t="shared" si="10"/>
        <v>from MSSB Power Supply</v>
      </c>
      <c r="AC19" s="114" t="str">
        <f t="shared" si="13"/>
        <v>0 - Electrical power supply and controls to  (Zero) fan with: from MSSB Power Supply</v>
      </c>
      <c r="AD19" s="114" t="str">
        <f t="shared" si="11"/>
        <v>0.1 - This includes supply and install of power and controls.</v>
      </c>
      <c r="AE19" s="114" t="str">
        <f>_xlfn.CONCAT(W19,".2 - Power for system includes: ",VLOOKUP(K19,_Fan!L:O,4,FALSE))</f>
        <v xml:space="preserve">0.2 - Power for system includes: CB and cabling to fan from MSSB, and local isolator, </v>
      </c>
      <c r="AF19" s="114" t="e">
        <f t="shared" si="0"/>
        <v>#N/A</v>
      </c>
      <c r="AG19" s="114" t="e">
        <f>_xlfn.CONCAT(IF(L19="Yes",VLOOKUP(L$1,_Fan!L:Z,4,FALSE),""),IF(M19="Yes",VLOOKUP(M$1,_Fan!L:Z,4,FALSE),""),IF(NOT(N19="No"),VLOOKUP(N19,_Fan!L:Z,4,FALSE),""),IF(O19="Yes",VLOOKUP(O$1,_Fan!L:Z,4,FALSE),""),IF(P19="Yes",VLOOKUP(P$1,_Fan!L:Z,4,FALSE),""),IF(Q19="Yes",VLOOKUP(Q$1,_Fan!L:Z,4,FALSE),""),IF(R19="Yes",VLOOKUP(R$1,_Fan!L:Z,4,FALSE),""),IF(S19="Yes",VLOOKUP(S$1,_Fan!L:Z,4,FALSE),""),IF(T19="Yes",VLOOKUP(T$1,_Fan!L:Z,4,FALSE),""))</f>
        <v>#N/A</v>
      </c>
    </row>
    <row r="20" spans="1:33" x14ac:dyDescent="0.4">
      <c r="A20" s="431" t="str">
        <f t="shared" si="12"/>
        <v>INVALID</v>
      </c>
      <c r="B20" s="432" t="str">
        <f t="shared" si="1"/>
        <v>Fan 19</v>
      </c>
      <c r="C20" s="433" t="e">
        <f t="shared" si="2"/>
        <v>#N/A</v>
      </c>
      <c r="D20" s="432">
        <f t="shared" si="3"/>
        <v>0</v>
      </c>
      <c r="E20" s="432"/>
      <c r="F20" s="432"/>
      <c r="G20" s="432"/>
      <c r="H20" s="432" t="e">
        <f>VLOOKUP(K20,_Fan!L:N,2,FALSE)
+VLOOKUP(N20,_Fan!L:N,2,FALSE)
+IF(L20="YES",VLOOKUP(L$1,_Fan!L:N,2,FALSE),0)
+IF(M20="YES",VLOOKUP(M$1,_Fan!L:N,2,FALSE),0)
+IF(O20="YES",VLOOKUP(O$1,_Fan!L:N,2,FALSE),0)
+IF(P20="YES",VLOOKUP(P$1,_Fan!L:N,2,FALSE),0)
+IF(Q20="YES",VLOOKUP(Q$1,_Fan!L:N,2,FALSE),0)
+IF(R20="YES",VLOOKUP(R$1,_Fan!L:N,2,FALSE),0)
+IF(S20="YES",VLOOKUP(S$1,_Fan!L:N,2,FALSE),0)
+IF(T20="YES",VLOOKUP(T$1,_Fan!L:N,2,FALSE),0)
+IF(U20="Yes",VLOOKUP("4mm Cable 3 core and Earth",'Part List'!$A:$G,3,FALSE) + VLOOKUP("7030 2 pair TCAS7302P",'Part List'!$A:$G,3,FALSE),
VLOOKUP("2.5mm Twin and Earth",'Part List'!$A:$G,3,FALSE))*IF(COUNTBLANK(G20)=1, IF(K20="Local",5,20),G20)</f>
        <v>#N/A</v>
      </c>
      <c r="I20" s="432">
        <f>VLOOKUP(K20,_Fan!L:N,3,FALSE)
+IF(U20="Yes",VLOOKUP("4mm Cable 3 core and Earth",'Part List'!$A:$G,5,FALSE) + VLOOKUP("7030 2 pair TCAS7302P",'Part List'!$A:$G,5,FALSE),
VLOOKUP("2.5mm Twin and Earth",'Part List'!$A:$G,5,FALSE))*IF(COUNTBLANK(G20)=1, IF(K20="Local",5,20),G20)</f>
        <v>5</v>
      </c>
      <c r="J20" s="432" t="str">
        <f t="shared" si="4"/>
        <v/>
      </c>
      <c r="K20" s="432" t="s">
        <v>679</v>
      </c>
      <c r="L20" s="432"/>
      <c r="M20" s="432"/>
      <c r="N20" s="432"/>
      <c r="O20" s="432"/>
      <c r="P20" s="432"/>
      <c r="Q20" s="432"/>
      <c r="R20" s="432"/>
      <c r="S20" s="432"/>
      <c r="T20" s="432"/>
      <c r="U20" s="432"/>
      <c r="V20" s="434" t="str">
        <f t="shared" si="5"/>
        <v/>
      </c>
      <c r="W20" s="114">
        <f t="shared" si="6"/>
        <v>0</v>
      </c>
      <c r="X20" s="114" t="str">
        <f>_xlfn.CONCAT(E20," (",VLOOKUP(E20,[2]Backend!C:D,2,FALSE),")")</f>
        <v xml:space="preserve"> (Zero)</v>
      </c>
      <c r="Y20" s="114" t="str">
        <f t="shared" si="7"/>
        <v>0 - Electrical power supply and controls to  (Zero) fan</v>
      </c>
      <c r="Z20" s="114" t="str">
        <f t="shared" si="8"/>
        <v xml:space="preserve"> with: </v>
      </c>
      <c r="AA20" s="114" t="str">
        <f t="shared" si="9"/>
        <v/>
      </c>
      <c r="AB20" s="114" t="str">
        <f t="shared" si="10"/>
        <v>from MSSB Power Supply</v>
      </c>
      <c r="AC20" s="114" t="str">
        <f t="shared" si="13"/>
        <v>0 - Electrical power supply and controls to  (Zero) fan with: from MSSB Power Supply</v>
      </c>
      <c r="AD20" s="114" t="str">
        <f t="shared" si="11"/>
        <v>0.1 - This includes supply and install of power and controls.</v>
      </c>
      <c r="AE20" s="114" t="str">
        <f>_xlfn.CONCAT(W20,".2 - Power for system includes: ",VLOOKUP(K20,_Fan!L:O,4,FALSE))</f>
        <v xml:space="preserve">0.2 - Power for system includes: CB and cabling to fan from MSSB, and local isolator, </v>
      </c>
      <c r="AF20" s="114" t="e">
        <f t="shared" si="0"/>
        <v>#N/A</v>
      </c>
      <c r="AG20" s="114" t="e">
        <f>_xlfn.CONCAT(IF(L20="Yes",VLOOKUP(L$1,_Fan!L:Z,4,FALSE),""),IF(M20="Yes",VLOOKUP(M$1,_Fan!L:Z,4,FALSE),""),IF(NOT(N20="No"),VLOOKUP(N20,_Fan!L:Z,4,FALSE),""),IF(O20="Yes",VLOOKUP(O$1,_Fan!L:Z,4,FALSE),""),IF(P20="Yes",VLOOKUP(P$1,_Fan!L:Z,4,FALSE),""),IF(Q20="Yes",VLOOKUP(Q$1,_Fan!L:Z,4,FALSE),""),IF(R20="Yes",VLOOKUP(R$1,_Fan!L:Z,4,FALSE),""),IF(S20="Yes",VLOOKUP(S$1,_Fan!L:Z,4,FALSE),""),IF(T20="Yes",VLOOKUP(T$1,_Fan!L:Z,4,FALSE),""))</f>
        <v>#N/A</v>
      </c>
    </row>
    <row r="21" spans="1:33" x14ac:dyDescent="0.4">
      <c r="A21" s="431" t="str">
        <f t="shared" si="12"/>
        <v>INVALID</v>
      </c>
      <c r="B21" s="432" t="str">
        <f t="shared" si="1"/>
        <v>Fan 20</v>
      </c>
      <c r="C21" s="433" t="e">
        <f t="shared" si="2"/>
        <v>#N/A</v>
      </c>
      <c r="D21" s="432">
        <f t="shared" si="3"/>
        <v>0</v>
      </c>
      <c r="E21" s="432"/>
      <c r="F21" s="432"/>
      <c r="G21" s="432"/>
      <c r="H21" s="432" t="e">
        <f>VLOOKUP(K21,_Fan!L:N,2,FALSE)
+VLOOKUP(N21,_Fan!L:N,2,FALSE)
+IF(L21="YES",VLOOKUP(L$1,_Fan!L:N,2,FALSE),0)
+IF(M21="YES",VLOOKUP(M$1,_Fan!L:N,2,FALSE),0)
+IF(O21="YES",VLOOKUP(O$1,_Fan!L:N,2,FALSE),0)
+IF(P21="YES",VLOOKUP(P$1,_Fan!L:N,2,FALSE),0)
+IF(Q21="YES",VLOOKUP(Q$1,_Fan!L:N,2,FALSE),0)
+IF(R21="YES",VLOOKUP(R$1,_Fan!L:N,2,FALSE),0)
+IF(S21="YES",VLOOKUP(S$1,_Fan!L:N,2,FALSE),0)
+IF(T21="YES",VLOOKUP(T$1,_Fan!L:N,2,FALSE),0)
+IF(U21="Yes",VLOOKUP("4mm Cable 3 core and Earth",'Part List'!$A:$G,3,FALSE) + VLOOKUP("7030 2 pair TCAS7302P",'Part List'!$A:$G,3,FALSE),
VLOOKUP("2.5mm Twin and Earth",'Part List'!$A:$G,3,FALSE))*IF(COUNTBLANK(G21)=1, IF(K21="Local",5,20),G21)</f>
        <v>#N/A</v>
      </c>
      <c r="I21" s="432">
        <f>VLOOKUP(K21,_Fan!L:N,3,FALSE)
+IF(U21="Yes",VLOOKUP("4mm Cable 3 core and Earth",'Part List'!$A:$G,5,FALSE) + VLOOKUP("7030 2 pair TCAS7302P",'Part List'!$A:$G,5,FALSE),
VLOOKUP("2.5mm Twin and Earth",'Part List'!$A:$G,5,FALSE))*IF(COUNTBLANK(G21)=1, IF(K21="Local",5,20),G21)</f>
        <v>5</v>
      </c>
      <c r="J21" s="432" t="str">
        <f t="shared" si="4"/>
        <v/>
      </c>
      <c r="K21" s="432" t="s">
        <v>679</v>
      </c>
      <c r="L21" s="432"/>
      <c r="M21" s="432"/>
      <c r="N21" s="432"/>
      <c r="O21" s="432"/>
      <c r="P21" s="432"/>
      <c r="Q21" s="432"/>
      <c r="R21" s="432"/>
      <c r="S21" s="432"/>
      <c r="T21" s="432"/>
      <c r="U21" s="432"/>
      <c r="V21" s="434" t="str">
        <f t="shared" si="5"/>
        <v/>
      </c>
      <c r="W21" s="114">
        <f t="shared" si="6"/>
        <v>0</v>
      </c>
      <c r="X21" s="114" t="str">
        <f>_xlfn.CONCAT(E21," (",VLOOKUP(E21,[2]Backend!C:D,2,FALSE),")")</f>
        <v xml:space="preserve"> (Zero)</v>
      </c>
      <c r="Y21" s="114" t="str">
        <f t="shared" si="7"/>
        <v>0 - Electrical power supply and controls to  (Zero) fan</v>
      </c>
      <c r="Z21" s="114" t="str">
        <f t="shared" si="8"/>
        <v xml:space="preserve"> with: </v>
      </c>
      <c r="AA21" s="114" t="str">
        <f t="shared" si="9"/>
        <v/>
      </c>
      <c r="AB21" s="114" t="str">
        <f t="shared" si="10"/>
        <v>from MSSB Power Supply</v>
      </c>
      <c r="AC21" s="114" t="str">
        <f t="shared" si="13"/>
        <v>0 - Electrical power supply and controls to  (Zero) fan with: from MSSB Power Supply</v>
      </c>
      <c r="AD21" s="114" t="str">
        <f t="shared" si="11"/>
        <v>0.1 - This includes supply and install of power and controls.</v>
      </c>
      <c r="AE21" s="114" t="str">
        <f>_xlfn.CONCAT(W21,".2 - Power for system includes: ",VLOOKUP(K21,_Fan!L:O,4,FALSE))</f>
        <v xml:space="preserve">0.2 - Power for system includes: CB and cabling to fan from MSSB, and local isolator, </v>
      </c>
      <c r="AF21" s="114" t="e">
        <f t="shared" si="0"/>
        <v>#N/A</v>
      </c>
      <c r="AG21" s="114" t="e">
        <f>_xlfn.CONCAT(IF(L21="Yes",VLOOKUP(L$1,_Fan!L:Z,4,FALSE),""),IF(M21="Yes",VLOOKUP(M$1,_Fan!L:Z,4,FALSE),""),IF(NOT(N21="No"),VLOOKUP(N21,_Fan!L:Z,4,FALSE),""),IF(O21="Yes",VLOOKUP(O$1,_Fan!L:Z,4,FALSE),""),IF(P21="Yes",VLOOKUP(P$1,_Fan!L:Z,4,FALSE),""),IF(Q21="Yes",VLOOKUP(Q$1,_Fan!L:Z,4,FALSE),""),IF(R21="Yes",VLOOKUP(R$1,_Fan!L:Z,4,FALSE),""),IF(S21="Yes",VLOOKUP(S$1,_Fan!L:Z,4,FALSE),""),IF(T21="Yes",VLOOKUP(T$1,_Fan!L:Z,4,FALSE),""))</f>
        <v>#N/A</v>
      </c>
    </row>
    <row r="22" spans="1:33" x14ac:dyDescent="0.4">
      <c r="A22" s="431" t="str">
        <f t="shared" si="12"/>
        <v>INVALID</v>
      </c>
      <c r="B22" s="432" t="str">
        <f t="shared" si="1"/>
        <v>Fan 21</v>
      </c>
      <c r="C22" s="433" t="e">
        <f t="shared" si="2"/>
        <v>#N/A</v>
      </c>
      <c r="D22" s="432">
        <f t="shared" si="3"/>
        <v>0</v>
      </c>
      <c r="E22" s="432"/>
      <c r="F22" s="432"/>
      <c r="G22" s="432"/>
      <c r="H22" s="432" t="e">
        <f>VLOOKUP(K22,_Fan!L:N,2,FALSE)
+VLOOKUP(N22,_Fan!L:N,2,FALSE)
+IF(L22="YES",VLOOKUP(L$1,_Fan!L:N,2,FALSE),0)
+IF(M22="YES",VLOOKUP(M$1,_Fan!L:N,2,FALSE),0)
+IF(O22="YES",VLOOKUP(O$1,_Fan!L:N,2,FALSE),0)
+IF(P22="YES",VLOOKUP(P$1,_Fan!L:N,2,FALSE),0)
+IF(Q22="YES",VLOOKUP(Q$1,_Fan!L:N,2,FALSE),0)
+IF(R22="YES",VLOOKUP(R$1,_Fan!L:N,2,FALSE),0)
+IF(S22="YES",VLOOKUP(S$1,_Fan!L:N,2,FALSE),0)
+IF(T22="YES",VLOOKUP(T$1,_Fan!L:N,2,FALSE),0)
+IF(U22="Yes",VLOOKUP("4mm Cable 3 core and Earth",'Part List'!$A:$G,3,FALSE) + VLOOKUP("7030 2 pair TCAS7302P",'Part List'!$A:$G,3,FALSE),
VLOOKUP("2.5mm Twin and Earth",'Part List'!$A:$G,3,FALSE))*IF(COUNTBLANK(G22)=1, IF(K22="Local",5,20),G22)</f>
        <v>#N/A</v>
      </c>
      <c r="I22" s="432">
        <f>VLOOKUP(K22,_Fan!L:N,3,FALSE)
+IF(U22="Yes",VLOOKUP("4mm Cable 3 core and Earth",'Part List'!$A:$G,5,FALSE) + VLOOKUP("7030 2 pair TCAS7302P",'Part List'!$A:$G,5,FALSE),
VLOOKUP("2.5mm Twin and Earth",'Part List'!$A:$G,5,FALSE))*IF(COUNTBLANK(G22)=1, IF(K22="Local",5,20),G22)</f>
        <v>5</v>
      </c>
      <c r="J22" s="432" t="str">
        <f t="shared" si="4"/>
        <v/>
      </c>
      <c r="K22" s="432" t="s">
        <v>679</v>
      </c>
      <c r="L22" s="432"/>
      <c r="M22" s="432"/>
      <c r="N22" s="432"/>
      <c r="O22" s="432"/>
      <c r="P22" s="432"/>
      <c r="Q22" s="432"/>
      <c r="R22" s="432"/>
      <c r="S22" s="432"/>
      <c r="T22" s="432"/>
      <c r="U22" s="432"/>
      <c r="V22" s="434" t="str">
        <f t="shared" si="5"/>
        <v/>
      </c>
      <c r="W22" s="114">
        <f t="shared" si="6"/>
        <v>0</v>
      </c>
      <c r="X22" s="114" t="str">
        <f>_xlfn.CONCAT(E22," (",VLOOKUP(E22,[2]Backend!C:D,2,FALSE),")")</f>
        <v xml:space="preserve"> (Zero)</v>
      </c>
      <c r="Y22" s="114" t="str">
        <f t="shared" si="7"/>
        <v>0 - Electrical power supply and controls to  (Zero) fan</v>
      </c>
      <c r="Z22" s="114" t="str">
        <f t="shared" si="8"/>
        <v xml:space="preserve"> with: </v>
      </c>
      <c r="AA22" s="114" t="str">
        <f t="shared" si="9"/>
        <v/>
      </c>
      <c r="AB22" s="114" t="str">
        <f t="shared" si="10"/>
        <v>from MSSB Power Supply</v>
      </c>
      <c r="AC22" s="114" t="str">
        <f t="shared" si="13"/>
        <v>0 - Electrical power supply and controls to  (Zero) fan with: from MSSB Power Supply</v>
      </c>
      <c r="AD22" s="114" t="str">
        <f t="shared" si="11"/>
        <v>0.1 - This includes supply and install of power and controls.</v>
      </c>
      <c r="AE22" s="114" t="str">
        <f>_xlfn.CONCAT(W22,".2 - Power for system includes: ",VLOOKUP(K22,_Fan!L:O,4,FALSE))</f>
        <v xml:space="preserve">0.2 - Power for system includes: CB and cabling to fan from MSSB, and local isolator, </v>
      </c>
      <c r="AF22" s="114" t="e">
        <f t="shared" si="0"/>
        <v>#N/A</v>
      </c>
      <c r="AG22" s="114" t="e">
        <f>_xlfn.CONCAT(IF(L22="Yes",VLOOKUP(L$1,_Fan!L:Z,4,FALSE),""),IF(M22="Yes",VLOOKUP(M$1,_Fan!L:Z,4,FALSE),""),IF(NOT(N22="No"),VLOOKUP(N22,_Fan!L:Z,4,FALSE),""),IF(O22="Yes",VLOOKUP(O$1,_Fan!L:Z,4,FALSE),""),IF(P22="Yes",VLOOKUP(P$1,_Fan!L:Z,4,FALSE),""),IF(Q22="Yes",VLOOKUP(Q$1,_Fan!L:Z,4,FALSE),""),IF(R22="Yes",VLOOKUP(R$1,_Fan!L:Z,4,FALSE),""),IF(S22="Yes",VLOOKUP(S$1,_Fan!L:Z,4,FALSE),""),IF(T22="Yes",VLOOKUP(T$1,_Fan!L:Z,4,FALSE),""))</f>
        <v>#N/A</v>
      </c>
    </row>
    <row r="25" spans="1:33" x14ac:dyDescent="0.4">
      <c r="T25" s="435"/>
      <c r="U25" s="435"/>
    </row>
  </sheetData>
  <conditionalFormatting sqref="A2:A22">
    <cfRule type="cellIs" dxfId="113" priority="4" operator="equal">
      <formula>"INVALID"</formula>
    </cfRule>
    <cfRule type="cellIs" dxfId="112" priority="5" operator="equal">
      <formula>"VALID"</formula>
    </cfRule>
  </conditionalFormatting>
  <conditionalFormatting sqref="K2:T22">
    <cfRule type="cellIs" dxfId="111" priority="3" operator="equal">
      <formula>$ZO$2</formula>
    </cfRule>
  </conditionalFormatting>
  <conditionalFormatting sqref="AF1:AF1048576">
    <cfRule type="colorScale" priority="2">
      <colorScale>
        <cfvo type="min"/>
        <cfvo type="max"/>
        <color rgb="FF63BE7B"/>
        <color rgb="FFFCFCFF"/>
      </colorScale>
    </cfRule>
  </conditionalFormatting>
  <conditionalFormatting sqref="U2:U22">
    <cfRule type="cellIs" dxfId="110" priority="1" operator="equal">
      <formula>$ZO$2</formula>
    </cfRule>
  </conditionalFormatting>
  <dataValidations count="1">
    <dataValidation type="decimal" operator="greaterThanOrEqual" allowBlank="1" showInputMessage="1" showErrorMessage="1" promptTitle="[OVERRIDE] Hours" prompt="Override the default hours for the unit_x000a_" sqref="I2:I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556F34E-D66B-4600-A711-AAF619CEB765}">
          <x14:formula1>
            <xm:f>_Fan!D$2:D$6</xm:f>
          </x14:formula1>
          <xm:sqref>N2:N22</xm:sqref>
        </x14:dataValidation>
        <x14:dataValidation type="list" allowBlank="1" showInputMessage="1" showErrorMessage="1" xr:uid="{09319789-730F-428C-886B-F7B28E9DEBF1}">
          <x14:formula1>
            <xm:f>_Fan!A$2:A$3</xm:f>
          </x14:formula1>
          <xm:sqref>O2:U22 K2:M22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Job Summary</vt:lpstr>
      <vt:lpstr>Sheet1</vt:lpstr>
      <vt:lpstr>Sheet4</vt:lpstr>
      <vt:lpstr>Takeoffs</vt:lpstr>
      <vt:lpstr>Sheet2</vt:lpstr>
      <vt:lpstr>Sheet3</vt:lpstr>
      <vt:lpstr>Car Park</vt:lpstr>
      <vt:lpstr>@MSSB</vt:lpstr>
      <vt:lpstr>@Fan</vt:lpstr>
      <vt:lpstr>_MSSB</vt:lpstr>
      <vt:lpstr>_Fan</vt:lpstr>
      <vt:lpstr>@VRF</vt:lpstr>
      <vt:lpstr>_VRF</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2018-07-17T23:53:59Z</cp:lastPrinted>
  <dcterms:created xsi:type="dcterms:W3CDTF">2017-10-19T06:04:18Z</dcterms:created>
  <dcterms:modified xsi:type="dcterms:W3CDTF">2018-07-17T23:54:14Z</dcterms:modified>
</cp:coreProperties>
</file>