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CA76AD97-F735-4EEE-BC0A-7A7FBF207AED}" xr6:coauthVersionLast="36" xr6:coauthVersionMax="36" xr10:uidLastSave="{00000000-0000-0000-0000-000000000000}"/>
  <bookViews>
    <workbookView xWindow="0" yWindow="180" windowWidth="19200" windowHeight="7834" activeTab="35" xr2:uid="{00000000-000D-0000-FFFF-FFFF00000000}"/>
  </bookViews>
  <sheets>
    <sheet name="Job Summary" sheetId="6" r:id="rId1"/>
    <sheet name="Sheet1" sheetId="5" state="hidden" r:id="rId2"/>
    <sheet name="Sheet4" sheetId="7" state="hidden" r:id="rId3"/>
    <sheet name="Takeoffs" sheetId="1" state="hidden" r:id="rId4"/>
    <sheet name="Sheet2" sheetId="2" state="hidden" r:id="rId5"/>
    <sheet name="Sheet3" sheetId="3" state="hidden" r:id="rId6"/>
    <sheet name="@MSSB" sheetId="10" state="hidden" r:id="rId7"/>
    <sheet name="_MSSB" sheetId="11" state="hidden" r:id="rId8"/>
    <sheet name="@Fan" sheetId="12" state="hidden" r:id="rId9"/>
    <sheet name="_Fan" sheetId="13" state="hidden" r:id="rId10"/>
    <sheet name="@VRF" sheetId="14" state="hidden" r:id="rId11"/>
    <sheet name="_VRF" sheetId="15" state="hidden" r:id="rId12"/>
    <sheet name="@Chiller" sheetId="18" state="hidden" r:id="rId13"/>
    <sheet name="_Chiller" sheetId="19" state="hidden" r:id="rId14"/>
    <sheet name="@Other" sheetId="20" state="hidden" r:id="rId15"/>
    <sheet name="_Other" sheetId="21" state="hidden" r:id="rId16"/>
    <sheet name="Part List" sheetId="16" state="hidden" r:id="rId17"/>
    <sheet name="BOM" sheetId="29" r:id="rId18"/>
    <sheet name="Words" sheetId="42" r:id="rId19"/>
    <sheet name="Fan_Takeoff" sheetId="22" r:id="rId20"/>
    <sheet name="Fan Summary" sheetId="28" state="hidden" r:id="rId21"/>
    <sheet name="Fan_Pricing" sheetId="25" state="hidden" r:id="rId22"/>
    <sheet name="Fan_Backend" sheetId="24" state="hidden" r:id="rId23"/>
    <sheet name="AC_Takeoff" sheetId="33" r:id="rId24"/>
    <sheet name="AC Summary" sheetId="32" state="hidden" r:id="rId25"/>
    <sheet name="AC_Pricing" sheetId="31" state="hidden" r:id="rId26"/>
    <sheet name="AC_Backend" sheetId="30" state="hidden" r:id="rId27"/>
    <sheet name="Takeoff_Backend" sheetId="23" state="hidden" r:id="rId28"/>
    <sheet name="Chiller_Takeoff" sheetId="34" r:id="rId29"/>
    <sheet name="Chiller_Summary" sheetId="35" state="hidden" r:id="rId30"/>
    <sheet name="Chiller_Pricing" sheetId="36" state="hidden" r:id="rId31"/>
    <sheet name="Chiller_Backend" sheetId="37" state="hidden" r:id="rId32"/>
    <sheet name="Other_Takeoff" sheetId="38" r:id="rId33"/>
    <sheet name="@Car Park" sheetId="8" r:id="rId34"/>
    <sheet name="Parts" sheetId="26" r:id="rId35"/>
    <sheet name="Other_Summary" sheetId="39" r:id="rId36"/>
    <sheet name="Other_Pricing" sheetId="40" r:id="rId37"/>
    <sheet name="Other_Backend" sheetId="41" r:id="rId38"/>
    <sheet name="IGOC_Parts" sheetId="17" state="hidden" r:id="rId39"/>
    <sheet name="MJS Controls" sheetId="9" state="hidden" r:id="rId40"/>
  </sheets>
  <externalReferences>
    <externalReference r:id="rId41"/>
    <externalReference r:id="rId42"/>
    <externalReference r:id="rId43"/>
    <externalReference r:id="rId44"/>
    <externalReference r:id="rId45"/>
    <externalReference r:id="rId46"/>
    <externalReference r:id="rId47"/>
  </externalReferences>
  <definedNames>
    <definedName name="_xlnm._FilterDatabase" localSheetId="25" hidden="1">AC_Pricing!$A$1:$H$84</definedName>
    <definedName name="_xlnm._FilterDatabase" localSheetId="23" hidden="1">AC_Takeoff!$A$1:$A$32</definedName>
    <definedName name="_xlnm._FilterDatabase" localSheetId="17" hidden="1">BOM!$A$1:$D$139</definedName>
    <definedName name="_xlnm._FilterDatabase" localSheetId="30" hidden="1">Chiller_Pricing!$G$1:$G$180</definedName>
    <definedName name="_xlnm._FilterDatabase" localSheetId="28" hidden="1">Chiller_Takeoff!$A$1:$A$32</definedName>
    <definedName name="_xlnm._FilterDatabase" localSheetId="21" hidden="1">Fan_Pricing!$G$1:$G$102</definedName>
    <definedName name="_xlnm._FilterDatabase" localSheetId="19" hidden="1">Fan_Takeoff!$A$1:$A$33</definedName>
    <definedName name="_xlnm._FilterDatabase" localSheetId="0" hidden="1">'Job Summary'!$A$47:$D$181</definedName>
    <definedName name="_xlnm._FilterDatabase" localSheetId="36" hidden="1">Other_Pricing!$G$1:$G$166</definedName>
    <definedName name="_xlnm._FilterDatabase" localSheetId="32" hidden="1">Other_Takeoff!$A$1:$A$24</definedName>
    <definedName name="_xlnm._FilterDatabase" localSheetId="1" hidden="1">Sheet1!$R$1:$S$131</definedName>
    <definedName name="_xlnm._FilterDatabase" localSheetId="3" hidden="1">Takeoffs!$A$1:$CS$2622</definedName>
    <definedName name="_xlnm.Print_Area" localSheetId="17">BOM!$A$1:$D$139</definedName>
    <definedName name="_xlnm.Print_Area" localSheetId="0">'Job Summary'!$A$46:$E$181</definedName>
    <definedName name="_xlnm.Print_Area" localSheetId="3">Takeoffs!$A$1:$AN$2120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5" i="38" l="1"/>
  <c r="R15" i="38"/>
  <c r="S15" i="38"/>
  <c r="U15" i="38"/>
  <c r="L15" i="38"/>
  <c r="N15" i="38" s="1"/>
  <c r="M15" i="38"/>
  <c r="O15" i="38" s="1"/>
  <c r="K15" i="38"/>
  <c r="J15" i="38"/>
  <c r="I15" i="38"/>
  <c r="H15" i="38"/>
  <c r="G15" i="38"/>
  <c r="F15" i="38"/>
  <c r="E15" i="38"/>
  <c r="P15" i="38" l="1"/>
  <c r="AA6" i="22" l="1"/>
  <c r="AA7" i="22"/>
  <c r="AA8" i="22"/>
  <c r="V6" i="22"/>
  <c r="W14" i="38"/>
  <c r="W13" i="38"/>
  <c r="R12" i="38"/>
  <c r="S12" i="38"/>
  <c r="Q12" i="38"/>
  <c r="X12" i="38"/>
  <c r="W12" i="38" s="1"/>
  <c r="X11" i="38"/>
  <c r="W11" i="38" s="1"/>
  <c r="Z11" i="22"/>
  <c r="Z23" i="34"/>
  <c r="Z22" i="34"/>
  <c r="V22" i="34" s="1"/>
  <c r="Z21" i="34"/>
  <c r="V21" i="34" s="1"/>
  <c r="Z20" i="34"/>
  <c r="V20" i="34" s="1"/>
  <c r="Z19" i="34"/>
  <c r="Z18" i="34"/>
  <c r="V18" i="34" s="1"/>
  <c r="Z17" i="34"/>
  <c r="V17" i="34" s="1"/>
  <c r="Z14" i="34"/>
  <c r="V14" i="34" s="1"/>
  <c r="Z12" i="34"/>
  <c r="V12" i="34" s="1"/>
  <c r="V23" i="34"/>
  <c r="V19" i="34"/>
  <c r="H167" i="36"/>
  <c r="M1" i="37"/>
  <c r="L5" i="38" l="1"/>
  <c r="AA5" i="38" s="1"/>
  <c r="E2" i="42" s="1"/>
  <c r="H147" i="36"/>
  <c r="Z15" i="34" s="1"/>
  <c r="V5" i="34" s="1"/>
  <c r="L5" i="34" s="1"/>
  <c r="AA5" i="34" s="1"/>
  <c r="D2" i="42" s="1"/>
  <c r="H146" i="36"/>
  <c r="H135" i="36"/>
  <c r="H124" i="36"/>
  <c r="Z5" i="34" s="1"/>
  <c r="H180" i="36"/>
  <c r="H179" i="36"/>
  <c r="H178" i="36"/>
  <c r="H123" i="36"/>
  <c r="H31" i="36"/>
  <c r="H28" i="36"/>
  <c r="H24" i="36"/>
  <c r="H21" i="36"/>
  <c r="H18" i="36"/>
  <c r="H2" i="36"/>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115" i="36"/>
  <c r="G116" i="36"/>
  <c r="G117" i="36"/>
  <c r="G118" i="36"/>
  <c r="G119" i="36"/>
  <c r="G120" i="36"/>
  <c r="G121" i="36"/>
  <c r="G122" i="36"/>
  <c r="G123" i="36"/>
  <c r="G124" i="36"/>
  <c r="G125" i="36"/>
  <c r="G126" i="36"/>
  <c r="G127" i="36"/>
  <c r="G128" i="36"/>
  <c r="G129" i="36"/>
  <c r="G130" i="36"/>
  <c r="G131" i="36"/>
  <c r="G132" i="36"/>
  <c r="G133" i="36"/>
  <c r="G134" i="36"/>
  <c r="G135" i="36"/>
  <c r="G136" i="36"/>
  <c r="G137" i="36"/>
  <c r="G138" i="36"/>
  <c r="G139" i="36"/>
  <c r="G140" i="36"/>
  <c r="G141" i="36"/>
  <c r="G142" i="36"/>
  <c r="G143" i="36"/>
  <c r="G144" i="36"/>
  <c r="G145" i="36"/>
  <c r="G146" i="36"/>
  <c r="G147" i="36"/>
  <c r="G148" i="36"/>
  <c r="G149" i="36"/>
  <c r="G150" i="36"/>
  <c r="G151" i="36"/>
  <c r="G152" i="36"/>
  <c r="G153" i="36"/>
  <c r="G154" i="36"/>
  <c r="G155" i="36"/>
  <c r="G156" i="36"/>
  <c r="G157" i="36"/>
  <c r="G158" i="36"/>
  <c r="G159" i="36"/>
  <c r="G160" i="36"/>
  <c r="G161" i="36"/>
  <c r="G162" i="36"/>
  <c r="G163" i="36"/>
  <c r="G164" i="36"/>
  <c r="G165" i="36"/>
  <c r="G166" i="36"/>
  <c r="G167" i="36"/>
  <c r="G168" i="36"/>
  <c r="G169" i="36"/>
  <c r="G170" i="36"/>
  <c r="G171" i="36"/>
  <c r="G172" i="36"/>
  <c r="G173" i="36"/>
  <c r="G174" i="36"/>
  <c r="G175" i="36"/>
  <c r="G176" i="36"/>
  <c r="G177" i="36"/>
  <c r="G2" i="36"/>
  <c r="Z15" i="33"/>
  <c r="Z12" i="33"/>
  <c r="K11" i="33"/>
  <c r="J11" i="33"/>
  <c r="I11" i="33"/>
  <c r="H11" i="33"/>
  <c r="G11" i="33"/>
  <c r="F11" i="33"/>
  <c r="E11" i="33"/>
  <c r="V12" i="33" l="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2" i="31"/>
  <c r="Z23" i="33"/>
  <c r="V23" i="33" s="1"/>
  <c r="Z22" i="33"/>
  <c r="V22" i="33" s="1"/>
  <c r="Z20" i="33"/>
  <c r="V20" i="33" s="1"/>
  <c r="Z19" i="33"/>
  <c r="V19" i="33" s="1"/>
  <c r="Z18" i="33"/>
  <c r="V18" i="33" s="1"/>
  <c r="Z17" i="33"/>
  <c r="V17" i="33" s="1"/>
  <c r="Z16" i="33"/>
  <c r="V16" i="33" s="1"/>
  <c r="V15" i="33"/>
  <c r="Z14" i="33"/>
  <c r="V14" i="33" s="1"/>
  <c r="Z13" i="33"/>
  <c r="V13" i="33" s="1"/>
  <c r="Z5" i="33"/>
  <c r="V5" i="33" s="1"/>
  <c r="X14" i="22"/>
  <c r="X20" i="22"/>
  <c r="X18" i="22"/>
  <c r="X12" i="22"/>
  <c r="X23" i="22"/>
  <c r="X19" i="22"/>
  <c r="X17" i="22"/>
  <c r="X16" i="22"/>
  <c r="X15" i="22"/>
  <c r="X13" i="22"/>
  <c r="X22" i="22"/>
  <c r="X21" i="22"/>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2" i="26"/>
  <c r="Z22" i="22"/>
  <c r="V22" i="22" s="1"/>
  <c r="Z15" i="22"/>
  <c r="V15" i="22" s="1"/>
  <c r="Z16" i="22"/>
  <c r="V16" i="22" s="1"/>
  <c r="Z17" i="22"/>
  <c r="V17" i="22" s="1"/>
  <c r="Z18" i="22"/>
  <c r="V18" i="22" s="1"/>
  <c r="Z19" i="22"/>
  <c r="V19" i="22" s="1"/>
  <c r="Z20" i="22"/>
  <c r="V20" i="22" s="1"/>
  <c r="Z23" i="22"/>
  <c r="V23" i="22" s="1"/>
  <c r="Z12" i="22"/>
  <c r="V12" i="22" s="1"/>
  <c r="H52" i="25"/>
  <c r="H49" i="25"/>
  <c r="H45" i="25"/>
  <c r="H42" i="25"/>
  <c r="Z14" i="22" s="1"/>
  <c r="V14" i="22" s="1"/>
  <c r="H39" i="25"/>
  <c r="Z13" i="22" s="1"/>
  <c r="V13" i="22" s="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2" i="25"/>
  <c r="L5" i="33" l="1"/>
  <c r="AA5" i="33" s="1"/>
  <c r="C2" i="42" s="1"/>
  <c r="V11" i="22"/>
  <c r="L7" i="22"/>
  <c r="W17" i="22"/>
  <c r="W12" i="22"/>
  <c r="W19" i="22"/>
  <c r="W18" i="22"/>
  <c r="W13" i="22"/>
  <c r="L5" i="22" l="1"/>
  <c r="AA5" i="22" s="1"/>
  <c r="B2" i="42" s="1"/>
  <c r="A1" i="42" s="1"/>
  <c r="W16" i="22"/>
  <c r="W23" i="22"/>
  <c r="W14" i="22"/>
  <c r="W22" i="22"/>
  <c r="W20" i="22"/>
  <c r="W15" i="22"/>
  <c r="L6" i="22" l="1"/>
  <c r="M14" i="38" l="1"/>
  <c r="L14" i="38"/>
  <c r="N14" i="38" s="1"/>
  <c r="M13" i="38"/>
  <c r="O13" i="38" s="1"/>
  <c r="L13" i="38"/>
  <c r="M12" i="38"/>
  <c r="O12" i="38" s="1"/>
  <c r="R14" i="38" s="1"/>
  <c r="L12" i="38"/>
  <c r="N12" i="38" s="1"/>
  <c r="M11" i="38"/>
  <c r="O11" i="38" s="1"/>
  <c r="R13" i="38" s="1"/>
  <c r="L11" i="38"/>
  <c r="F181" i="40"/>
  <c r="F180" i="40"/>
  <c r="F179" i="40"/>
  <c r="F178" i="40"/>
  <c r="F177" i="40"/>
  <c r="F176" i="40"/>
  <c r="F175" i="40"/>
  <c r="F174" i="40"/>
  <c r="F173" i="40"/>
  <c r="F172" i="40"/>
  <c r="F171" i="40"/>
  <c r="F170" i="40"/>
  <c r="F169" i="40"/>
  <c r="F168" i="40"/>
  <c r="F167" i="40"/>
  <c r="F166" i="40"/>
  <c r="F165" i="40"/>
  <c r="F164" i="40"/>
  <c r="F163" i="40"/>
  <c r="F162" i="40"/>
  <c r="F161" i="40"/>
  <c r="F160" i="40"/>
  <c r="F159" i="40"/>
  <c r="F158" i="40"/>
  <c r="F157" i="40"/>
  <c r="F156" i="40"/>
  <c r="F155" i="40"/>
  <c r="F154" i="40"/>
  <c r="F153" i="40"/>
  <c r="F152" i="40"/>
  <c r="F151" i="40"/>
  <c r="F150" i="40"/>
  <c r="F149" i="40"/>
  <c r="F148" i="40"/>
  <c r="F147" i="40"/>
  <c r="F146" i="40"/>
  <c r="F145" i="40"/>
  <c r="F144" i="40"/>
  <c r="F143" i="40"/>
  <c r="F142" i="40"/>
  <c r="F141" i="40"/>
  <c r="F140" i="40"/>
  <c r="F139" i="40"/>
  <c r="F138" i="40"/>
  <c r="F137" i="40"/>
  <c r="F136" i="40"/>
  <c r="F135" i="40"/>
  <c r="F134" i="40"/>
  <c r="F133" i="40"/>
  <c r="F132" i="40"/>
  <c r="F131" i="40"/>
  <c r="F130" i="40"/>
  <c r="F129" i="40"/>
  <c r="F128" i="40"/>
  <c r="F127" i="40"/>
  <c r="F126" i="40"/>
  <c r="F125" i="40"/>
  <c r="F124" i="40"/>
  <c r="F123" i="40"/>
  <c r="F122" i="40"/>
  <c r="F121" i="40"/>
  <c r="F120" i="40"/>
  <c r="F119" i="40"/>
  <c r="F118" i="40"/>
  <c r="F117" i="40"/>
  <c r="F116" i="40"/>
  <c r="F115" i="40"/>
  <c r="F114" i="40"/>
  <c r="F113" i="40"/>
  <c r="F112" i="40"/>
  <c r="F111" i="40"/>
  <c r="F110" i="40"/>
  <c r="F109" i="40"/>
  <c r="F108" i="40"/>
  <c r="F107" i="40"/>
  <c r="F106" i="40"/>
  <c r="F105" i="40"/>
  <c r="F104" i="40"/>
  <c r="F103" i="40"/>
  <c r="F102" i="40"/>
  <c r="F101" i="40"/>
  <c r="F100" i="40"/>
  <c r="F99" i="40"/>
  <c r="F98" i="40"/>
  <c r="F97" i="40"/>
  <c r="F96" i="40"/>
  <c r="F95" i="40"/>
  <c r="F94" i="40"/>
  <c r="F93" i="40"/>
  <c r="F92" i="40"/>
  <c r="F91" i="40"/>
  <c r="F90" i="40"/>
  <c r="F89" i="40"/>
  <c r="F88" i="40"/>
  <c r="F87" i="40"/>
  <c r="F86" i="40"/>
  <c r="F85" i="40"/>
  <c r="F84" i="40"/>
  <c r="F83" i="40"/>
  <c r="F82" i="40"/>
  <c r="F81" i="40"/>
  <c r="F80" i="40"/>
  <c r="F79" i="40"/>
  <c r="F78" i="40"/>
  <c r="F77" i="40"/>
  <c r="F76" i="40"/>
  <c r="F75" i="40"/>
  <c r="F74" i="40"/>
  <c r="F73" i="40"/>
  <c r="F72" i="40"/>
  <c r="F71" i="40"/>
  <c r="F70" i="40"/>
  <c r="F69" i="40"/>
  <c r="F68" i="40"/>
  <c r="F67" i="40"/>
  <c r="F66" i="40"/>
  <c r="F65" i="40"/>
  <c r="F64" i="40"/>
  <c r="F63" i="40"/>
  <c r="F62" i="40"/>
  <c r="F61" i="40"/>
  <c r="F52" i="40"/>
  <c r="F51" i="40"/>
  <c r="F50" i="40"/>
  <c r="F49" i="40"/>
  <c r="F48" i="40"/>
  <c r="F42" i="40"/>
  <c r="F36" i="40"/>
  <c r="F35" i="40"/>
  <c r="F34" i="40"/>
  <c r="F33" i="40"/>
  <c r="F32" i="40"/>
  <c r="F31" i="40"/>
  <c r="F30" i="40"/>
  <c r="F29" i="40"/>
  <c r="F28" i="40"/>
  <c r="F27" i="40"/>
  <c r="F26" i="40"/>
  <c r="F25" i="40"/>
  <c r="F24" i="40"/>
  <c r="F23" i="40"/>
  <c r="F22" i="40"/>
  <c r="F21" i="40"/>
  <c r="F20" i="40"/>
  <c r="F19" i="40"/>
  <c r="F18" i="40"/>
  <c r="F16" i="40"/>
  <c r="F14" i="40"/>
  <c r="F12" i="40"/>
  <c r="F10" i="40"/>
  <c r="F8" i="40"/>
  <c r="F6" i="40"/>
  <c r="F4" i="40"/>
  <c r="F3" i="40"/>
  <c r="F2" i="40"/>
  <c r="A11" i="38"/>
  <c r="N11" i="38"/>
  <c r="U11" i="38"/>
  <c r="A12" i="38"/>
  <c r="U12" i="38"/>
  <c r="A13" i="38"/>
  <c r="N13" i="38"/>
  <c r="U13" i="38"/>
  <c r="A14" i="38"/>
  <c r="O14" i="38"/>
  <c r="U14" i="38"/>
  <c r="P11" i="38" l="1"/>
  <c r="S13" i="38" s="1"/>
  <c r="P13" i="38"/>
  <c r="Q14" i="38"/>
  <c r="P12" i="38"/>
  <c r="S14" i="38" s="1"/>
  <c r="P14" i="38"/>
  <c r="Q13" i="38"/>
  <c r="E177" i="40" l="1"/>
  <c r="D177" i="40"/>
  <c r="E176" i="40"/>
  <c r="D176" i="40"/>
  <c r="E175" i="40"/>
  <c r="D175" i="40"/>
  <c r="E174" i="40"/>
  <c r="D174" i="40"/>
  <c r="D173" i="40"/>
  <c r="E172" i="40"/>
  <c r="D172" i="40"/>
  <c r="E171" i="40"/>
  <c r="D171" i="40"/>
  <c r="E170" i="40"/>
  <c r="D170" i="40"/>
  <c r="E169" i="40"/>
  <c r="D169" i="40"/>
  <c r="E168" i="40"/>
  <c r="D168" i="40"/>
  <c r="D167" i="40"/>
  <c r="E166" i="40"/>
  <c r="D166" i="40"/>
  <c r="E165" i="40"/>
  <c r="E164" i="40" s="1"/>
  <c r="D165" i="40"/>
  <c r="E163" i="40"/>
  <c r="D163" i="40"/>
  <c r="E162" i="40"/>
  <c r="D162" i="40"/>
  <c r="D161" i="40" s="1"/>
  <c r="E160" i="40"/>
  <c r="D160" i="40"/>
  <c r="E159" i="40"/>
  <c r="E158" i="40" s="1"/>
  <c r="D159" i="40"/>
  <c r="D158" i="40" s="1"/>
  <c r="E157" i="40"/>
  <c r="D157" i="40"/>
  <c r="E156" i="40"/>
  <c r="E155" i="40" s="1"/>
  <c r="D156" i="40"/>
  <c r="D155" i="40" s="1"/>
  <c r="E154" i="40"/>
  <c r="D154" i="40"/>
  <c r="E153" i="40"/>
  <c r="D153" i="40"/>
  <c r="E152" i="40"/>
  <c r="D152" i="40"/>
  <c r="E151" i="40"/>
  <c r="D151" i="40"/>
  <c r="D150" i="40"/>
  <c r="E149" i="40"/>
  <c r="D149" i="40"/>
  <c r="E148" i="40"/>
  <c r="D148" i="40"/>
  <c r="D147" i="40" s="1"/>
  <c r="E145" i="40"/>
  <c r="D145" i="40"/>
  <c r="E144" i="40"/>
  <c r="D144" i="40"/>
  <c r="E143" i="40"/>
  <c r="D143" i="40"/>
  <c r="E142" i="40"/>
  <c r="D142" i="40"/>
  <c r="E141" i="40"/>
  <c r="D141" i="40"/>
  <c r="E140" i="40"/>
  <c r="D140" i="40"/>
  <c r="D139" i="40"/>
  <c r="E138" i="40"/>
  <c r="D138" i="40"/>
  <c r="E137" i="40"/>
  <c r="D137" i="40"/>
  <c r="E134" i="40"/>
  <c r="D134" i="40"/>
  <c r="E133" i="40"/>
  <c r="D133" i="40"/>
  <c r="E132" i="40"/>
  <c r="D132" i="40"/>
  <c r="E131" i="40"/>
  <c r="D131" i="40"/>
  <c r="E130" i="40"/>
  <c r="D130" i="40"/>
  <c r="E129" i="40"/>
  <c r="D129" i="40"/>
  <c r="D128" i="40"/>
  <c r="E127" i="40"/>
  <c r="D127" i="40"/>
  <c r="E126" i="40"/>
  <c r="D126" i="40"/>
  <c r="D124" i="40" s="1"/>
  <c r="E125" i="40"/>
  <c r="D125" i="40"/>
  <c r="E122" i="40"/>
  <c r="D122" i="40"/>
  <c r="E121" i="40"/>
  <c r="D121" i="40"/>
  <c r="E120" i="40"/>
  <c r="D120" i="40"/>
  <c r="E118" i="40"/>
  <c r="D118" i="40"/>
  <c r="E117" i="40"/>
  <c r="E116" i="40" s="1"/>
  <c r="D117" i="40"/>
  <c r="E115" i="40"/>
  <c r="D115" i="40"/>
  <c r="E114" i="40"/>
  <c r="D114" i="40"/>
  <c r="E113" i="40"/>
  <c r="D113" i="40"/>
  <c r="E112" i="40"/>
  <c r="D112" i="40"/>
  <c r="E111" i="40"/>
  <c r="D111" i="40"/>
  <c r="E110" i="40"/>
  <c r="D110" i="40"/>
  <c r="E109" i="40"/>
  <c r="D109" i="40"/>
  <c r="D108" i="40" s="1"/>
  <c r="E107" i="40"/>
  <c r="D107" i="40"/>
  <c r="E106" i="40"/>
  <c r="D106" i="40"/>
  <c r="E105" i="40"/>
  <c r="D105" i="40"/>
  <c r="E104" i="40"/>
  <c r="E103" i="40" s="1"/>
  <c r="D104" i="40"/>
  <c r="D103" i="40" s="1"/>
  <c r="E102" i="40"/>
  <c r="D102" i="40"/>
  <c r="E101" i="40"/>
  <c r="D101" i="40"/>
  <c r="E100" i="40"/>
  <c r="D100" i="40"/>
  <c r="E99" i="40"/>
  <c r="D99" i="40"/>
  <c r="E98" i="40"/>
  <c r="D98" i="40"/>
  <c r="D97" i="40" s="1"/>
  <c r="E96" i="40"/>
  <c r="D96" i="40"/>
  <c r="E95" i="40"/>
  <c r="D95" i="40"/>
  <c r="E94" i="40"/>
  <c r="D94" i="40"/>
  <c r="E93" i="40"/>
  <c r="D93" i="40"/>
  <c r="D92" i="40" s="1"/>
  <c r="E91" i="40"/>
  <c r="E90" i="40" s="1"/>
  <c r="D91" i="40"/>
  <c r="D90" i="40" s="1"/>
  <c r="E89" i="40"/>
  <c r="D89" i="40"/>
  <c r="E88" i="40"/>
  <c r="D88" i="40"/>
  <c r="E87" i="40"/>
  <c r="D87" i="40"/>
  <c r="E86" i="40"/>
  <c r="D86" i="40"/>
  <c r="E85" i="40"/>
  <c r="D85" i="40"/>
  <c r="E84" i="40"/>
  <c r="D84" i="40"/>
  <c r="E82" i="40"/>
  <c r="D82" i="40"/>
  <c r="E81" i="40"/>
  <c r="D81" i="40"/>
  <c r="E80" i="40"/>
  <c r="D80" i="40"/>
  <c r="E79" i="40"/>
  <c r="D79" i="40"/>
  <c r="E78" i="40"/>
  <c r="D78" i="40"/>
  <c r="E77" i="40"/>
  <c r="D77" i="40"/>
  <c r="E75" i="40"/>
  <c r="E74" i="40" s="1"/>
  <c r="D75" i="40"/>
  <c r="D74" i="40" s="1"/>
  <c r="E73" i="40"/>
  <c r="E72" i="40" s="1"/>
  <c r="D73" i="40"/>
  <c r="D72" i="40" s="1"/>
  <c r="E71" i="40"/>
  <c r="D71" i="40"/>
  <c r="E70" i="40"/>
  <c r="D70" i="40"/>
  <c r="D69" i="40" s="1"/>
  <c r="E68" i="40"/>
  <c r="D68" i="40"/>
  <c r="E67" i="40"/>
  <c r="D67" i="40"/>
  <c r="E66" i="40"/>
  <c r="E65" i="40" s="1"/>
  <c r="D66" i="40"/>
  <c r="E64" i="40"/>
  <c r="D64" i="40"/>
  <c r="E63" i="40"/>
  <c r="D63" i="40"/>
  <c r="E62" i="40"/>
  <c r="D62" i="40"/>
  <c r="D61" i="40" s="1"/>
  <c r="E60" i="40"/>
  <c r="D60" i="40"/>
  <c r="E59" i="40"/>
  <c r="D59" i="40"/>
  <c r="E58" i="40"/>
  <c r="D58" i="40"/>
  <c r="D57" i="40"/>
  <c r="E56" i="40"/>
  <c r="D56" i="40"/>
  <c r="E55" i="40"/>
  <c r="D55" i="40"/>
  <c r="E54" i="40"/>
  <c r="D54" i="40"/>
  <c r="E53" i="40"/>
  <c r="D53" i="40"/>
  <c r="D52" i="40" s="1"/>
  <c r="E51" i="40"/>
  <c r="D51" i="40"/>
  <c r="E50" i="40"/>
  <c r="D50" i="40"/>
  <c r="E49" i="40"/>
  <c r="E48" i="40" s="1"/>
  <c r="D49" i="40"/>
  <c r="E47" i="40"/>
  <c r="D47" i="40"/>
  <c r="E46" i="40"/>
  <c r="D46" i="40"/>
  <c r="E45" i="40"/>
  <c r="D45" i="40"/>
  <c r="E44" i="40"/>
  <c r="D44" i="40"/>
  <c r="E43" i="40"/>
  <c r="D43" i="40"/>
  <c r="D42" i="40"/>
  <c r="E41" i="40"/>
  <c r="D41" i="40"/>
  <c r="E40" i="40"/>
  <c r="D40" i="40"/>
  <c r="E39" i="40"/>
  <c r="D39" i="40"/>
  <c r="E38" i="40"/>
  <c r="D38" i="40"/>
  <c r="E37" i="40"/>
  <c r="D37" i="40"/>
  <c r="E35" i="40"/>
  <c r="E34" i="40" s="1"/>
  <c r="D35" i="40"/>
  <c r="D34" i="40" s="1"/>
  <c r="E33" i="40"/>
  <c r="D33" i="40"/>
  <c r="E32" i="40"/>
  <c r="E31" i="40" s="1"/>
  <c r="D32" i="40"/>
  <c r="E30" i="40"/>
  <c r="D30" i="40"/>
  <c r="E29" i="40"/>
  <c r="D29" i="40"/>
  <c r="E27" i="40"/>
  <c r="D27" i="40"/>
  <c r="E26" i="40"/>
  <c r="D26" i="40"/>
  <c r="E25" i="40"/>
  <c r="E24" i="40" s="1"/>
  <c r="D25" i="40"/>
  <c r="D24" i="40" s="1"/>
  <c r="E23" i="40"/>
  <c r="D23" i="40"/>
  <c r="E22" i="40"/>
  <c r="E21" i="40" s="1"/>
  <c r="D22" i="40"/>
  <c r="D21" i="40" s="1"/>
  <c r="D20" i="40"/>
  <c r="E19" i="40"/>
  <c r="D19" i="40"/>
  <c r="D18" i="40" s="1"/>
  <c r="E17" i="40"/>
  <c r="E16" i="40" s="1"/>
  <c r="M18" i="38" s="1"/>
  <c r="D17" i="40"/>
  <c r="D16" i="40" s="1"/>
  <c r="L18" i="38" s="1"/>
  <c r="E15" i="40"/>
  <c r="E14" i="40" s="1"/>
  <c r="M22" i="38" s="1"/>
  <c r="D15" i="40"/>
  <c r="D14" i="40" s="1"/>
  <c r="L22" i="38" s="1"/>
  <c r="E13" i="40"/>
  <c r="E12" i="40" s="1"/>
  <c r="M23" i="38" s="1"/>
  <c r="D13" i="40"/>
  <c r="D12" i="40" s="1"/>
  <c r="L23" i="38" s="1"/>
  <c r="E11" i="40"/>
  <c r="E10" i="40" s="1"/>
  <c r="M19" i="38" s="1"/>
  <c r="D11" i="40"/>
  <c r="D10" i="40"/>
  <c r="L19" i="38" s="1"/>
  <c r="E9" i="40"/>
  <c r="E8" i="40" s="1"/>
  <c r="M21" i="38" s="1"/>
  <c r="D9" i="40"/>
  <c r="D8" i="40" s="1"/>
  <c r="L21" i="38" s="1"/>
  <c r="E7" i="40"/>
  <c r="E6" i="40" s="1"/>
  <c r="M20" i="38" s="1"/>
  <c r="D7" i="40"/>
  <c r="D6" i="40"/>
  <c r="L20" i="38" s="1"/>
  <c r="E5" i="40"/>
  <c r="E4" i="40" s="1"/>
  <c r="M17" i="38" s="1"/>
  <c r="D5" i="40"/>
  <c r="D4" i="40" s="1"/>
  <c r="L17" i="38" s="1"/>
  <c r="E3" i="40"/>
  <c r="E2" i="40" s="1"/>
  <c r="D3" i="40"/>
  <c r="D2" i="40" s="1"/>
  <c r="A24" i="38"/>
  <c r="B24" i="38" s="1"/>
  <c r="A23" i="38"/>
  <c r="A22" i="38"/>
  <c r="A21" i="38"/>
  <c r="A20" i="38"/>
  <c r="A19" i="38"/>
  <c r="S18" i="38"/>
  <c r="R18" i="38"/>
  <c r="Q18" i="38"/>
  <c r="A18" i="38"/>
  <c r="S17" i="38"/>
  <c r="R17" i="38"/>
  <c r="Q17" i="38"/>
  <c r="A17" i="38"/>
  <c r="A16" i="38"/>
  <c r="A15" i="38"/>
  <c r="E10" i="38"/>
  <c r="D17" i="38" s="1"/>
  <c r="K10" i="38"/>
  <c r="D23" i="38" s="1"/>
  <c r="I10" i="38"/>
  <c r="D21" i="38" s="1"/>
  <c r="G10" i="38"/>
  <c r="D19" i="38" s="1"/>
  <c r="F10" i="38"/>
  <c r="D18" i="38" s="1"/>
  <c r="J10" i="38"/>
  <c r="D22" i="38" s="1"/>
  <c r="H10" i="38"/>
  <c r="D20" i="38" s="1"/>
  <c r="A10" i="38"/>
  <c r="A9" i="38"/>
  <c r="S8" i="38"/>
  <c r="R8" i="38"/>
  <c r="Q8" i="38"/>
  <c r="A8" i="38"/>
  <c r="S7" i="38"/>
  <c r="R7" i="38"/>
  <c r="Q7" i="38"/>
  <c r="A7" i="38"/>
  <c r="A6" i="38"/>
  <c r="A5" i="38"/>
  <c r="A4" i="38"/>
  <c r="B4" i="38" s="1"/>
  <c r="U11" i="33"/>
  <c r="U23" i="33"/>
  <c r="U11" i="34"/>
  <c r="Q15" i="34"/>
  <c r="R18" i="34"/>
  <c r="E177" i="36"/>
  <c r="D177" i="36"/>
  <c r="E176" i="36"/>
  <c r="D176" i="36"/>
  <c r="E175" i="36"/>
  <c r="D175" i="36"/>
  <c r="E174" i="36"/>
  <c r="D174" i="36"/>
  <c r="D173" i="36"/>
  <c r="E172" i="36"/>
  <c r="D172" i="36"/>
  <c r="E171" i="36"/>
  <c r="D171" i="36"/>
  <c r="E170" i="36"/>
  <c r="D170" i="36"/>
  <c r="E169" i="36"/>
  <c r="D169" i="36"/>
  <c r="E168" i="36"/>
  <c r="D168" i="36"/>
  <c r="K11" i="34"/>
  <c r="K10" i="34" s="1"/>
  <c r="D31" i="34" s="1"/>
  <c r="J11" i="34"/>
  <c r="J10" i="34" s="1"/>
  <c r="D30" i="34" s="1"/>
  <c r="I11" i="34"/>
  <c r="H11" i="34"/>
  <c r="H10" i="34" s="1"/>
  <c r="D28" i="34" s="1"/>
  <c r="G11" i="34"/>
  <c r="F11" i="34"/>
  <c r="F10" i="34" s="1"/>
  <c r="D26" i="34" s="1"/>
  <c r="E11" i="34"/>
  <c r="G21" i="34"/>
  <c r="G20" i="34"/>
  <c r="E12" i="34"/>
  <c r="E166" i="36"/>
  <c r="D166" i="36"/>
  <c r="E165" i="36"/>
  <c r="D165" i="36"/>
  <c r="E163" i="36"/>
  <c r="D163" i="36"/>
  <c r="E162" i="36"/>
  <c r="D162" i="36"/>
  <c r="E160" i="36"/>
  <c r="D160" i="36"/>
  <c r="E159" i="36"/>
  <c r="D159" i="36"/>
  <c r="D153" i="36"/>
  <c r="E153" i="36"/>
  <c r="D154" i="36"/>
  <c r="E154" i="36"/>
  <c r="D157" i="36"/>
  <c r="E157" i="36"/>
  <c r="E156" i="36"/>
  <c r="D156" i="36"/>
  <c r="D149" i="36"/>
  <c r="E149" i="36"/>
  <c r="D150" i="36"/>
  <c r="D151" i="36"/>
  <c r="E151" i="36"/>
  <c r="D152" i="36"/>
  <c r="E152" i="36"/>
  <c r="E148" i="36"/>
  <c r="D148" i="36"/>
  <c r="F74" i="36"/>
  <c r="F76" i="36"/>
  <c r="F83" i="36"/>
  <c r="F90" i="36"/>
  <c r="F92" i="36"/>
  <c r="F97" i="36"/>
  <c r="F103" i="36"/>
  <c r="F108" i="36"/>
  <c r="F116" i="36"/>
  <c r="F119" i="36"/>
  <c r="F123" i="36"/>
  <c r="F124" i="36"/>
  <c r="F135" i="36"/>
  <c r="F146" i="36"/>
  <c r="F147" i="36"/>
  <c r="F155" i="36"/>
  <c r="F158" i="36"/>
  <c r="F161" i="36"/>
  <c r="F164" i="36"/>
  <c r="D145" i="36"/>
  <c r="E145" i="36"/>
  <c r="D137" i="36"/>
  <c r="E137" i="36"/>
  <c r="D138" i="36"/>
  <c r="E138" i="36"/>
  <c r="D139" i="36"/>
  <c r="D140" i="36"/>
  <c r="E140" i="36"/>
  <c r="D141" i="36"/>
  <c r="E141" i="36"/>
  <c r="D142" i="36"/>
  <c r="E142" i="36"/>
  <c r="D143" i="36"/>
  <c r="E143" i="36"/>
  <c r="D144" i="36"/>
  <c r="E144" i="36"/>
  <c r="D126" i="36"/>
  <c r="E126" i="36"/>
  <c r="D127" i="36"/>
  <c r="E127" i="36"/>
  <c r="D128" i="36"/>
  <c r="D129" i="36"/>
  <c r="E129" i="36"/>
  <c r="D130" i="36"/>
  <c r="E130" i="36"/>
  <c r="D131" i="36"/>
  <c r="E131" i="36"/>
  <c r="D132" i="36"/>
  <c r="E132" i="36"/>
  <c r="D133" i="36"/>
  <c r="E133" i="36"/>
  <c r="D134" i="36"/>
  <c r="E134" i="36"/>
  <c r="E125" i="36"/>
  <c r="D125" i="36"/>
  <c r="R15" i="34"/>
  <c r="M12" i="34"/>
  <c r="O12" i="34" s="1"/>
  <c r="R14" i="34" s="1"/>
  <c r="L12" i="34"/>
  <c r="N12" i="34" s="1"/>
  <c r="F72" i="36"/>
  <c r="F69" i="36"/>
  <c r="F65" i="36"/>
  <c r="F61" i="36"/>
  <c r="F52" i="36"/>
  <c r="F48" i="36"/>
  <c r="F42" i="36"/>
  <c r="F36" i="36"/>
  <c r="F34" i="36"/>
  <c r="F31" i="36"/>
  <c r="F28" i="36"/>
  <c r="F24" i="36"/>
  <c r="F21" i="36"/>
  <c r="F18" i="36"/>
  <c r="F16" i="36"/>
  <c r="F14" i="36"/>
  <c r="F12" i="36"/>
  <c r="F10" i="36"/>
  <c r="F8" i="36"/>
  <c r="F6" i="36"/>
  <c r="F4" i="36"/>
  <c r="F2" i="36"/>
  <c r="E122" i="36"/>
  <c r="D122" i="36"/>
  <c r="E121" i="36"/>
  <c r="D121" i="36"/>
  <c r="E120" i="36"/>
  <c r="D120" i="36"/>
  <c r="E118" i="36"/>
  <c r="D118" i="36"/>
  <c r="E117" i="36"/>
  <c r="D117" i="36"/>
  <c r="E115" i="36"/>
  <c r="D115" i="36"/>
  <c r="E114" i="36"/>
  <c r="D114" i="36"/>
  <c r="E113" i="36"/>
  <c r="D113" i="36"/>
  <c r="E112" i="36"/>
  <c r="D112" i="36"/>
  <c r="E111" i="36"/>
  <c r="D111" i="36"/>
  <c r="E110" i="36"/>
  <c r="D110" i="36"/>
  <c r="E109" i="36"/>
  <c r="D109" i="36"/>
  <c r="E107" i="36"/>
  <c r="D107" i="36"/>
  <c r="E106" i="36"/>
  <c r="D106" i="36"/>
  <c r="E105" i="36"/>
  <c r="D105" i="36"/>
  <c r="E104" i="36"/>
  <c r="D104" i="36"/>
  <c r="E102" i="36"/>
  <c r="D102" i="36"/>
  <c r="E101" i="36"/>
  <c r="D101" i="36"/>
  <c r="E100" i="36"/>
  <c r="D100" i="36"/>
  <c r="E99" i="36"/>
  <c r="D99" i="36"/>
  <c r="E98" i="36"/>
  <c r="D98" i="36"/>
  <c r="E96" i="36"/>
  <c r="D96" i="36"/>
  <c r="E95" i="36"/>
  <c r="D95" i="36"/>
  <c r="E94" i="36"/>
  <c r="D94" i="36"/>
  <c r="E93" i="36"/>
  <c r="D93" i="36"/>
  <c r="E91" i="36"/>
  <c r="E90" i="36" s="1"/>
  <c r="D91" i="36"/>
  <c r="D90" i="36" s="1"/>
  <c r="E89" i="36"/>
  <c r="D89" i="36"/>
  <c r="E88" i="36"/>
  <c r="D88" i="36"/>
  <c r="E87" i="36"/>
  <c r="D87" i="36"/>
  <c r="E86" i="36"/>
  <c r="D86" i="36"/>
  <c r="E85" i="36"/>
  <c r="D85" i="36"/>
  <c r="E84" i="36"/>
  <c r="D84" i="36"/>
  <c r="E82" i="36"/>
  <c r="D82" i="36"/>
  <c r="E81" i="36"/>
  <c r="D81" i="36"/>
  <c r="E80" i="36"/>
  <c r="D80" i="36"/>
  <c r="E79" i="36"/>
  <c r="D79" i="36"/>
  <c r="E78" i="36"/>
  <c r="D78" i="36"/>
  <c r="E77" i="36"/>
  <c r="D77" i="36"/>
  <c r="E75" i="36"/>
  <c r="E74" i="36" s="1"/>
  <c r="M18" i="34" s="1"/>
  <c r="O18" i="34" s="1"/>
  <c r="R20" i="34" s="1"/>
  <c r="D75" i="36"/>
  <c r="D74" i="36" s="1"/>
  <c r="L18" i="34" s="1"/>
  <c r="N18" i="34" s="1"/>
  <c r="Q20" i="34" s="1"/>
  <c r="E73" i="36"/>
  <c r="E72" i="36" s="1"/>
  <c r="M17" i="34" s="1"/>
  <c r="O17" i="34" s="1"/>
  <c r="R19" i="34" s="1"/>
  <c r="D73" i="36"/>
  <c r="D72" i="36" s="1"/>
  <c r="L17" i="34" s="1"/>
  <c r="N17" i="34" s="1"/>
  <c r="E71" i="36"/>
  <c r="D71" i="36"/>
  <c r="E70" i="36"/>
  <c r="D70" i="36"/>
  <c r="E68" i="36"/>
  <c r="D68" i="36"/>
  <c r="E67" i="36"/>
  <c r="D67" i="36"/>
  <c r="E66" i="36"/>
  <c r="D66" i="36"/>
  <c r="E64" i="36"/>
  <c r="D64" i="36"/>
  <c r="E63" i="36"/>
  <c r="D63" i="36"/>
  <c r="E62" i="36"/>
  <c r="D62" i="36"/>
  <c r="E60" i="36"/>
  <c r="D60" i="36"/>
  <c r="E59" i="36"/>
  <c r="D59" i="36"/>
  <c r="E58" i="36"/>
  <c r="D58" i="36"/>
  <c r="D57" i="36"/>
  <c r="E56" i="36"/>
  <c r="D56" i="36"/>
  <c r="E55" i="36"/>
  <c r="D55" i="36"/>
  <c r="E54" i="36"/>
  <c r="D54" i="36"/>
  <c r="E53" i="36"/>
  <c r="D53" i="36"/>
  <c r="E51" i="36"/>
  <c r="D51" i="36"/>
  <c r="E50" i="36"/>
  <c r="D50" i="36"/>
  <c r="E49" i="36"/>
  <c r="D49" i="36"/>
  <c r="E47" i="36"/>
  <c r="D47" i="36"/>
  <c r="E46" i="36"/>
  <c r="D46" i="36"/>
  <c r="E45" i="36"/>
  <c r="D45" i="36"/>
  <c r="E44" i="36"/>
  <c r="D44" i="36"/>
  <c r="E43" i="36"/>
  <c r="D43" i="36"/>
  <c r="E41" i="36"/>
  <c r="D41" i="36"/>
  <c r="E40" i="36"/>
  <c r="D40" i="36"/>
  <c r="E39" i="36"/>
  <c r="D39" i="36"/>
  <c r="E38" i="36"/>
  <c r="D38" i="36"/>
  <c r="E37" i="36"/>
  <c r="D37" i="36"/>
  <c r="E35" i="36"/>
  <c r="E34" i="36" s="1"/>
  <c r="M19" i="34" s="1"/>
  <c r="O19" i="34" s="1"/>
  <c r="R21" i="34" s="1"/>
  <c r="D35" i="36"/>
  <c r="D34" i="36" s="1"/>
  <c r="L19" i="34" s="1"/>
  <c r="N19" i="34" s="1"/>
  <c r="E33" i="36"/>
  <c r="D33" i="36"/>
  <c r="E32" i="36"/>
  <c r="D32" i="36"/>
  <c r="E30" i="36"/>
  <c r="D30" i="36"/>
  <c r="E29" i="36"/>
  <c r="D29" i="36"/>
  <c r="E27" i="36"/>
  <c r="D27" i="36"/>
  <c r="E26" i="36"/>
  <c r="D26" i="36"/>
  <c r="E25" i="36"/>
  <c r="D25" i="36"/>
  <c r="E23" i="36"/>
  <c r="D23" i="36"/>
  <c r="E22" i="36"/>
  <c r="D22" i="36"/>
  <c r="D20" i="36"/>
  <c r="E19" i="36"/>
  <c r="D19" i="36"/>
  <c r="E17" i="36"/>
  <c r="E16" i="36" s="1"/>
  <c r="M26" i="34" s="1"/>
  <c r="D17" i="36"/>
  <c r="D16" i="36" s="1"/>
  <c r="L26" i="34" s="1"/>
  <c r="E15" i="36"/>
  <c r="E14" i="36" s="1"/>
  <c r="M30" i="34" s="1"/>
  <c r="D15" i="36"/>
  <c r="D14" i="36" s="1"/>
  <c r="L30" i="34" s="1"/>
  <c r="E13" i="36"/>
  <c r="E12" i="36" s="1"/>
  <c r="M31" i="34" s="1"/>
  <c r="D13" i="36"/>
  <c r="D12" i="36" s="1"/>
  <c r="L31" i="34" s="1"/>
  <c r="E11" i="36"/>
  <c r="E10" i="36" s="1"/>
  <c r="M27" i="34" s="1"/>
  <c r="D11" i="36"/>
  <c r="D10" i="36" s="1"/>
  <c r="L27" i="34" s="1"/>
  <c r="E9" i="36"/>
  <c r="E8" i="36" s="1"/>
  <c r="M29" i="34" s="1"/>
  <c r="D9" i="36"/>
  <c r="D8" i="36" s="1"/>
  <c r="L29" i="34" s="1"/>
  <c r="E7" i="36"/>
  <c r="E6" i="36" s="1"/>
  <c r="M28" i="34" s="1"/>
  <c r="D7" i="36"/>
  <c r="D6" i="36" s="1"/>
  <c r="L28" i="34" s="1"/>
  <c r="E5" i="36"/>
  <c r="E4" i="36" s="1"/>
  <c r="M25" i="34" s="1"/>
  <c r="D5" i="36"/>
  <c r="D4" i="36" s="1"/>
  <c r="L25" i="34" s="1"/>
  <c r="E3" i="36"/>
  <c r="E2" i="36" s="1"/>
  <c r="D3" i="36"/>
  <c r="D2" i="36" s="1"/>
  <c r="A32" i="34"/>
  <c r="B32" i="34" s="1"/>
  <c r="C32" i="34" s="1"/>
  <c r="D32" i="34" s="1"/>
  <c r="E32" i="34" s="1"/>
  <c r="F32" i="34" s="1"/>
  <c r="G32" i="34" s="1"/>
  <c r="H32" i="34" s="1"/>
  <c r="I32" i="34" s="1"/>
  <c r="J32" i="34" s="1"/>
  <c r="K32" i="34" s="1"/>
  <c r="L32" i="34" s="1"/>
  <c r="M32" i="34" s="1"/>
  <c r="N32" i="34" s="1"/>
  <c r="O32" i="34" s="1"/>
  <c r="P32" i="34" s="1"/>
  <c r="A31" i="34"/>
  <c r="A30" i="34"/>
  <c r="A29" i="34"/>
  <c r="A28" i="34"/>
  <c r="A27" i="34"/>
  <c r="S26" i="34"/>
  <c r="R26" i="34"/>
  <c r="Q26" i="34"/>
  <c r="A26" i="34"/>
  <c r="A25" i="34"/>
  <c r="U24" i="34"/>
  <c r="A24" i="34"/>
  <c r="U23" i="34"/>
  <c r="A23" i="34"/>
  <c r="U22" i="34"/>
  <c r="A22" i="34"/>
  <c r="U21" i="34"/>
  <c r="A21" i="34"/>
  <c r="U20" i="34"/>
  <c r="A20" i="34"/>
  <c r="U19" i="34"/>
  <c r="A19" i="34"/>
  <c r="U18" i="34"/>
  <c r="A18" i="34"/>
  <c r="U17" i="34"/>
  <c r="A17" i="34"/>
  <c r="U16" i="34"/>
  <c r="A16" i="34"/>
  <c r="U15" i="34"/>
  <c r="A15" i="34"/>
  <c r="U14" i="34"/>
  <c r="A14" i="34"/>
  <c r="U13" i="34"/>
  <c r="A13" i="34"/>
  <c r="U12" i="34"/>
  <c r="S12" i="34"/>
  <c r="R12" i="34"/>
  <c r="Q12" i="34"/>
  <c r="A12" i="34"/>
  <c r="A11" i="34"/>
  <c r="I10" i="34"/>
  <c r="D29" i="34" s="1"/>
  <c r="A10" i="34"/>
  <c r="A9" i="34"/>
  <c r="S8" i="34"/>
  <c r="R8" i="34"/>
  <c r="Q8" i="34"/>
  <c r="A8" i="34"/>
  <c r="S7" i="34"/>
  <c r="R7" i="34"/>
  <c r="Q7" i="34"/>
  <c r="A7" i="34"/>
  <c r="A6" i="34"/>
  <c r="A5" i="34"/>
  <c r="A4" i="34"/>
  <c r="B4" i="34" s="1"/>
  <c r="C4" i="34" l="1"/>
  <c r="D4" i="34" s="1"/>
  <c r="E4" i="34" s="1"/>
  <c r="F4" i="34" s="1"/>
  <c r="G4" i="34" s="1"/>
  <c r="H4" i="34" s="1"/>
  <c r="I4" i="34" s="1"/>
  <c r="J4" i="34" s="1"/>
  <c r="K4" i="34" s="1"/>
  <c r="L4" i="34" s="1"/>
  <c r="M4" i="34" s="1"/>
  <c r="N4" i="34" s="1"/>
  <c r="O4" i="34" s="1"/>
  <c r="P4" i="34" s="1"/>
  <c r="B18" i="35"/>
  <c r="B30" i="35"/>
  <c r="B35" i="35"/>
  <c r="B42" i="35"/>
  <c r="B14" i="35"/>
  <c r="B19" i="35"/>
  <c r="B27" i="35"/>
  <c r="B31" i="35"/>
  <c r="B36" i="35"/>
  <c r="F139" i="36" s="1"/>
  <c r="B11" i="35"/>
  <c r="B16" i="35"/>
  <c r="B20" i="35"/>
  <c r="F62" i="36" s="1"/>
  <c r="B28" i="35"/>
  <c r="B33" i="35"/>
  <c r="B37" i="35"/>
  <c r="B12" i="35"/>
  <c r="F25" i="36" s="1"/>
  <c r="B17" i="35"/>
  <c r="B25" i="35"/>
  <c r="B29" i="35"/>
  <c r="B34" i="35"/>
  <c r="B41" i="35"/>
  <c r="B2" i="35"/>
  <c r="F3" i="36" s="1"/>
  <c r="B38" i="35"/>
  <c r="F149" i="36" s="1"/>
  <c r="B23" i="35"/>
  <c r="B15" i="35"/>
  <c r="B21" i="35"/>
  <c r="B40" i="35"/>
  <c r="F159" i="36" s="1"/>
  <c r="E83" i="40"/>
  <c r="E108" i="40"/>
  <c r="E119" i="40"/>
  <c r="D135" i="40"/>
  <c r="C24" i="38"/>
  <c r="D24" i="38" s="1"/>
  <c r="E24" i="38" s="1"/>
  <c r="F24" i="38" s="1"/>
  <c r="G24" i="38" s="1"/>
  <c r="H24" i="38" s="1"/>
  <c r="I24" i="38" s="1"/>
  <c r="J24" i="38" s="1"/>
  <c r="K24" i="38" s="1"/>
  <c r="L24" i="38" s="1"/>
  <c r="M24" i="38" s="1"/>
  <c r="N24" i="38" s="1"/>
  <c r="O24" i="38" s="1"/>
  <c r="P24" i="38" s="1"/>
  <c r="D28" i="40"/>
  <c r="D36" i="40"/>
  <c r="E42" i="40"/>
  <c r="E61" i="40"/>
  <c r="E69" i="40"/>
  <c r="D76" i="40"/>
  <c r="D83" i="40"/>
  <c r="E92" i="40"/>
  <c r="E97" i="40"/>
  <c r="D116" i="40"/>
  <c r="D119" i="40"/>
  <c r="E161" i="40"/>
  <c r="D164" i="40"/>
  <c r="F51" i="36"/>
  <c r="B22" i="35"/>
  <c r="B43" i="35"/>
  <c r="E28" i="40"/>
  <c r="D31" i="40"/>
  <c r="E36" i="40"/>
  <c r="D48" i="40"/>
  <c r="D65" i="40"/>
  <c r="E76" i="40"/>
  <c r="B39" i="35"/>
  <c r="B24" i="35"/>
  <c r="C4" i="38"/>
  <c r="D4" i="38" s="1"/>
  <c r="E4" i="38" s="1"/>
  <c r="F4" i="38" s="1"/>
  <c r="G4" i="38" s="1"/>
  <c r="H4" i="38" s="1"/>
  <c r="I4" i="38" s="1"/>
  <c r="J4" i="38" s="1"/>
  <c r="K4" i="38" s="1"/>
  <c r="L4" i="38" s="1"/>
  <c r="M4" i="38" s="1"/>
  <c r="N4" i="38" s="1"/>
  <c r="O4" i="38" s="1"/>
  <c r="P4" i="38" s="1"/>
  <c r="B17" i="39"/>
  <c r="B15" i="39"/>
  <c r="B11" i="39"/>
  <c r="B7" i="39"/>
  <c r="B9" i="39"/>
  <c r="B18" i="39"/>
  <c r="B14" i="39"/>
  <c r="B10" i="39"/>
  <c r="B6" i="39"/>
  <c r="B13" i="39"/>
  <c r="B4" i="39"/>
  <c r="B5" i="39"/>
  <c r="B3" i="39"/>
  <c r="B2" i="39"/>
  <c r="D155" i="36"/>
  <c r="L14" i="34" s="1"/>
  <c r="N14" i="34" s="1"/>
  <c r="E10" i="34"/>
  <c r="F160" i="36"/>
  <c r="E116" i="36"/>
  <c r="M22" i="34" s="1"/>
  <c r="O22" i="34" s="1"/>
  <c r="R24" i="34" s="1"/>
  <c r="D31" i="36"/>
  <c r="D103" i="36"/>
  <c r="G10" i="34"/>
  <c r="D27" i="34" s="1"/>
  <c r="U27" i="34" s="1"/>
  <c r="B6" i="35" s="1"/>
  <c r="F22" i="36"/>
  <c r="B32" i="35"/>
  <c r="F44" i="36"/>
  <c r="F60" i="36"/>
  <c r="F38" i="36"/>
  <c r="D28" i="36"/>
  <c r="E36" i="36"/>
  <c r="D167" i="36"/>
  <c r="O18" i="38"/>
  <c r="R20" i="38" s="1"/>
  <c r="N20" i="38"/>
  <c r="U20" i="38"/>
  <c r="B26" i="39" s="1"/>
  <c r="F7" i="40" s="1"/>
  <c r="O20" i="38"/>
  <c r="R22" i="38" s="1"/>
  <c r="U22" i="38"/>
  <c r="B28" i="39" s="1"/>
  <c r="F15" i="40" s="1"/>
  <c r="N22" i="38"/>
  <c r="N17" i="38"/>
  <c r="O17" i="38"/>
  <c r="R19" i="38" s="1"/>
  <c r="U17" i="38"/>
  <c r="B23" i="39" s="1"/>
  <c r="F5" i="40" s="1"/>
  <c r="N18" i="38"/>
  <c r="U18" i="38"/>
  <c r="B24" i="39" s="1"/>
  <c r="F17" i="40" s="1"/>
  <c r="U23" i="38"/>
  <c r="B29" i="39" s="1"/>
  <c r="F13" i="40" s="1"/>
  <c r="N23" i="38"/>
  <c r="O19" i="38"/>
  <c r="R21" i="38" s="1"/>
  <c r="O23" i="38"/>
  <c r="N21" i="38"/>
  <c r="O21" i="38"/>
  <c r="R23" i="38" s="1"/>
  <c r="U21" i="38"/>
  <c r="B27" i="39" s="1"/>
  <c r="F9" i="40" s="1"/>
  <c r="U19" i="38"/>
  <c r="B25" i="39" s="1"/>
  <c r="F11" i="40" s="1"/>
  <c r="N19" i="38"/>
  <c r="O22" i="38"/>
  <c r="F57" i="36"/>
  <c r="F47" i="36"/>
  <c r="F53" i="36"/>
  <c r="D25" i="34"/>
  <c r="U25" i="34" s="1"/>
  <c r="F143" i="36"/>
  <c r="F54" i="36"/>
  <c r="F58" i="36"/>
  <c r="F55" i="36"/>
  <c r="F59" i="36"/>
  <c r="F56" i="36"/>
  <c r="F152" i="36"/>
  <c r="F131" i="36"/>
  <c r="F127" i="36"/>
  <c r="F170" i="36"/>
  <c r="F174" i="36"/>
  <c r="F151" i="36"/>
  <c r="F142" i="36"/>
  <c r="F138" i="36"/>
  <c r="F134" i="36"/>
  <c r="F130" i="36"/>
  <c r="F126" i="36"/>
  <c r="F148" i="36"/>
  <c r="F169" i="36"/>
  <c r="F173" i="36"/>
  <c r="F177" i="36"/>
  <c r="F154" i="36"/>
  <c r="F150" i="36"/>
  <c r="F145" i="36"/>
  <c r="F141" i="36"/>
  <c r="F137" i="36"/>
  <c r="F133" i="36"/>
  <c r="F129" i="36"/>
  <c r="F125" i="36"/>
  <c r="F168" i="36"/>
  <c r="F172" i="36"/>
  <c r="F176" i="36"/>
  <c r="F153" i="36"/>
  <c r="F144" i="36"/>
  <c r="F140" i="36"/>
  <c r="F136" i="36"/>
  <c r="F132" i="36"/>
  <c r="F128" i="36"/>
  <c r="F171" i="36"/>
  <c r="F175" i="36"/>
  <c r="F73" i="36"/>
  <c r="F75" i="36"/>
  <c r="E24" i="36"/>
  <c r="E28" i="36"/>
  <c r="D52" i="36"/>
  <c r="D61" i="36"/>
  <c r="D69" i="36"/>
  <c r="L20" i="34" s="1"/>
  <c r="N20" i="34" s="1"/>
  <c r="E76" i="36"/>
  <c r="D124" i="36"/>
  <c r="D147" i="36"/>
  <c r="L15" i="34" s="1"/>
  <c r="N15" i="34" s="1"/>
  <c r="D18" i="36"/>
  <c r="D21" i="36"/>
  <c r="D24" i="36"/>
  <c r="E48" i="36"/>
  <c r="E61" i="36"/>
  <c r="E69" i="36"/>
  <c r="M20" i="34" s="1"/>
  <c r="O20" i="34" s="1"/>
  <c r="R22" i="34" s="1"/>
  <c r="D83" i="36"/>
  <c r="E108" i="36"/>
  <c r="D158" i="36"/>
  <c r="L23" i="34" s="1"/>
  <c r="N23" i="34" s="1"/>
  <c r="D161" i="36"/>
  <c r="D164" i="36"/>
  <c r="E21" i="36"/>
  <c r="D36" i="36"/>
  <c r="D48" i="36"/>
  <c r="E83" i="36"/>
  <c r="E92" i="36"/>
  <c r="D119" i="36"/>
  <c r="E158" i="36"/>
  <c r="M23" i="34" s="1"/>
  <c r="O23" i="34" s="1"/>
  <c r="R25" i="34" s="1"/>
  <c r="E161" i="36"/>
  <c r="E164" i="36"/>
  <c r="F66" i="36"/>
  <c r="F67" i="36"/>
  <c r="F156" i="36"/>
  <c r="F118" i="36"/>
  <c r="F117" i="36"/>
  <c r="F71" i="36"/>
  <c r="F157" i="36"/>
  <c r="E31" i="36"/>
  <c r="D42" i="36"/>
  <c r="D65" i="36"/>
  <c r="L21" i="34" s="1"/>
  <c r="N21" i="34" s="1"/>
  <c r="D76" i="36"/>
  <c r="D92" i="36"/>
  <c r="D97" i="36"/>
  <c r="E103" i="36"/>
  <c r="D108" i="36"/>
  <c r="E155" i="36"/>
  <c r="M14" i="34" s="1"/>
  <c r="O14" i="34" s="1"/>
  <c r="R16" i="34" s="1"/>
  <c r="E42" i="36"/>
  <c r="E65" i="36"/>
  <c r="M21" i="34" s="1"/>
  <c r="O21" i="34" s="1"/>
  <c r="R23" i="34" s="1"/>
  <c r="E97" i="36"/>
  <c r="D116" i="36"/>
  <c r="L22" i="34" s="1"/>
  <c r="N22" i="34" s="1"/>
  <c r="P22" i="34" s="1"/>
  <c r="S24" i="34" s="1"/>
  <c r="E119" i="36"/>
  <c r="D135" i="36"/>
  <c r="F68" i="36"/>
  <c r="F35" i="36"/>
  <c r="F26" i="36"/>
  <c r="F49" i="36"/>
  <c r="F46" i="36"/>
  <c r="F50" i="36"/>
  <c r="F70" i="36"/>
  <c r="F27" i="36"/>
  <c r="F45" i="36"/>
  <c r="F43" i="36"/>
  <c r="U28" i="34"/>
  <c r="B4" i="35" s="1"/>
  <c r="O28" i="34"/>
  <c r="R30" i="34" s="1"/>
  <c r="F39" i="36"/>
  <c r="F63" i="36"/>
  <c r="F23" i="36"/>
  <c r="F40" i="36"/>
  <c r="F64" i="36"/>
  <c r="F37" i="36"/>
  <c r="F41" i="36"/>
  <c r="P20" i="34"/>
  <c r="S22" i="34" s="1"/>
  <c r="Q22" i="34"/>
  <c r="O30" i="34"/>
  <c r="N30" i="34"/>
  <c r="U30" i="34"/>
  <c r="B8" i="35" s="1"/>
  <c r="Q23" i="34"/>
  <c r="N26" i="34"/>
  <c r="U26" i="34"/>
  <c r="Q17" i="34"/>
  <c r="Q19" i="34"/>
  <c r="P17" i="34"/>
  <c r="S19" i="34" s="1"/>
  <c r="U31" i="34"/>
  <c r="B7" i="35" s="1"/>
  <c r="N31" i="34"/>
  <c r="Q18" i="34"/>
  <c r="S18" i="34"/>
  <c r="Q21" i="34"/>
  <c r="P19" i="34"/>
  <c r="S21" i="34" s="1"/>
  <c r="O31" i="34"/>
  <c r="N29" i="34"/>
  <c r="U29" i="34"/>
  <c r="B5" i="35" s="1"/>
  <c r="O29" i="34"/>
  <c r="R31" i="34" s="1"/>
  <c r="P12" i="34"/>
  <c r="S14" i="34" s="1"/>
  <c r="Q14" i="34"/>
  <c r="Q24" i="34"/>
  <c r="O26" i="34"/>
  <c r="R28" i="34" s="1"/>
  <c r="S15" i="34"/>
  <c r="N28" i="34"/>
  <c r="Q16" i="34"/>
  <c r="P18" i="34"/>
  <c r="S20" i="34" s="1"/>
  <c r="Q26" i="33"/>
  <c r="R26" i="33"/>
  <c r="S26" i="33"/>
  <c r="Q12" i="33"/>
  <c r="R12" i="33"/>
  <c r="S12" i="33"/>
  <c r="P14" i="34" l="1"/>
  <c r="S16" i="34" s="1"/>
  <c r="B19" i="39"/>
  <c r="F43" i="40" s="1"/>
  <c r="B16" i="39"/>
  <c r="F112" i="36"/>
  <c r="F109" i="36"/>
  <c r="F113" i="36"/>
  <c r="F110" i="36"/>
  <c r="F114" i="36"/>
  <c r="F111" i="36"/>
  <c r="F115" i="36"/>
  <c r="B10" i="35"/>
  <c r="B26" i="35"/>
  <c r="P21" i="34"/>
  <c r="S23" i="34" s="1"/>
  <c r="F165" i="36"/>
  <c r="F166" i="36"/>
  <c r="B8" i="39"/>
  <c r="F122" i="36"/>
  <c r="F120" i="36"/>
  <c r="F121" i="36"/>
  <c r="B13" i="35"/>
  <c r="L11" i="34"/>
  <c r="N11" i="34" s="1"/>
  <c r="Q13" i="34" s="1"/>
  <c r="B12" i="39"/>
  <c r="F162" i="36"/>
  <c r="F163" i="36"/>
  <c r="F33" i="36"/>
  <c r="F32" i="36"/>
  <c r="F104" i="36"/>
  <c r="F105" i="36"/>
  <c r="F106" i="36"/>
  <c r="F107" i="36"/>
  <c r="F60" i="40"/>
  <c r="F56" i="40"/>
  <c r="F57" i="40"/>
  <c r="F59" i="40"/>
  <c r="F55" i="40"/>
  <c r="F58" i="40"/>
  <c r="F54" i="40"/>
  <c r="F53" i="40"/>
  <c r="F46" i="40"/>
  <c r="F47" i="40"/>
  <c r="F41" i="40"/>
  <c r="F37" i="40"/>
  <c r="F40" i="40"/>
  <c r="F39" i="40"/>
  <c r="F38" i="40"/>
  <c r="P23" i="34"/>
  <c r="S25" i="34" s="1"/>
  <c r="Q25" i="34"/>
  <c r="N27" i="34"/>
  <c r="N25" i="34"/>
  <c r="O27" i="34"/>
  <c r="R29" i="34" s="1"/>
  <c r="B3" i="35"/>
  <c r="F5" i="36" s="1"/>
  <c r="B9" i="35"/>
  <c r="F17" i="36" s="1"/>
  <c r="F13" i="36"/>
  <c r="F98" i="36"/>
  <c r="F102" i="36"/>
  <c r="F99" i="36"/>
  <c r="F101" i="36"/>
  <c r="F100" i="36"/>
  <c r="F15" i="36"/>
  <c r="F94" i="36"/>
  <c r="F93" i="36"/>
  <c r="F95" i="36"/>
  <c r="F96" i="36"/>
  <c r="F9" i="36"/>
  <c r="F91" i="36"/>
  <c r="F11" i="36"/>
  <c r="F78" i="36"/>
  <c r="F82" i="36"/>
  <c r="F77" i="36"/>
  <c r="F79" i="36"/>
  <c r="F81" i="36"/>
  <c r="F80" i="36"/>
  <c r="N8" i="38"/>
  <c r="N9" i="38" s="1"/>
  <c r="Q11" i="38" s="1"/>
  <c r="P23" i="38"/>
  <c r="P22" i="38"/>
  <c r="P19" i="38"/>
  <c r="S21" i="38" s="1"/>
  <c r="Q21" i="38"/>
  <c r="Q23" i="38"/>
  <c r="P21" i="38"/>
  <c r="S23" i="38" s="1"/>
  <c r="Q20" i="38"/>
  <c r="P18" i="38"/>
  <c r="S20" i="38" s="1"/>
  <c r="O8" i="38"/>
  <c r="Q19" i="38"/>
  <c r="P17" i="38"/>
  <c r="S19" i="38" s="1"/>
  <c r="P20" i="38"/>
  <c r="S22" i="38" s="1"/>
  <c r="Q22" i="38"/>
  <c r="O25" i="34"/>
  <c r="R27" i="34" s="1"/>
  <c r="P30" i="34"/>
  <c r="P28" i="34"/>
  <c r="S30" i="34" s="1"/>
  <c r="Q30" i="34"/>
  <c r="P29" i="34"/>
  <c r="S31" i="34" s="1"/>
  <c r="Q31" i="34"/>
  <c r="Q28" i="34"/>
  <c r="P26" i="34"/>
  <c r="S28" i="34" s="1"/>
  <c r="P31" i="34"/>
  <c r="N8" i="34"/>
  <c r="Q29" i="34"/>
  <c r="Q27" i="34"/>
  <c r="K10" i="33"/>
  <c r="J10" i="33"/>
  <c r="I10" i="33"/>
  <c r="H10" i="33"/>
  <c r="A11" i="33"/>
  <c r="F45" i="40" l="1"/>
  <c r="F44" i="40"/>
  <c r="F20" i="36"/>
  <c r="F19" i="36"/>
  <c r="F30" i="36"/>
  <c r="F29" i="36"/>
  <c r="Q10" i="38"/>
  <c r="P27" i="34"/>
  <c r="S29" i="34" s="1"/>
  <c r="P25" i="34"/>
  <c r="S27" i="34" s="1"/>
  <c r="F7" i="36"/>
  <c r="F86" i="36"/>
  <c r="F85" i="36"/>
  <c r="F87" i="36"/>
  <c r="F84" i="36"/>
  <c r="F88" i="36"/>
  <c r="F89" i="36"/>
  <c r="O9" i="38"/>
  <c r="R11" i="38" s="1"/>
  <c r="R10" i="38"/>
  <c r="Q9" i="38"/>
  <c r="P8" i="38"/>
  <c r="Q10" i="34"/>
  <c r="N9" i="34"/>
  <c r="A32" i="33"/>
  <c r="B32" i="33" s="1"/>
  <c r="C32" i="33" s="1"/>
  <c r="D32" i="33" s="1"/>
  <c r="E32" i="33" s="1"/>
  <c r="F32" i="33" s="1"/>
  <c r="A31" i="33"/>
  <c r="A30" i="33"/>
  <c r="A29" i="33"/>
  <c r="A28" i="33"/>
  <c r="A27" i="33"/>
  <c r="A26" i="33"/>
  <c r="A25" i="33"/>
  <c r="U24" i="33"/>
  <c r="A24" i="33"/>
  <c r="A23" i="33"/>
  <c r="U22" i="33"/>
  <c r="G22" i="33"/>
  <c r="A22" i="33"/>
  <c r="U21" i="33"/>
  <c r="G21" i="33"/>
  <c r="A21" i="33"/>
  <c r="U20" i="33"/>
  <c r="A20" i="33"/>
  <c r="U19" i="33"/>
  <c r="A19" i="33"/>
  <c r="U18" i="33"/>
  <c r="A18" i="33"/>
  <c r="U17" i="33"/>
  <c r="F17" i="33"/>
  <c r="A17" i="33"/>
  <c r="U16" i="33"/>
  <c r="F16" i="33"/>
  <c r="A16" i="33"/>
  <c r="U15" i="33"/>
  <c r="F15" i="33"/>
  <c r="A15" i="33"/>
  <c r="U14" i="33"/>
  <c r="E14" i="33"/>
  <c r="A14" i="33"/>
  <c r="U13" i="33"/>
  <c r="E13" i="33"/>
  <c r="A13" i="33"/>
  <c r="U12" i="33"/>
  <c r="E12" i="33"/>
  <c r="A12" i="33"/>
  <c r="A10" i="33"/>
  <c r="A9" i="33"/>
  <c r="S8" i="33"/>
  <c r="R8" i="33"/>
  <c r="Q8" i="33"/>
  <c r="A8" i="33"/>
  <c r="S7" i="33"/>
  <c r="R7" i="33"/>
  <c r="Q7" i="33"/>
  <c r="A7" i="33"/>
  <c r="A6" i="33"/>
  <c r="A5" i="33"/>
  <c r="A4" i="33"/>
  <c r="B4" i="33" s="1"/>
  <c r="F118" i="31"/>
  <c r="F115" i="31"/>
  <c r="F107" i="31"/>
  <c r="F102" i="31"/>
  <c r="F96" i="31"/>
  <c r="F91" i="31"/>
  <c r="F89" i="31"/>
  <c r="F83" i="31"/>
  <c r="F76" i="31"/>
  <c r="F74" i="31"/>
  <c r="F72" i="31"/>
  <c r="F69" i="31"/>
  <c r="F65" i="31"/>
  <c r="F61" i="31"/>
  <c r="F52" i="31"/>
  <c r="F48" i="31"/>
  <c r="F42" i="31"/>
  <c r="F36" i="31"/>
  <c r="F34" i="31"/>
  <c r="F31" i="31"/>
  <c r="F28" i="31"/>
  <c r="F24" i="31"/>
  <c r="F21" i="31"/>
  <c r="F18" i="31"/>
  <c r="F16" i="31"/>
  <c r="F14" i="31"/>
  <c r="F12" i="31"/>
  <c r="F10" i="31"/>
  <c r="F8" i="31"/>
  <c r="F6" i="31"/>
  <c r="F4" i="31"/>
  <c r="F2" i="31"/>
  <c r="E114" i="31"/>
  <c r="E121" i="31"/>
  <c r="D121" i="31"/>
  <c r="E120" i="31"/>
  <c r="D120" i="31"/>
  <c r="E119" i="31"/>
  <c r="D119" i="31"/>
  <c r="E117" i="31"/>
  <c r="D117" i="31"/>
  <c r="E116" i="31"/>
  <c r="D116" i="31"/>
  <c r="D114" i="31"/>
  <c r="E113" i="31"/>
  <c r="D113" i="31"/>
  <c r="E112" i="31"/>
  <c r="D112" i="31"/>
  <c r="E111" i="31"/>
  <c r="D111" i="31"/>
  <c r="E110" i="31"/>
  <c r="D110" i="31"/>
  <c r="E109" i="31"/>
  <c r="D109" i="31"/>
  <c r="E108" i="31"/>
  <c r="D108" i="31"/>
  <c r="E106" i="31"/>
  <c r="D106" i="31"/>
  <c r="E105" i="31"/>
  <c r="D105" i="31"/>
  <c r="E104" i="31"/>
  <c r="D104" i="31"/>
  <c r="E103" i="31"/>
  <c r="D103" i="31"/>
  <c r="E97" i="31"/>
  <c r="D97" i="31"/>
  <c r="E101" i="31"/>
  <c r="D101" i="31"/>
  <c r="E100" i="31"/>
  <c r="D100" i="31"/>
  <c r="E99" i="31"/>
  <c r="D99" i="31"/>
  <c r="E98" i="31"/>
  <c r="D98" i="31"/>
  <c r="E95" i="31"/>
  <c r="D95" i="31"/>
  <c r="E94" i="31"/>
  <c r="D94" i="31"/>
  <c r="E93" i="31"/>
  <c r="D93" i="31"/>
  <c r="E92" i="31"/>
  <c r="D92" i="31"/>
  <c r="E90" i="31"/>
  <c r="E89" i="31" s="1"/>
  <c r="D90" i="31"/>
  <c r="D89" i="31" s="1"/>
  <c r="E88" i="31"/>
  <c r="D88" i="31"/>
  <c r="E87" i="31"/>
  <c r="D87" i="31"/>
  <c r="E86" i="31"/>
  <c r="D86" i="31"/>
  <c r="E85" i="31"/>
  <c r="D85" i="31"/>
  <c r="E84" i="31"/>
  <c r="D84" i="31"/>
  <c r="E82" i="31"/>
  <c r="D82" i="31"/>
  <c r="E81" i="31"/>
  <c r="D81" i="31"/>
  <c r="E80" i="31"/>
  <c r="D80" i="31"/>
  <c r="E79" i="31"/>
  <c r="D79" i="31"/>
  <c r="E78" i="31"/>
  <c r="D78" i="31"/>
  <c r="E77" i="31"/>
  <c r="D77" i="31"/>
  <c r="D43" i="31"/>
  <c r="E43" i="31"/>
  <c r="D44" i="31"/>
  <c r="E44" i="31"/>
  <c r="D45" i="31"/>
  <c r="E45" i="31"/>
  <c r="D46" i="31"/>
  <c r="E46" i="31"/>
  <c r="D47" i="31"/>
  <c r="E47" i="31"/>
  <c r="D5" i="31"/>
  <c r="D4" i="31" s="1"/>
  <c r="L25" i="33" s="1"/>
  <c r="E5" i="31"/>
  <c r="E4" i="31" s="1"/>
  <c r="M25" i="33" s="1"/>
  <c r="D17" i="31"/>
  <c r="D16" i="31" s="1"/>
  <c r="L26" i="33" s="1"/>
  <c r="E17" i="31"/>
  <c r="E16" i="31" s="1"/>
  <c r="M26" i="33" s="1"/>
  <c r="D11" i="31"/>
  <c r="D10" i="31" s="1"/>
  <c r="L27" i="33" s="1"/>
  <c r="E11" i="31"/>
  <c r="E10" i="31" s="1"/>
  <c r="M27" i="33" s="1"/>
  <c r="D7" i="31"/>
  <c r="D6" i="31" s="1"/>
  <c r="L28" i="33" s="1"/>
  <c r="E7" i="31"/>
  <c r="E6" i="31" s="1"/>
  <c r="M28" i="33" s="1"/>
  <c r="D9" i="31"/>
  <c r="D8" i="31" s="1"/>
  <c r="L29" i="33" s="1"/>
  <c r="E9" i="31"/>
  <c r="E8" i="31" s="1"/>
  <c r="M29" i="33" s="1"/>
  <c r="D15" i="31"/>
  <c r="D14" i="31" s="1"/>
  <c r="L30" i="33" s="1"/>
  <c r="E15" i="31"/>
  <c r="E14" i="31" s="1"/>
  <c r="M30" i="33" s="1"/>
  <c r="D13" i="31"/>
  <c r="D12" i="31" s="1"/>
  <c r="L31" i="33" s="1"/>
  <c r="E13" i="31"/>
  <c r="E12" i="31" s="1"/>
  <c r="M31" i="33" s="1"/>
  <c r="D53" i="31"/>
  <c r="E53" i="31"/>
  <c r="D54" i="31"/>
  <c r="E54" i="31"/>
  <c r="D55" i="31"/>
  <c r="E55" i="31"/>
  <c r="D56" i="31"/>
  <c r="E56" i="31"/>
  <c r="D57" i="31"/>
  <c r="D58" i="31"/>
  <c r="E58" i="31"/>
  <c r="D59" i="31"/>
  <c r="E59" i="31"/>
  <c r="D60" i="31"/>
  <c r="E60" i="31"/>
  <c r="D3" i="31"/>
  <c r="D2" i="31" s="1"/>
  <c r="L13" i="33" s="1"/>
  <c r="N13" i="33" s="1"/>
  <c r="Q15" i="33" s="1"/>
  <c r="E3" i="31"/>
  <c r="E2" i="31" s="1"/>
  <c r="M13" i="33" s="1"/>
  <c r="O13" i="33" s="1"/>
  <c r="R15" i="33" s="1"/>
  <c r="D19" i="31"/>
  <c r="E19" i="31"/>
  <c r="D20" i="31"/>
  <c r="D22" i="31"/>
  <c r="E22" i="31"/>
  <c r="D23" i="31"/>
  <c r="E23" i="31"/>
  <c r="D25" i="31"/>
  <c r="E25" i="31"/>
  <c r="D26" i="31"/>
  <c r="E26" i="31"/>
  <c r="D27" i="31"/>
  <c r="E27" i="31"/>
  <c r="D29" i="31"/>
  <c r="E29" i="31"/>
  <c r="D30" i="31"/>
  <c r="E30" i="31"/>
  <c r="D32" i="31"/>
  <c r="E32" i="31"/>
  <c r="D33" i="31"/>
  <c r="E33" i="31"/>
  <c r="D62" i="31"/>
  <c r="E62" i="31"/>
  <c r="D63" i="31"/>
  <c r="E63" i="31"/>
  <c r="D64" i="31"/>
  <c r="E64" i="31"/>
  <c r="D49" i="31"/>
  <c r="E49" i="31"/>
  <c r="D50" i="31"/>
  <c r="E50" i="31"/>
  <c r="D51" i="31"/>
  <c r="E51" i="31"/>
  <c r="D73" i="31"/>
  <c r="D72" i="31" s="1"/>
  <c r="L18" i="33" s="1"/>
  <c r="N18" i="33" s="1"/>
  <c r="Q20" i="33" s="1"/>
  <c r="E73" i="31"/>
  <c r="E72" i="31" s="1"/>
  <c r="M18" i="33" s="1"/>
  <c r="O18" i="33" s="1"/>
  <c r="R20" i="33" s="1"/>
  <c r="D75" i="31"/>
  <c r="D74" i="31" s="1"/>
  <c r="L19" i="33" s="1"/>
  <c r="N19" i="33" s="1"/>
  <c r="Q21" i="33" s="1"/>
  <c r="E75" i="31"/>
  <c r="E74" i="31" s="1"/>
  <c r="M19" i="33" s="1"/>
  <c r="O19" i="33" s="1"/>
  <c r="R21" i="33" s="1"/>
  <c r="D35" i="31"/>
  <c r="D34" i="31" s="1"/>
  <c r="L20" i="33" s="1"/>
  <c r="N20" i="33" s="1"/>
  <c r="Q22" i="33" s="1"/>
  <c r="E35" i="31"/>
  <c r="E34" i="31" s="1"/>
  <c r="M20" i="33" s="1"/>
  <c r="O20" i="33" s="1"/>
  <c r="R22" i="33" s="1"/>
  <c r="D70" i="31"/>
  <c r="E70" i="31"/>
  <c r="D71" i="31"/>
  <c r="E71" i="31"/>
  <c r="D66" i="31"/>
  <c r="E66" i="31"/>
  <c r="D67" i="31"/>
  <c r="E67" i="31"/>
  <c r="D68" i="31"/>
  <c r="E68" i="31"/>
  <c r="E41" i="31"/>
  <c r="D41" i="31"/>
  <c r="E40" i="31"/>
  <c r="D40" i="31"/>
  <c r="E39" i="31"/>
  <c r="D39" i="31"/>
  <c r="E38" i="31"/>
  <c r="D38" i="31"/>
  <c r="E37" i="31"/>
  <c r="D37" i="31"/>
  <c r="C4" i="33" l="1"/>
  <c r="D4" i="33" s="1"/>
  <c r="E4" i="33" s="1"/>
  <c r="F4" i="33" s="1"/>
  <c r="G4" i="33" s="1"/>
  <c r="H4" i="33" s="1"/>
  <c r="I4" i="33" s="1"/>
  <c r="J4" i="33" s="1"/>
  <c r="K4" i="33" s="1"/>
  <c r="L4" i="33" s="1"/>
  <c r="M4" i="33" s="1"/>
  <c r="N4" i="33" s="1"/>
  <c r="O4" i="33" s="1"/>
  <c r="P4" i="33" s="1"/>
  <c r="B21" i="32"/>
  <c r="B29" i="32"/>
  <c r="B34" i="32"/>
  <c r="E76" i="31"/>
  <c r="E83" i="31"/>
  <c r="E10" i="33"/>
  <c r="F10" i="33"/>
  <c r="G10" i="33"/>
  <c r="N3" i="38"/>
  <c r="P9" i="38"/>
  <c r="S11" i="38" s="1"/>
  <c r="S10" i="38"/>
  <c r="R9" i="38"/>
  <c r="Q11" i="34"/>
  <c r="Q9" i="34"/>
  <c r="B13" i="32"/>
  <c r="B2" i="32"/>
  <c r="F3" i="31" s="1"/>
  <c r="E4" i="29" s="1"/>
  <c r="P13" i="33"/>
  <c r="S15" i="33" s="1"/>
  <c r="B20" i="32"/>
  <c r="F62" i="31" s="1"/>
  <c r="E12" i="29" s="1"/>
  <c r="D25" i="33"/>
  <c r="U25" i="33" s="1"/>
  <c r="P19" i="33"/>
  <c r="S21" i="33" s="1"/>
  <c r="G32" i="33"/>
  <c r="D26" i="33"/>
  <c r="P18" i="33"/>
  <c r="S20" i="33" s="1"/>
  <c r="P20" i="33"/>
  <c r="S22" i="33" s="1"/>
  <c r="D83" i="31"/>
  <c r="D91" i="31"/>
  <c r="D107" i="31"/>
  <c r="E115" i="31"/>
  <c r="M23" i="33" s="1"/>
  <c r="O23" i="33" s="1"/>
  <c r="R25" i="33" s="1"/>
  <c r="E118" i="31"/>
  <c r="E91" i="31"/>
  <c r="E102" i="31"/>
  <c r="E107" i="31"/>
  <c r="D115" i="31"/>
  <c r="L23" i="33" s="1"/>
  <c r="N23" i="33" s="1"/>
  <c r="D118" i="31"/>
  <c r="D102" i="31"/>
  <c r="E96" i="31"/>
  <c r="D96" i="31"/>
  <c r="D76" i="31"/>
  <c r="E21" i="31"/>
  <c r="M15" i="33" s="1"/>
  <c r="O15" i="33" s="1"/>
  <c r="R17" i="33" s="1"/>
  <c r="D18" i="31"/>
  <c r="L14" i="33" s="1"/>
  <c r="N14" i="33" s="1"/>
  <c r="Q16" i="33" s="1"/>
  <c r="D61" i="31"/>
  <c r="L16" i="33" s="1"/>
  <c r="N16" i="33" s="1"/>
  <c r="Q18" i="33" s="1"/>
  <c r="E28" i="31"/>
  <c r="D24" i="31"/>
  <c r="D69" i="31"/>
  <c r="L21" i="33" s="1"/>
  <c r="N21" i="33" s="1"/>
  <c r="Q23" i="33" s="1"/>
  <c r="E65" i="31"/>
  <c r="M22" i="33" s="1"/>
  <c r="O22" i="33" s="1"/>
  <c r="R24" i="33" s="1"/>
  <c r="E61" i="31"/>
  <c r="M16" i="33" s="1"/>
  <c r="O16" i="33" s="1"/>
  <c r="R18" i="33" s="1"/>
  <c r="D31" i="31"/>
  <c r="D28" i="31"/>
  <c r="E24" i="31"/>
  <c r="D52" i="31"/>
  <c r="D65" i="31"/>
  <c r="L22" i="33" s="1"/>
  <c r="N22" i="33" s="1"/>
  <c r="Q24" i="33" s="1"/>
  <c r="E69" i="31"/>
  <c r="M21" i="33" s="1"/>
  <c r="O21" i="33" s="1"/>
  <c r="R23" i="33" s="1"/>
  <c r="E48" i="31"/>
  <c r="M17" i="33" s="1"/>
  <c r="O17" i="33" s="1"/>
  <c r="R19" i="33" s="1"/>
  <c r="D21" i="31"/>
  <c r="L15" i="33" s="1"/>
  <c r="N15" i="33" s="1"/>
  <c r="Q17" i="33" s="1"/>
  <c r="E42" i="31"/>
  <c r="D42" i="31"/>
  <c r="D48" i="31"/>
  <c r="L17" i="33" s="1"/>
  <c r="N17" i="33" s="1"/>
  <c r="Q19" i="33" s="1"/>
  <c r="E31" i="31"/>
  <c r="D36" i="31"/>
  <c r="L12" i="33" s="1"/>
  <c r="N12" i="33" s="1"/>
  <c r="Q14" i="33" s="1"/>
  <c r="E36" i="31"/>
  <c r="M12" i="33" s="1"/>
  <c r="O12" i="33" s="1"/>
  <c r="R14" i="33" s="1"/>
  <c r="A33" i="22"/>
  <c r="B33" i="22" s="1"/>
  <c r="A32" i="22"/>
  <c r="A31" i="22"/>
  <c r="A30" i="22"/>
  <c r="A29" i="22"/>
  <c r="A28" i="22"/>
  <c r="A27" i="22"/>
  <c r="A26" i="22"/>
  <c r="A25" i="22"/>
  <c r="A24" i="22"/>
  <c r="A23" i="22"/>
  <c r="A22" i="22"/>
  <c r="A21" i="22"/>
  <c r="A20" i="22"/>
  <c r="A19" i="22"/>
  <c r="A18" i="22"/>
  <c r="A17" i="22"/>
  <c r="A16" i="22"/>
  <c r="A15" i="22"/>
  <c r="A14" i="22"/>
  <c r="A13" i="22"/>
  <c r="A12" i="22"/>
  <c r="A11" i="22"/>
  <c r="A10" i="22"/>
  <c r="A9" i="22"/>
  <c r="A8" i="22"/>
  <c r="A7" i="22"/>
  <c r="A6" i="22"/>
  <c r="A5" i="22"/>
  <c r="A4" i="22"/>
  <c r="B4" i="22" s="1"/>
  <c r="C4" i="22" s="1"/>
  <c r="D4" i="22" s="1"/>
  <c r="E4" i="22" s="1"/>
  <c r="F4" i="22" s="1"/>
  <c r="G4" i="22" s="1"/>
  <c r="H4" i="22" s="1"/>
  <c r="I4" i="22" s="1"/>
  <c r="J4" i="22" s="1"/>
  <c r="K4" i="22" s="1"/>
  <c r="L4" i="22" s="1"/>
  <c r="M4" i="22" s="1"/>
  <c r="N4" i="22" s="1"/>
  <c r="O4" i="22" s="1"/>
  <c r="P4" i="22" s="1"/>
  <c r="K22" i="22"/>
  <c r="K10" i="22" s="1"/>
  <c r="J22" i="22"/>
  <c r="J10" i="22" s="1"/>
  <c r="I22" i="22"/>
  <c r="I10" i="22" s="1"/>
  <c r="H22" i="22"/>
  <c r="H10" i="22" s="1"/>
  <c r="G22" i="22"/>
  <c r="F22" i="22"/>
  <c r="E22" i="22"/>
  <c r="U11" i="22"/>
  <c r="U25" i="22"/>
  <c r="U24" i="22"/>
  <c r="U23" i="22"/>
  <c r="U22" i="22"/>
  <c r="U21" i="22"/>
  <c r="U20" i="22"/>
  <c r="U19" i="22"/>
  <c r="U18" i="22"/>
  <c r="U17" i="22"/>
  <c r="U16" i="22"/>
  <c r="U15" i="22"/>
  <c r="U14" i="22"/>
  <c r="U13" i="22"/>
  <c r="U12" i="22"/>
  <c r="D24" i="29"/>
  <c r="D29" i="29"/>
  <c r="D33" i="29"/>
  <c r="D37" i="29"/>
  <c r="D41" i="29"/>
  <c r="D45" i="29"/>
  <c r="D49" i="29"/>
  <c r="D53" i="29"/>
  <c r="D57" i="29"/>
  <c r="D61" i="29"/>
  <c r="D65" i="29"/>
  <c r="A18" i="29"/>
  <c r="F18" i="29" s="1"/>
  <c r="B18" i="29"/>
  <c r="A19" i="29"/>
  <c r="F19" i="29" s="1"/>
  <c r="B19" i="29"/>
  <c r="A20" i="29"/>
  <c r="F20" i="29" s="1"/>
  <c r="B20" i="29"/>
  <c r="A21" i="29"/>
  <c r="F21" i="29" s="1"/>
  <c r="B21" i="29"/>
  <c r="A22" i="29"/>
  <c r="F22" i="29" s="1"/>
  <c r="B22" i="29"/>
  <c r="A23" i="29"/>
  <c r="F23" i="29" s="1"/>
  <c r="B23" i="29"/>
  <c r="A24" i="29"/>
  <c r="F24" i="29" s="1"/>
  <c r="B24" i="29"/>
  <c r="A25" i="29"/>
  <c r="F25" i="29" s="1"/>
  <c r="B25" i="29"/>
  <c r="A26" i="29"/>
  <c r="F26" i="29" s="1"/>
  <c r="B26" i="29"/>
  <c r="A27" i="29"/>
  <c r="B27" i="29"/>
  <c r="A28" i="29"/>
  <c r="B28" i="29"/>
  <c r="A29" i="29"/>
  <c r="B29" i="29"/>
  <c r="A30" i="29"/>
  <c r="B30" i="29"/>
  <c r="A31" i="29"/>
  <c r="B31" i="29"/>
  <c r="A32" i="29"/>
  <c r="D32" i="29" s="1"/>
  <c r="B32" i="29"/>
  <c r="A33" i="29"/>
  <c r="B33" i="29"/>
  <c r="A34" i="29"/>
  <c r="B34" i="29"/>
  <c r="A35" i="29"/>
  <c r="B35" i="29"/>
  <c r="A36" i="29"/>
  <c r="D36" i="29" s="1"/>
  <c r="B36" i="29"/>
  <c r="A37" i="29"/>
  <c r="B37" i="29"/>
  <c r="A38" i="29"/>
  <c r="B38" i="29"/>
  <c r="A39" i="29"/>
  <c r="B39" i="29"/>
  <c r="A40" i="29"/>
  <c r="D40" i="29" s="1"/>
  <c r="B40" i="29"/>
  <c r="A41" i="29"/>
  <c r="B41" i="29"/>
  <c r="A42" i="29"/>
  <c r="B42" i="29"/>
  <c r="A43" i="29"/>
  <c r="B43" i="29"/>
  <c r="A44" i="29"/>
  <c r="D44" i="29" s="1"/>
  <c r="B44" i="29"/>
  <c r="A45" i="29"/>
  <c r="B45" i="29"/>
  <c r="A46" i="29"/>
  <c r="B46" i="29"/>
  <c r="A47" i="29"/>
  <c r="B47" i="29"/>
  <c r="A48" i="29"/>
  <c r="D48" i="29" s="1"/>
  <c r="B48" i="29"/>
  <c r="A49" i="29"/>
  <c r="B49" i="29"/>
  <c r="A50" i="29"/>
  <c r="B50" i="29"/>
  <c r="A51" i="29"/>
  <c r="B51" i="29"/>
  <c r="A52" i="29"/>
  <c r="D52" i="29" s="1"/>
  <c r="B52" i="29"/>
  <c r="A53" i="29"/>
  <c r="B53" i="29"/>
  <c r="A54" i="29"/>
  <c r="B54" i="29"/>
  <c r="A55" i="29"/>
  <c r="B55" i="29"/>
  <c r="A56" i="29"/>
  <c r="D56" i="29" s="1"/>
  <c r="B56" i="29"/>
  <c r="A57" i="29"/>
  <c r="B57" i="29"/>
  <c r="A58" i="29"/>
  <c r="B58" i="29"/>
  <c r="A59" i="29"/>
  <c r="B59" i="29"/>
  <c r="A60" i="29"/>
  <c r="D60" i="29" s="1"/>
  <c r="B60" i="29"/>
  <c r="A61" i="29"/>
  <c r="B61" i="29"/>
  <c r="A62" i="29"/>
  <c r="B62" i="29"/>
  <c r="A63" i="29"/>
  <c r="B63" i="29"/>
  <c r="A64" i="29"/>
  <c r="D64" i="29" s="1"/>
  <c r="B64" i="29"/>
  <c r="A65" i="29"/>
  <c r="B65" i="29"/>
  <c r="A66" i="29"/>
  <c r="B66" i="29"/>
  <c r="A67" i="29"/>
  <c r="B67" i="29"/>
  <c r="A68" i="29"/>
  <c r="D68" i="29" s="1"/>
  <c r="B68" i="29"/>
  <c r="A69" i="29"/>
  <c r="B69" i="29"/>
  <c r="A70" i="29"/>
  <c r="B70" i="29"/>
  <c r="A71" i="29"/>
  <c r="B71" i="29"/>
  <c r="A72" i="29"/>
  <c r="D72" i="29" s="1"/>
  <c r="B72" i="29"/>
  <c r="A73" i="29"/>
  <c r="B73" i="29"/>
  <c r="A74" i="29"/>
  <c r="B74" i="29"/>
  <c r="A75" i="29"/>
  <c r="B75" i="29"/>
  <c r="A76" i="29"/>
  <c r="D76" i="29" s="1"/>
  <c r="B76" i="29"/>
  <c r="A77" i="29"/>
  <c r="B77" i="29"/>
  <c r="A78" i="29"/>
  <c r="B78" i="29"/>
  <c r="A79" i="29"/>
  <c r="D79" i="29" s="1"/>
  <c r="B79" i="29"/>
  <c r="A80" i="29"/>
  <c r="D80" i="29" s="1"/>
  <c r="B80" i="29"/>
  <c r="A81" i="29"/>
  <c r="B81" i="29"/>
  <c r="A82" i="29"/>
  <c r="B82" i="29"/>
  <c r="A83" i="29"/>
  <c r="D83" i="29" s="1"/>
  <c r="B83" i="29"/>
  <c r="A84" i="29"/>
  <c r="D84" i="29" s="1"/>
  <c r="B84" i="29"/>
  <c r="A85" i="29"/>
  <c r="B85" i="29"/>
  <c r="A86" i="29"/>
  <c r="B86" i="29"/>
  <c r="A87" i="29"/>
  <c r="D87" i="29" s="1"/>
  <c r="B87" i="29"/>
  <c r="A88" i="29"/>
  <c r="D88" i="29" s="1"/>
  <c r="B88" i="29"/>
  <c r="A89" i="29"/>
  <c r="B89" i="29"/>
  <c r="A90" i="29"/>
  <c r="B90" i="29"/>
  <c r="A91" i="29"/>
  <c r="B91" i="29"/>
  <c r="A92" i="29"/>
  <c r="D92" i="29" s="1"/>
  <c r="B92" i="29"/>
  <c r="A93" i="29"/>
  <c r="B93" i="29"/>
  <c r="A94" i="29"/>
  <c r="B94" i="29"/>
  <c r="A95" i="29"/>
  <c r="B95" i="29"/>
  <c r="A96" i="29"/>
  <c r="D96" i="29" s="1"/>
  <c r="B96" i="29"/>
  <c r="A97" i="29"/>
  <c r="D97" i="29" s="1"/>
  <c r="B97" i="29"/>
  <c r="A98" i="29"/>
  <c r="B98" i="29"/>
  <c r="A99" i="29"/>
  <c r="B99" i="29"/>
  <c r="A100" i="29"/>
  <c r="D100" i="29" s="1"/>
  <c r="B100" i="29"/>
  <c r="A101" i="29"/>
  <c r="B101" i="29"/>
  <c r="A102" i="29"/>
  <c r="B102" i="29"/>
  <c r="A103" i="29"/>
  <c r="B103" i="29"/>
  <c r="A104" i="29"/>
  <c r="D104" i="29" s="1"/>
  <c r="B104" i="29"/>
  <c r="A105" i="29"/>
  <c r="B105" i="29"/>
  <c r="A106" i="29"/>
  <c r="B106" i="29"/>
  <c r="A107" i="29"/>
  <c r="D107" i="29" s="1"/>
  <c r="B107" i="29"/>
  <c r="A108" i="29"/>
  <c r="D108" i="29" s="1"/>
  <c r="B108" i="29"/>
  <c r="A109" i="29"/>
  <c r="B109" i="29"/>
  <c r="A110" i="29"/>
  <c r="B110" i="29"/>
  <c r="A111" i="29"/>
  <c r="D111" i="29" s="1"/>
  <c r="B111" i="29"/>
  <c r="A112" i="29"/>
  <c r="D112" i="29" s="1"/>
  <c r="B112" i="29"/>
  <c r="A113" i="29"/>
  <c r="B113" i="29"/>
  <c r="A114" i="29"/>
  <c r="B114" i="29"/>
  <c r="A115" i="29"/>
  <c r="B115" i="29"/>
  <c r="A116" i="29"/>
  <c r="D116" i="29" s="1"/>
  <c r="B116" i="29"/>
  <c r="A117" i="29"/>
  <c r="B117" i="29"/>
  <c r="A118" i="29"/>
  <c r="B118" i="29"/>
  <c r="A119" i="29"/>
  <c r="F119" i="29" s="1"/>
  <c r="B119" i="29"/>
  <c r="A120" i="29"/>
  <c r="F120" i="29" s="1"/>
  <c r="B120" i="29"/>
  <c r="A121" i="29"/>
  <c r="F121" i="29" s="1"/>
  <c r="B121" i="29"/>
  <c r="A122" i="29"/>
  <c r="F122" i="29" s="1"/>
  <c r="B122" i="29"/>
  <c r="A123" i="29"/>
  <c r="D123" i="29" s="1"/>
  <c r="B123" i="29"/>
  <c r="A124" i="29"/>
  <c r="B124" i="29"/>
  <c r="A125" i="29"/>
  <c r="B125" i="29"/>
  <c r="A126" i="29"/>
  <c r="F126" i="29" s="1"/>
  <c r="B126" i="29"/>
  <c r="A127" i="29"/>
  <c r="B127" i="29"/>
  <c r="A128" i="29"/>
  <c r="B128" i="29"/>
  <c r="A129" i="29"/>
  <c r="F129" i="29" s="1"/>
  <c r="B129" i="29"/>
  <c r="A130" i="29"/>
  <c r="B130" i="29"/>
  <c r="A131" i="29"/>
  <c r="B131" i="29"/>
  <c r="A132" i="29"/>
  <c r="B132" i="29"/>
  <c r="A133" i="29"/>
  <c r="D133" i="29" s="1"/>
  <c r="B133" i="29"/>
  <c r="A134" i="29"/>
  <c r="D134" i="29" s="1"/>
  <c r="B134" i="29"/>
  <c r="A135" i="29"/>
  <c r="B135" i="29"/>
  <c r="A136" i="29"/>
  <c r="B136" i="29"/>
  <c r="A137" i="29"/>
  <c r="D137" i="29" s="1"/>
  <c r="A138" i="29"/>
  <c r="F138" i="29" s="1"/>
  <c r="B138" i="29"/>
  <c r="A139" i="29"/>
  <c r="D139" i="29" s="1"/>
  <c r="B139" i="29"/>
  <c r="A2" i="29"/>
  <c r="F2" i="29" s="1"/>
  <c r="B2" i="29"/>
  <c r="A3" i="29"/>
  <c r="F3" i="29" s="1"/>
  <c r="B3" i="29"/>
  <c r="A4" i="29"/>
  <c r="F4" i="29" s="1"/>
  <c r="B4" i="29"/>
  <c r="A5" i="29"/>
  <c r="F5" i="29" s="1"/>
  <c r="B5" i="29"/>
  <c r="A6" i="29"/>
  <c r="F6" i="29" s="1"/>
  <c r="B6" i="29"/>
  <c r="A7" i="29"/>
  <c r="F7" i="29" s="1"/>
  <c r="B7" i="29"/>
  <c r="A8" i="29"/>
  <c r="F8" i="29" s="1"/>
  <c r="B8" i="29"/>
  <c r="A9" i="29"/>
  <c r="F9" i="29" s="1"/>
  <c r="B9" i="29"/>
  <c r="A10" i="29"/>
  <c r="F10" i="29" s="1"/>
  <c r="B10" i="29"/>
  <c r="A11" i="29"/>
  <c r="F11" i="29" s="1"/>
  <c r="B11" i="29"/>
  <c r="A12" i="29"/>
  <c r="F12" i="29" s="1"/>
  <c r="B12" i="29"/>
  <c r="A13" i="29"/>
  <c r="F13" i="29" s="1"/>
  <c r="B13" i="29"/>
  <c r="A14" i="29"/>
  <c r="F14" i="29" s="1"/>
  <c r="B14" i="29"/>
  <c r="A15" i="29"/>
  <c r="F15" i="29" s="1"/>
  <c r="B15" i="29"/>
  <c r="A16" i="29"/>
  <c r="F16" i="29" s="1"/>
  <c r="B16" i="29"/>
  <c r="A17" i="29"/>
  <c r="F17" i="29" s="1"/>
  <c r="B17" i="29"/>
  <c r="B1" i="29"/>
  <c r="A1" i="29"/>
  <c r="F8" i="25"/>
  <c r="F14" i="25"/>
  <c r="F16" i="25"/>
  <c r="F18" i="25"/>
  <c r="F20" i="25"/>
  <c r="F22" i="25"/>
  <c r="F24" i="25"/>
  <c r="F26" i="25"/>
  <c r="F28" i="25"/>
  <c r="F37" i="25"/>
  <c r="F39" i="25"/>
  <c r="F42" i="25"/>
  <c r="F45" i="25"/>
  <c r="F49" i="25"/>
  <c r="F52" i="25"/>
  <c r="F55" i="25"/>
  <c r="F59" i="25"/>
  <c r="F63" i="25"/>
  <c r="F65" i="25"/>
  <c r="F67" i="25"/>
  <c r="F69" i="25"/>
  <c r="F72" i="25"/>
  <c r="F84" i="25"/>
  <c r="F88" i="25"/>
  <c r="F2" i="25"/>
  <c r="Q7" i="22"/>
  <c r="R7" i="22"/>
  <c r="S7" i="22"/>
  <c r="Q8" i="22"/>
  <c r="R8" i="22"/>
  <c r="S8" i="22"/>
  <c r="Q12" i="22"/>
  <c r="R12" i="22"/>
  <c r="S12" i="22"/>
  <c r="Q23" i="22"/>
  <c r="R23" i="22"/>
  <c r="S23" i="22"/>
  <c r="Q26" i="22"/>
  <c r="R26" i="22"/>
  <c r="S26" i="22"/>
  <c r="Q27" i="22"/>
  <c r="R27" i="22"/>
  <c r="S27" i="22"/>
  <c r="E11" i="22"/>
  <c r="F14" i="22"/>
  <c r="G23" i="22"/>
  <c r="G20" i="22"/>
  <c r="F15" i="22"/>
  <c r="F16" i="22"/>
  <c r="E13" i="22"/>
  <c r="E12" i="22"/>
  <c r="M14" i="22"/>
  <c r="O14" i="22" s="1"/>
  <c r="R16" i="22" s="1"/>
  <c r="L14" i="22"/>
  <c r="N14" i="22" s="1"/>
  <c r="Q16" i="22" s="1"/>
  <c r="E102" i="25"/>
  <c r="D102" i="25"/>
  <c r="E101" i="25"/>
  <c r="D101" i="25"/>
  <c r="E100" i="25"/>
  <c r="D100" i="25"/>
  <c r="E99" i="25"/>
  <c r="D99" i="25"/>
  <c r="E98" i="25"/>
  <c r="D98" i="25"/>
  <c r="E97" i="25"/>
  <c r="D97" i="25"/>
  <c r="E96" i="25"/>
  <c r="D96" i="25"/>
  <c r="E95" i="25"/>
  <c r="D95" i="25"/>
  <c r="E94" i="25"/>
  <c r="D94" i="25"/>
  <c r="E93" i="25"/>
  <c r="D93" i="25"/>
  <c r="E92" i="25"/>
  <c r="D92" i="25"/>
  <c r="E91" i="25"/>
  <c r="D91" i="25"/>
  <c r="E90" i="25"/>
  <c r="D90" i="25"/>
  <c r="E89" i="25"/>
  <c r="D89" i="25"/>
  <c r="E87" i="25"/>
  <c r="D87" i="25"/>
  <c r="E86" i="25"/>
  <c r="D86" i="25"/>
  <c r="E85" i="25"/>
  <c r="D85" i="25"/>
  <c r="E83" i="25"/>
  <c r="D83" i="25"/>
  <c r="E82" i="25"/>
  <c r="D82" i="25"/>
  <c r="E81" i="25"/>
  <c r="D81" i="25"/>
  <c r="E80" i="25"/>
  <c r="D80" i="25"/>
  <c r="E79" i="25"/>
  <c r="D79" i="25"/>
  <c r="D78" i="25"/>
  <c r="E77" i="25"/>
  <c r="D77" i="25"/>
  <c r="E76" i="25"/>
  <c r="D76" i="25"/>
  <c r="E75" i="25"/>
  <c r="D75" i="25"/>
  <c r="E74" i="25"/>
  <c r="D74" i="25"/>
  <c r="E73" i="25"/>
  <c r="D73" i="25"/>
  <c r="E71" i="25"/>
  <c r="D71" i="25"/>
  <c r="E70" i="25"/>
  <c r="D70" i="25"/>
  <c r="E68" i="25"/>
  <c r="E67" i="25" s="1"/>
  <c r="M19" i="22" s="1"/>
  <c r="O19" i="22" s="1"/>
  <c r="R21" i="22" s="1"/>
  <c r="D68" i="25"/>
  <c r="D67" i="25" s="1"/>
  <c r="L19" i="22" s="1"/>
  <c r="N19" i="22" s="1"/>
  <c r="Q21" i="22" s="1"/>
  <c r="E66" i="25"/>
  <c r="E65" i="25" s="1"/>
  <c r="M18" i="22" s="1"/>
  <c r="O18" i="22" s="1"/>
  <c r="R20" i="22" s="1"/>
  <c r="D66" i="25"/>
  <c r="D65" i="25" s="1"/>
  <c r="L18" i="22" s="1"/>
  <c r="N18" i="22" s="1"/>
  <c r="Q20" i="22" s="1"/>
  <c r="E64" i="25"/>
  <c r="E63" i="25" s="1"/>
  <c r="M17" i="22" s="1"/>
  <c r="O17" i="22" s="1"/>
  <c r="R19" i="22" s="1"/>
  <c r="D64" i="25"/>
  <c r="D63" i="25" s="1"/>
  <c r="L17" i="22" s="1"/>
  <c r="N17" i="22" s="1"/>
  <c r="Q19" i="22" s="1"/>
  <c r="E62" i="25"/>
  <c r="D62" i="25"/>
  <c r="E61" i="25"/>
  <c r="D61" i="25"/>
  <c r="E60" i="25"/>
  <c r="D60" i="25"/>
  <c r="E58" i="25"/>
  <c r="D58" i="25"/>
  <c r="E57" i="25"/>
  <c r="D57" i="25"/>
  <c r="E56" i="25"/>
  <c r="D56" i="25"/>
  <c r="E54" i="25"/>
  <c r="D54" i="25"/>
  <c r="E53" i="25"/>
  <c r="D53" i="25"/>
  <c r="E51" i="25"/>
  <c r="D51" i="25"/>
  <c r="E50" i="25"/>
  <c r="D50" i="25"/>
  <c r="E48" i="25"/>
  <c r="D48" i="25"/>
  <c r="E47" i="25"/>
  <c r="D47" i="25"/>
  <c r="E46" i="25"/>
  <c r="D46" i="25"/>
  <c r="E44" i="25"/>
  <c r="D44" i="25"/>
  <c r="E43" i="25"/>
  <c r="D43" i="25"/>
  <c r="D41" i="25"/>
  <c r="E40" i="25"/>
  <c r="D40" i="25"/>
  <c r="E38" i="25"/>
  <c r="E37" i="25" s="1"/>
  <c r="M12" i="22" s="1"/>
  <c r="O12" i="22" s="1"/>
  <c r="R14" i="22" s="1"/>
  <c r="D38" i="25"/>
  <c r="D37" i="25" s="1"/>
  <c r="L12" i="22" s="1"/>
  <c r="E36" i="25"/>
  <c r="D36" i="25"/>
  <c r="E35" i="25"/>
  <c r="D35" i="25"/>
  <c r="E34" i="25"/>
  <c r="D34" i="25"/>
  <c r="D33" i="25"/>
  <c r="E32" i="25"/>
  <c r="D32" i="25"/>
  <c r="E31" i="25"/>
  <c r="D31" i="25"/>
  <c r="E30" i="25"/>
  <c r="D30" i="25"/>
  <c r="E29" i="25"/>
  <c r="D29" i="25"/>
  <c r="E25" i="25"/>
  <c r="D25" i="25"/>
  <c r="D24" i="25" s="1"/>
  <c r="E27" i="25"/>
  <c r="E26" i="25" s="1"/>
  <c r="M32" i="22" s="1"/>
  <c r="D27" i="25"/>
  <c r="D26" i="25" s="1"/>
  <c r="L32" i="22" s="1"/>
  <c r="E23" i="25"/>
  <c r="E22" i="25" s="1"/>
  <c r="D23" i="25"/>
  <c r="D22" i="25" s="1"/>
  <c r="L30" i="22" s="1"/>
  <c r="E21" i="25"/>
  <c r="E20" i="25" s="1"/>
  <c r="M29" i="22" s="1"/>
  <c r="D21" i="25"/>
  <c r="D20" i="25" s="1"/>
  <c r="L29" i="22" s="1"/>
  <c r="E19" i="25"/>
  <c r="E18" i="25" s="1"/>
  <c r="M28" i="22" s="1"/>
  <c r="D19" i="25"/>
  <c r="D18" i="25" s="1"/>
  <c r="L28" i="22" s="1"/>
  <c r="E17" i="25"/>
  <c r="E16" i="25" s="1"/>
  <c r="M27" i="22" s="1"/>
  <c r="D17" i="25"/>
  <c r="D16" i="25" s="1"/>
  <c r="L27" i="22" s="1"/>
  <c r="E15" i="25"/>
  <c r="E14" i="25" s="1"/>
  <c r="M26" i="22" s="1"/>
  <c r="D15" i="25"/>
  <c r="D14" i="25" s="1"/>
  <c r="L26" i="22" s="1"/>
  <c r="E13" i="25"/>
  <c r="D13" i="25"/>
  <c r="E12" i="25"/>
  <c r="D12" i="25"/>
  <c r="E11" i="25"/>
  <c r="D11" i="25"/>
  <c r="E10" i="25"/>
  <c r="D10" i="25"/>
  <c r="E9" i="25"/>
  <c r="D9" i="25"/>
  <c r="D3" i="25"/>
  <c r="E3" i="25"/>
  <c r="D4" i="25"/>
  <c r="E4" i="25"/>
  <c r="D5" i="25"/>
  <c r="E5" i="25"/>
  <c r="D6" i="25"/>
  <c r="E6" i="25"/>
  <c r="D7" i="25"/>
  <c r="E7" i="25"/>
  <c r="C138" i="26"/>
  <c r="G137" i="26"/>
  <c r="F137" i="26"/>
  <c r="D137" i="26"/>
  <c r="E137" i="26"/>
  <c r="C137" i="26"/>
  <c r="B137" i="26"/>
  <c r="B137" i="29" s="1"/>
  <c r="C9" i="26"/>
  <c r="C111" i="29" l="1"/>
  <c r="C68" i="29"/>
  <c r="C123" i="29"/>
  <c r="C139" i="29"/>
  <c r="C36" i="29"/>
  <c r="E173" i="40"/>
  <c r="E167" i="40" s="1"/>
  <c r="E128" i="40"/>
  <c r="E124" i="40" s="1"/>
  <c r="E173" i="36"/>
  <c r="E167" i="36" s="1"/>
  <c r="M11" i="34" s="1"/>
  <c r="O11" i="34" s="1"/>
  <c r="E139" i="36"/>
  <c r="E135" i="36" s="1"/>
  <c r="E128" i="36"/>
  <c r="E124" i="36" s="1"/>
  <c r="E139" i="40"/>
  <c r="E135" i="40" s="1"/>
  <c r="E57" i="40"/>
  <c r="E52" i="40" s="1"/>
  <c r="E150" i="36"/>
  <c r="E147" i="36" s="1"/>
  <c r="M15" i="34" s="1"/>
  <c r="O15" i="34" s="1"/>
  <c r="E57" i="36"/>
  <c r="E52" i="36" s="1"/>
  <c r="E150" i="40"/>
  <c r="E147" i="40" s="1"/>
  <c r="E57" i="31"/>
  <c r="E52" i="31" s="1"/>
  <c r="E135" i="29"/>
  <c r="F135" i="29"/>
  <c r="F131" i="29"/>
  <c r="E131" i="29"/>
  <c r="F125" i="29"/>
  <c r="E125" i="29"/>
  <c r="F113" i="29"/>
  <c r="E113" i="29"/>
  <c r="F103" i="29"/>
  <c r="E103" i="29"/>
  <c r="F89" i="29"/>
  <c r="E89" i="29"/>
  <c r="F75" i="29"/>
  <c r="E75" i="29"/>
  <c r="F67" i="29"/>
  <c r="E67" i="29"/>
  <c r="F65" i="29"/>
  <c r="C65" i="29" s="1"/>
  <c r="E65" i="29"/>
  <c r="F63" i="29"/>
  <c r="E63" i="29"/>
  <c r="F61" i="29"/>
  <c r="C61" i="29" s="1"/>
  <c r="E61" i="29"/>
  <c r="F59" i="29"/>
  <c r="E59" i="29"/>
  <c r="F57" i="29"/>
  <c r="C57" i="29" s="1"/>
  <c r="E57" i="29"/>
  <c r="F55" i="29"/>
  <c r="E55" i="29"/>
  <c r="F53" i="29"/>
  <c r="C53" i="29" s="1"/>
  <c r="E53" i="29"/>
  <c r="F51" i="29"/>
  <c r="E51" i="29"/>
  <c r="F49" i="29"/>
  <c r="C49" i="29" s="1"/>
  <c r="E49" i="29"/>
  <c r="F47" i="29"/>
  <c r="E47" i="29"/>
  <c r="F45" i="29"/>
  <c r="C45" i="29" s="1"/>
  <c r="E45" i="29"/>
  <c r="F43" i="29"/>
  <c r="E43" i="29"/>
  <c r="F41" i="29"/>
  <c r="E41" i="29"/>
  <c r="C41" i="29" s="1"/>
  <c r="F39" i="29"/>
  <c r="E39" i="29"/>
  <c r="F37" i="29"/>
  <c r="E37" i="29"/>
  <c r="F35" i="29"/>
  <c r="E35" i="29"/>
  <c r="F33" i="29"/>
  <c r="C33" i="29" s="1"/>
  <c r="E33" i="29"/>
  <c r="F31" i="29"/>
  <c r="E31" i="29"/>
  <c r="F29" i="29"/>
  <c r="C29" i="29" s="1"/>
  <c r="E29" i="29"/>
  <c r="F27" i="29"/>
  <c r="E27" i="29"/>
  <c r="D27" i="29"/>
  <c r="C27" i="29" s="1"/>
  <c r="D23" i="29"/>
  <c r="B15" i="32"/>
  <c r="B12" i="32"/>
  <c r="B30" i="32"/>
  <c r="B27" i="32"/>
  <c r="B32" i="32"/>
  <c r="F127" i="29"/>
  <c r="E127" i="29"/>
  <c r="F123" i="29"/>
  <c r="E123" i="29"/>
  <c r="F115" i="29"/>
  <c r="E115" i="29"/>
  <c r="F109" i="29"/>
  <c r="E109" i="29"/>
  <c r="F105" i="29"/>
  <c r="E105" i="29"/>
  <c r="F99" i="29"/>
  <c r="E99" i="29"/>
  <c r="F95" i="29"/>
  <c r="E95" i="29"/>
  <c r="F91" i="29"/>
  <c r="E91" i="29"/>
  <c r="F85" i="29"/>
  <c r="E85" i="29"/>
  <c r="F81" i="29"/>
  <c r="E81" i="29"/>
  <c r="F77" i="29"/>
  <c r="E77" i="29"/>
  <c r="F71" i="29"/>
  <c r="E71" i="29"/>
  <c r="D131" i="29"/>
  <c r="D113" i="29"/>
  <c r="C113" i="29" s="1"/>
  <c r="D105" i="29"/>
  <c r="C37" i="29"/>
  <c r="F136" i="29"/>
  <c r="E136" i="29"/>
  <c r="E134" i="29"/>
  <c r="C134" i="29" s="1"/>
  <c r="F134" i="29"/>
  <c r="F132" i="29"/>
  <c r="E132" i="29"/>
  <c r="F130" i="29"/>
  <c r="E130" i="29"/>
  <c r="F128" i="29"/>
  <c r="E128" i="29"/>
  <c r="F124" i="29"/>
  <c r="E124" i="29"/>
  <c r="F118" i="29"/>
  <c r="E118" i="29"/>
  <c r="F116" i="29"/>
  <c r="E116" i="29"/>
  <c r="C116" i="29" s="1"/>
  <c r="F114" i="29"/>
  <c r="E114" i="29"/>
  <c r="F112" i="29"/>
  <c r="E112" i="29"/>
  <c r="C112" i="29" s="1"/>
  <c r="F110" i="29"/>
  <c r="E110" i="29"/>
  <c r="F108" i="29"/>
  <c r="E108" i="29"/>
  <c r="C108" i="29" s="1"/>
  <c r="F106" i="29"/>
  <c r="E106" i="29"/>
  <c r="F104" i="29"/>
  <c r="E104" i="29"/>
  <c r="C104" i="29" s="1"/>
  <c r="F102" i="29"/>
  <c r="E102" i="29"/>
  <c r="F100" i="29"/>
  <c r="E100" i="29"/>
  <c r="C100" i="29" s="1"/>
  <c r="F98" i="29"/>
  <c r="E98" i="29"/>
  <c r="F96" i="29"/>
  <c r="E96" i="29"/>
  <c r="C96" i="29" s="1"/>
  <c r="F94" i="29"/>
  <c r="E94" i="29"/>
  <c r="F92" i="29"/>
  <c r="E92" i="29"/>
  <c r="C92" i="29" s="1"/>
  <c r="F90" i="29"/>
  <c r="E90" i="29"/>
  <c r="F88" i="29"/>
  <c r="E88" i="29"/>
  <c r="C88" i="29" s="1"/>
  <c r="F86" i="29"/>
  <c r="E86" i="29"/>
  <c r="F84" i="29"/>
  <c r="E84" i="29"/>
  <c r="C84" i="29" s="1"/>
  <c r="F82" i="29"/>
  <c r="E82" i="29"/>
  <c r="F80" i="29"/>
  <c r="E80" i="29"/>
  <c r="C80" i="29" s="1"/>
  <c r="F78" i="29"/>
  <c r="E78" i="29"/>
  <c r="F76" i="29"/>
  <c r="E76" i="29"/>
  <c r="C76" i="29" s="1"/>
  <c r="F74" i="29"/>
  <c r="E74" i="29"/>
  <c r="F72" i="29"/>
  <c r="E72" i="29"/>
  <c r="C72" i="29" s="1"/>
  <c r="F70" i="29"/>
  <c r="E70" i="29"/>
  <c r="D122" i="29"/>
  <c r="D115" i="29"/>
  <c r="C115" i="29" s="1"/>
  <c r="D103" i="29"/>
  <c r="C103" i="29" s="1"/>
  <c r="D99" i="29"/>
  <c r="C99" i="29" s="1"/>
  <c r="D95" i="29"/>
  <c r="D91" i="29"/>
  <c r="C91" i="29" s="1"/>
  <c r="D75" i="29"/>
  <c r="C75" i="29" s="1"/>
  <c r="D71" i="29"/>
  <c r="C71" i="29" s="1"/>
  <c r="D67" i="29"/>
  <c r="C67" i="29" s="1"/>
  <c r="D63" i="29"/>
  <c r="C63" i="29" s="1"/>
  <c r="D59" i="29"/>
  <c r="C59" i="29" s="1"/>
  <c r="D55" i="29"/>
  <c r="C55" i="29" s="1"/>
  <c r="D51" i="29"/>
  <c r="C51" i="29" s="1"/>
  <c r="D47" i="29"/>
  <c r="C47" i="29" s="1"/>
  <c r="D43" i="29"/>
  <c r="C43" i="29" s="1"/>
  <c r="D39" i="29"/>
  <c r="C39" i="29" s="1"/>
  <c r="D35" i="29"/>
  <c r="C35" i="29" s="1"/>
  <c r="D31" i="29"/>
  <c r="C31" i="29" s="1"/>
  <c r="D26" i="29"/>
  <c r="D22" i="29"/>
  <c r="B11" i="32"/>
  <c r="F66" i="31" s="1"/>
  <c r="B19" i="32"/>
  <c r="F55" i="31" s="1"/>
  <c r="B31" i="32"/>
  <c r="B26" i="32"/>
  <c r="B33" i="32"/>
  <c r="B28" i="32"/>
  <c r="B10" i="32"/>
  <c r="F139" i="29"/>
  <c r="E139" i="29"/>
  <c r="F137" i="29"/>
  <c r="E137" i="29"/>
  <c r="C137" i="29" s="1"/>
  <c r="F133" i="29"/>
  <c r="E133" i="29"/>
  <c r="C133" i="29" s="1"/>
  <c r="F117" i="29"/>
  <c r="E117" i="29"/>
  <c r="F111" i="29"/>
  <c r="E111" i="29"/>
  <c r="F107" i="29"/>
  <c r="E107" i="29"/>
  <c r="C107" i="29" s="1"/>
  <c r="F101" i="29"/>
  <c r="E101" i="29"/>
  <c r="F97" i="29"/>
  <c r="E97" i="29"/>
  <c r="C97" i="29" s="1"/>
  <c r="F93" i="29"/>
  <c r="E93" i="29"/>
  <c r="F87" i="29"/>
  <c r="E87" i="29"/>
  <c r="C87" i="29" s="1"/>
  <c r="F83" i="29"/>
  <c r="E83" i="29"/>
  <c r="C83" i="29" s="1"/>
  <c r="F79" i="29"/>
  <c r="E79" i="29"/>
  <c r="C79" i="29" s="1"/>
  <c r="F73" i="29"/>
  <c r="E73" i="29"/>
  <c r="F69" i="29"/>
  <c r="E69" i="29"/>
  <c r="D135" i="29"/>
  <c r="C135" i="29" s="1"/>
  <c r="D117" i="29"/>
  <c r="D109" i="29"/>
  <c r="C109" i="29" s="1"/>
  <c r="D101" i="29"/>
  <c r="D93" i="29"/>
  <c r="D89" i="29"/>
  <c r="D85" i="29"/>
  <c r="C85" i="29" s="1"/>
  <c r="D81" i="29"/>
  <c r="C81" i="29" s="1"/>
  <c r="D77" i="29"/>
  <c r="D73" i="29"/>
  <c r="C73" i="29" s="1"/>
  <c r="D69" i="29"/>
  <c r="C69" i="29" s="1"/>
  <c r="E20" i="40"/>
  <c r="E18" i="40" s="1"/>
  <c r="E20" i="36"/>
  <c r="E18" i="36" s="1"/>
  <c r="E20" i="31"/>
  <c r="E18" i="31" s="1"/>
  <c r="M14" i="33" s="1"/>
  <c r="O14" i="33" s="1"/>
  <c r="R16" i="33" s="1"/>
  <c r="E33" i="25"/>
  <c r="E41" i="25"/>
  <c r="E39" i="25" s="1"/>
  <c r="M13" i="22" s="1"/>
  <c r="O13" i="22" s="1"/>
  <c r="R15" i="22" s="1"/>
  <c r="E78" i="25"/>
  <c r="F68" i="29"/>
  <c r="E68" i="29"/>
  <c r="F66" i="29"/>
  <c r="E66" i="29"/>
  <c r="F64" i="29"/>
  <c r="E64" i="29"/>
  <c r="C64" i="29" s="1"/>
  <c r="F62" i="29"/>
  <c r="E62" i="29"/>
  <c r="F60" i="29"/>
  <c r="E60" i="29"/>
  <c r="C60" i="29" s="1"/>
  <c r="F58" i="29"/>
  <c r="E58" i="29"/>
  <c r="F56" i="29"/>
  <c r="E56" i="29"/>
  <c r="C56" i="29" s="1"/>
  <c r="F54" i="29"/>
  <c r="E54" i="29"/>
  <c r="F52" i="29"/>
  <c r="E52" i="29"/>
  <c r="C52" i="29" s="1"/>
  <c r="F50" i="29"/>
  <c r="E50" i="29"/>
  <c r="F48" i="29"/>
  <c r="E48" i="29"/>
  <c r="C48" i="29" s="1"/>
  <c r="F46" i="29"/>
  <c r="E46" i="29"/>
  <c r="F44" i="29"/>
  <c r="E44" i="29"/>
  <c r="C44" i="29" s="1"/>
  <c r="F42" i="29"/>
  <c r="E42" i="29"/>
  <c r="F40" i="29"/>
  <c r="E40" i="29"/>
  <c r="C40" i="29" s="1"/>
  <c r="F38" i="29"/>
  <c r="E38" i="29"/>
  <c r="F36" i="29"/>
  <c r="E36" i="29"/>
  <c r="F34" i="29"/>
  <c r="E34" i="29"/>
  <c r="F32" i="29"/>
  <c r="E32" i="29"/>
  <c r="C32" i="29" s="1"/>
  <c r="F30" i="29"/>
  <c r="E30" i="29"/>
  <c r="F28" i="29"/>
  <c r="E28" i="29"/>
  <c r="D136" i="29"/>
  <c r="C136" i="29" s="1"/>
  <c r="D132" i="29"/>
  <c r="C132" i="29" s="1"/>
  <c r="D118" i="29"/>
  <c r="C118" i="29" s="1"/>
  <c r="D114" i="29"/>
  <c r="C114" i="29" s="1"/>
  <c r="D110" i="29"/>
  <c r="C110" i="29" s="1"/>
  <c r="D106" i="29"/>
  <c r="C106" i="29" s="1"/>
  <c r="D102" i="29"/>
  <c r="C102" i="29" s="1"/>
  <c r="D98" i="29"/>
  <c r="C98" i="29" s="1"/>
  <c r="D94" i="29"/>
  <c r="C94" i="29" s="1"/>
  <c r="D90" i="29"/>
  <c r="C90" i="29" s="1"/>
  <c r="D86" i="29"/>
  <c r="C86" i="29" s="1"/>
  <c r="D82" i="29"/>
  <c r="C82" i="29" s="1"/>
  <c r="D78" i="29"/>
  <c r="C78" i="29" s="1"/>
  <c r="D74" i="29"/>
  <c r="C74" i="29" s="1"/>
  <c r="D70" i="29"/>
  <c r="C70" i="29" s="1"/>
  <c r="D66" i="29"/>
  <c r="D62" i="29"/>
  <c r="C62" i="29" s="1"/>
  <c r="D58" i="29"/>
  <c r="D54" i="29"/>
  <c r="D50" i="29"/>
  <c r="D46" i="29"/>
  <c r="C46" i="29" s="1"/>
  <c r="D42" i="29"/>
  <c r="D38" i="29"/>
  <c r="D34" i="29"/>
  <c r="D30" i="29"/>
  <c r="D25" i="29"/>
  <c r="M11" i="33"/>
  <c r="O11" i="33" s="1"/>
  <c r="R13" i="33" s="1"/>
  <c r="B3" i="32"/>
  <c r="F19" i="31" s="1"/>
  <c r="B16" i="32"/>
  <c r="F41" i="31" s="1"/>
  <c r="E8" i="29" s="1"/>
  <c r="B14" i="32"/>
  <c r="F30" i="31" s="1"/>
  <c r="B18" i="32"/>
  <c r="B23" i="32"/>
  <c r="F73" i="31" s="1"/>
  <c r="E20" i="29" s="1"/>
  <c r="B22" i="32"/>
  <c r="F70" i="31" s="1"/>
  <c r="B25" i="32"/>
  <c r="B24" i="32"/>
  <c r="B17" i="32"/>
  <c r="L11" i="33"/>
  <c r="N11" i="33" s="1"/>
  <c r="P11" i="33" s="1"/>
  <c r="S13" i="33" s="1"/>
  <c r="F33" i="31"/>
  <c r="F64" i="31"/>
  <c r="F63" i="31"/>
  <c r="F35" i="31"/>
  <c r="E5" i="29" s="1"/>
  <c r="F23" i="31"/>
  <c r="E10" i="29" s="1"/>
  <c r="P22" i="33"/>
  <c r="S24" i="33" s="1"/>
  <c r="P17" i="33"/>
  <c r="S19" i="33" s="1"/>
  <c r="P16" i="33"/>
  <c r="S18" i="33" s="1"/>
  <c r="P21" i="33"/>
  <c r="S23" i="33" s="1"/>
  <c r="P23" i="33"/>
  <c r="S25" i="33" s="1"/>
  <c r="Q25" i="33"/>
  <c r="P15" i="33"/>
  <c r="S17" i="33" s="1"/>
  <c r="P14" i="33"/>
  <c r="S16" i="33" s="1"/>
  <c r="P12" i="33"/>
  <c r="S14" i="33" s="1"/>
  <c r="G10" i="22"/>
  <c r="O3" i="38"/>
  <c r="S9" i="38"/>
  <c r="F10" i="22"/>
  <c r="E10" i="22"/>
  <c r="N3" i="34"/>
  <c r="F20" i="31"/>
  <c r="E138" i="29" s="1"/>
  <c r="F22" i="31"/>
  <c r="F32" i="31"/>
  <c r="F50" i="31"/>
  <c r="F51" i="31"/>
  <c r="F29" i="31"/>
  <c r="F67" i="31"/>
  <c r="F25" i="31"/>
  <c r="E18" i="29" s="1"/>
  <c r="F27" i="31"/>
  <c r="F26" i="31"/>
  <c r="E19" i="29" s="1"/>
  <c r="F71" i="31"/>
  <c r="F53" i="31"/>
  <c r="F68" i="31"/>
  <c r="N25" i="33"/>
  <c r="Q27" i="33" s="1"/>
  <c r="O25" i="33"/>
  <c r="R27" i="33" s="1"/>
  <c r="N26" i="33"/>
  <c r="Q28" i="33" s="1"/>
  <c r="U26" i="33"/>
  <c r="B9" i="32" s="1"/>
  <c r="O26" i="33"/>
  <c r="R28" i="33" s="1"/>
  <c r="H32" i="33"/>
  <c r="D27" i="33"/>
  <c r="C33" i="22"/>
  <c r="B20" i="28" s="1"/>
  <c r="M30" i="22"/>
  <c r="C30" i="29"/>
  <c r="E24" i="25"/>
  <c r="D42" i="25"/>
  <c r="D45" i="25"/>
  <c r="D59" i="25"/>
  <c r="L16" i="22" s="1"/>
  <c r="N16" i="22" s="1"/>
  <c r="D69" i="25"/>
  <c r="L20" i="22" s="1"/>
  <c r="N20" i="22" s="1"/>
  <c r="Q22" i="22" s="1"/>
  <c r="D72" i="25"/>
  <c r="D88" i="25"/>
  <c r="L31" i="22"/>
  <c r="D8" i="25"/>
  <c r="E8" i="25"/>
  <c r="E28" i="25"/>
  <c r="E49" i="25"/>
  <c r="E52" i="25"/>
  <c r="E55" i="25"/>
  <c r="M15" i="22" s="1"/>
  <c r="O15" i="22" s="1"/>
  <c r="R17" i="22" s="1"/>
  <c r="N12" i="22"/>
  <c r="E42" i="25"/>
  <c r="E45" i="25"/>
  <c r="E59" i="25"/>
  <c r="M16" i="22" s="1"/>
  <c r="O16" i="22" s="1"/>
  <c r="R18" i="22" s="1"/>
  <c r="E69" i="25"/>
  <c r="M20" i="22" s="1"/>
  <c r="O20" i="22" s="1"/>
  <c r="R22" i="22" s="1"/>
  <c r="E72" i="25"/>
  <c r="E88" i="25"/>
  <c r="D28" i="25"/>
  <c r="L11" i="22" s="1"/>
  <c r="N11" i="22" s="1"/>
  <c r="Q13" i="22" s="1"/>
  <c r="D49" i="25"/>
  <c r="D52" i="25"/>
  <c r="D55" i="25"/>
  <c r="L15" i="22" s="1"/>
  <c r="N15" i="22" s="1"/>
  <c r="Q17" i="22" s="1"/>
  <c r="D84" i="25"/>
  <c r="L23" i="22" s="1"/>
  <c r="N23" i="22" s="1"/>
  <c r="E84" i="25"/>
  <c r="M23" i="22" s="1"/>
  <c r="O23" i="22" s="1"/>
  <c r="R25" i="22" s="1"/>
  <c r="D39" i="25"/>
  <c r="L13" i="22" s="1"/>
  <c r="D2" i="25"/>
  <c r="E2" i="25"/>
  <c r="P17" i="22"/>
  <c r="S19" i="22" s="1"/>
  <c r="P14" i="22"/>
  <c r="S16" i="22" s="1"/>
  <c r="P19" i="22"/>
  <c r="S21" i="22" s="1"/>
  <c r="P18" i="22"/>
  <c r="S20" i="22" s="1"/>
  <c r="R13" i="34" l="1"/>
  <c r="P11" i="34"/>
  <c r="O8" i="34"/>
  <c r="M11" i="22"/>
  <c r="O11" i="22" s="1"/>
  <c r="F54" i="31"/>
  <c r="C50" i="29"/>
  <c r="C89" i="29"/>
  <c r="C117" i="29"/>
  <c r="F119" i="31"/>
  <c r="F121" i="31"/>
  <c r="F120" i="31"/>
  <c r="C95" i="29"/>
  <c r="C131" i="29"/>
  <c r="F58" i="31"/>
  <c r="E13" i="29" s="1"/>
  <c r="F45" i="31"/>
  <c r="F46" i="31"/>
  <c r="F44" i="31"/>
  <c r="F47" i="31"/>
  <c r="F43" i="31"/>
  <c r="C34" i="29"/>
  <c r="C66" i="29"/>
  <c r="B3" i="28"/>
  <c r="F40" i="25" s="1"/>
  <c r="F59" i="31"/>
  <c r="E15" i="29" s="1"/>
  <c r="F60" i="31"/>
  <c r="F38" i="31"/>
  <c r="E2" i="29" s="1"/>
  <c r="C38" i="29"/>
  <c r="C54" i="29"/>
  <c r="C77" i="29"/>
  <c r="C93" i="29"/>
  <c r="C22" i="29"/>
  <c r="F116" i="31"/>
  <c r="F117" i="31"/>
  <c r="E129" i="29" s="1"/>
  <c r="F103" i="31"/>
  <c r="E122" i="29" s="1"/>
  <c r="C122" i="29" s="1"/>
  <c r="F106" i="31"/>
  <c r="F105" i="31"/>
  <c r="F104" i="31"/>
  <c r="F57" i="31"/>
  <c r="E9" i="29" s="1"/>
  <c r="F37" i="31"/>
  <c r="E6" i="29" s="1"/>
  <c r="B8" i="28"/>
  <c r="F68" i="25" s="1"/>
  <c r="F56" i="31"/>
  <c r="F40" i="31"/>
  <c r="E17" i="29" s="1"/>
  <c r="F39" i="31"/>
  <c r="F5" i="31"/>
  <c r="C42" i="29"/>
  <c r="C58" i="29"/>
  <c r="C101" i="29"/>
  <c r="F111" i="31"/>
  <c r="F114" i="31"/>
  <c r="E22" i="29" s="1"/>
  <c r="F110" i="31"/>
  <c r="F108" i="31"/>
  <c r="F113" i="31"/>
  <c r="F109" i="31"/>
  <c r="F112" i="31"/>
  <c r="C105" i="29"/>
  <c r="R17" i="34"/>
  <c r="P15" i="34"/>
  <c r="S17" i="34" s="1"/>
  <c r="Q13" i="33"/>
  <c r="F17" i="31"/>
  <c r="E14" i="29" s="1"/>
  <c r="F75" i="31"/>
  <c r="E11" i="29" s="1"/>
  <c r="P20" i="22"/>
  <c r="S22" i="22" s="1"/>
  <c r="P15" i="22"/>
  <c r="S17" i="22" s="1"/>
  <c r="P3" i="38"/>
  <c r="R13" i="22"/>
  <c r="P25" i="33"/>
  <c r="S27" i="33" s="1"/>
  <c r="U27" i="33"/>
  <c r="B6" i="32" s="1"/>
  <c r="O27" i="33"/>
  <c r="R29" i="33" s="1"/>
  <c r="N27" i="33"/>
  <c r="Q29" i="33" s="1"/>
  <c r="D28" i="33"/>
  <c r="I32" i="33"/>
  <c r="P26" i="33"/>
  <c r="S28" i="33" s="1"/>
  <c r="F91" i="25"/>
  <c r="F101" i="25"/>
  <c r="F92" i="25"/>
  <c r="F90" i="25"/>
  <c r="D3" i="29" s="1"/>
  <c r="F89" i="25"/>
  <c r="F98" i="25"/>
  <c r="F96" i="25"/>
  <c r="D129" i="29" s="1"/>
  <c r="C129" i="29" s="1"/>
  <c r="F95" i="25"/>
  <c r="F102" i="25"/>
  <c r="F93" i="25"/>
  <c r="D127" i="29" s="1"/>
  <c r="C127" i="29" s="1"/>
  <c r="F99" i="25"/>
  <c r="D125" i="29" s="1"/>
  <c r="C125" i="29" s="1"/>
  <c r="B5" i="28"/>
  <c r="F61" i="25" s="1"/>
  <c r="B4" i="28"/>
  <c r="F57" i="25" s="1"/>
  <c r="B9" i="28"/>
  <c r="F71" i="25" s="1"/>
  <c r="B13" i="28"/>
  <c r="F46" i="25" s="1"/>
  <c r="D18" i="29" s="1"/>
  <c r="C18" i="29" s="1"/>
  <c r="B10" i="28"/>
  <c r="B2" i="28"/>
  <c r="F38" i="25" s="1"/>
  <c r="B7" i="28"/>
  <c r="F66" i="25" s="1"/>
  <c r="D11" i="29" s="1"/>
  <c r="B17" i="28"/>
  <c r="F11" i="25" s="1"/>
  <c r="B6" i="28"/>
  <c r="F64" i="25" s="1"/>
  <c r="D20" i="29" s="1"/>
  <c r="C20" i="29" s="1"/>
  <c r="B11" i="28"/>
  <c r="F87" i="25" s="1"/>
  <c r="B19" i="28"/>
  <c r="F77" i="25" s="1"/>
  <c r="D7" i="29" s="1"/>
  <c r="B12" i="28"/>
  <c r="F43" i="25" s="1"/>
  <c r="F97" i="25"/>
  <c r="D130" i="29" s="1"/>
  <c r="C130" i="29" s="1"/>
  <c r="F100" i="25"/>
  <c r="D124" i="29" s="1"/>
  <c r="C124" i="29" s="1"/>
  <c r="F94" i="25"/>
  <c r="D128" i="29" s="1"/>
  <c r="C128" i="29" s="1"/>
  <c r="D33" i="22"/>
  <c r="E33" i="22" s="1"/>
  <c r="F33" i="22" s="1"/>
  <c r="G33" i="22" s="1"/>
  <c r="H33" i="22" s="1"/>
  <c r="I33" i="22" s="1"/>
  <c r="J33" i="22" s="1"/>
  <c r="K33" i="22" s="1"/>
  <c r="L33" i="22" s="1"/>
  <c r="M33" i="22" s="1"/>
  <c r="N33" i="22" s="1"/>
  <c r="O33" i="22" s="1"/>
  <c r="P33" i="22" s="1"/>
  <c r="B18" i="28"/>
  <c r="B14" i="28"/>
  <c r="B15" i="28"/>
  <c r="B16" i="28"/>
  <c r="L22" i="22"/>
  <c r="N22" i="22" s="1"/>
  <c r="Q24" i="22" s="1"/>
  <c r="M31" i="22"/>
  <c r="N13" i="22"/>
  <c r="Q15" i="22" s="1"/>
  <c r="M22" i="22"/>
  <c r="O22" i="22" s="1"/>
  <c r="R24" i="22" s="1"/>
  <c r="D29" i="22"/>
  <c r="N29" i="22" s="1"/>
  <c r="Q31" i="22" s="1"/>
  <c r="P16" i="22"/>
  <c r="S18" i="22" s="1"/>
  <c r="Q18" i="22"/>
  <c r="P23" i="22"/>
  <c r="S25" i="22" s="1"/>
  <c r="Q25" i="22"/>
  <c r="P12" i="22"/>
  <c r="S14" i="22" s="1"/>
  <c r="Q14" i="22"/>
  <c r="P11" i="22"/>
  <c r="S13" i="34" l="1"/>
  <c r="P8" i="34"/>
  <c r="O9" i="34"/>
  <c r="R10" i="34"/>
  <c r="F41" i="25"/>
  <c r="D138" i="29" s="1"/>
  <c r="C138" i="29" s="1"/>
  <c r="F86" i="25"/>
  <c r="C11" i="29"/>
  <c r="F11" i="31"/>
  <c r="E21" i="29" s="1"/>
  <c r="F79" i="31"/>
  <c r="F80" i="31"/>
  <c r="F82" i="31"/>
  <c r="E23" i="29" s="1"/>
  <c r="C23" i="29" s="1"/>
  <c r="F78" i="31"/>
  <c r="F81" i="31"/>
  <c r="E24" i="29" s="1"/>
  <c r="C24" i="29" s="1"/>
  <c r="F77" i="31"/>
  <c r="F13" i="25"/>
  <c r="F85" i="25"/>
  <c r="F58" i="25"/>
  <c r="P13" i="22"/>
  <c r="S15" i="22" s="1"/>
  <c r="F73" i="25"/>
  <c r="F56" i="25"/>
  <c r="D12" i="29" s="1"/>
  <c r="C12" i="29" s="1"/>
  <c r="F75" i="25"/>
  <c r="F70" i="25"/>
  <c r="F79" i="25"/>
  <c r="S13" i="22"/>
  <c r="F74" i="25"/>
  <c r="F82" i="25"/>
  <c r="F81" i="25"/>
  <c r="F80" i="25"/>
  <c r="F76" i="25"/>
  <c r="D28" i="29" s="1"/>
  <c r="C28" i="29" s="1"/>
  <c r="F44" i="25"/>
  <c r="D10" i="29" s="1"/>
  <c r="C10" i="29" s="1"/>
  <c r="D29" i="33"/>
  <c r="J32" i="33"/>
  <c r="P27" i="33"/>
  <c r="S29" i="33" s="1"/>
  <c r="U28" i="33"/>
  <c r="B4" i="32" s="1"/>
  <c r="N28" i="33"/>
  <c r="Q30" i="33" s="1"/>
  <c r="O28" i="33"/>
  <c r="R30" i="33" s="1"/>
  <c r="F62" i="25"/>
  <c r="F60" i="25"/>
  <c r="D16" i="29" s="1"/>
  <c r="F83" i="25"/>
  <c r="F78" i="25"/>
  <c r="F12" i="25"/>
  <c r="F10" i="25"/>
  <c r="F47" i="25"/>
  <c r="D19" i="29" s="1"/>
  <c r="C19" i="29" s="1"/>
  <c r="F48" i="25"/>
  <c r="F9" i="25"/>
  <c r="F51" i="25"/>
  <c r="F50" i="25"/>
  <c r="F31" i="25"/>
  <c r="F29" i="25"/>
  <c r="F35" i="25"/>
  <c r="D15" i="29" s="1"/>
  <c r="C15" i="29" s="1"/>
  <c r="F30" i="25"/>
  <c r="F36" i="25"/>
  <c r="F34" i="25"/>
  <c r="D13" i="29" s="1"/>
  <c r="C13" i="29" s="1"/>
  <c r="F33" i="25"/>
  <c r="D9" i="29" s="1"/>
  <c r="C9" i="29" s="1"/>
  <c r="F32" i="25"/>
  <c r="D5" i="29" s="1"/>
  <c r="C5" i="29" s="1"/>
  <c r="F3" i="25"/>
  <c r="D6" i="29" s="1"/>
  <c r="C6" i="29" s="1"/>
  <c r="F4" i="25"/>
  <c r="D2" i="29" s="1"/>
  <c r="C2" i="29" s="1"/>
  <c r="F7" i="25"/>
  <c r="D8" i="29" s="1"/>
  <c r="C8" i="29" s="1"/>
  <c r="F5" i="25"/>
  <c r="D4" i="29" s="1"/>
  <c r="C4" i="29" s="1"/>
  <c r="F6" i="25"/>
  <c r="D17" i="29" s="1"/>
  <c r="C17" i="29" s="1"/>
  <c r="F54" i="25"/>
  <c r="F53" i="25"/>
  <c r="P22" i="22"/>
  <c r="S24" i="22" s="1"/>
  <c r="O29" i="22"/>
  <c r="R31" i="22" s="1"/>
  <c r="U29" i="22"/>
  <c r="B26" i="28" s="1"/>
  <c r="F21" i="25" s="1"/>
  <c r="D119" i="29" s="1"/>
  <c r="D27" i="22"/>
  <c r="N27" i="22" s="1"/>
  <c r="Q29" i="22" s="1"/>
  <c r="D28" i="22"/>
  <c r="N28" i="22" s="1"/>
  <c r="D30" i="22"/>
  <c r="R11" i="34" l="1"/>
  <c r="R9" i="34"/>
  <c r="O3" i="34" s="1"/>
  <c r="S10" i="34"/>
  <c r="P9" i="34"/>
  <c r="F7" i="31"/>
  <c r="E119" i="29" s="1"/>
  <c r="C119" i="29" s="1"/>
  <c r="F86" i="31"/>
  <c r="F87" i="31"/>
  <c r="F85" i="31"/>
  <c r="F88" i="31"/>
  <c r="F84" i="31"/>
  <c r="P28" i="33"/>
  <c r="S30" i="33" s="1"/>
  <c r="K32" i="33"/>
  <c r="D30" i="33"/>
  <c r="N29" i="33"/>
  <c r="Q31" i="33" s="1"/>
  <c r="U29" i="33"/>
  <c r="B5" i="32" s="1"/>
  <c r="F49" i="31" s="1"/>
  <c r="E16" i="29" s="1"/>
  <c r="C16" i="29" s="1"/>
  <c r="O29" i="33"/>
  <c r="R31" i="33" s="1"/>
  <c r="P29" i="22"/>
  <c r="S31" i="22" s="1"/>
  <c r="U27" i="22"/>
  <c r="O27" i="22"/>
  <c r="R29" i="22" s="1"/>
  <c r="D26" i="22"/>
  <c r="U26" i="22" s="1"/>
  <c r="O28" i="22"/>
  <c r="R30" i="22" s="1"/>
  <c r="U28" i="22"/>
  <c r="D31" i="22"/>
  <c r="O31" i="22" s="1"/>
  <c r="U30" i="22"/>
  <c r="B27" i="28" s="1"/>
  <c r="F23" i="25" s="1"/>
  <c r="D120" i="29" s="1"/>
  <c r="N30" i="22"/>
  <c r="O30" i="22"/>
  <c r="R32" i="22" s="1"/>
  <c r="Q30" i="22"/>
  <c r="S9" i="34" l="1"/>
  <c r="S11" i="34"/>
  <c r="F9" i="31"/>
  <c r="E120" i="29" s="1"/>
  <c r="C120" i="29" s="1"/>
  <c r="F90" i="31"/>
  <c r="P29" i="33"/>
  <c r="S31" i="33" s="1"/>
  <c r="O30" i="33"/>
  <c r="N30" i="33"/>
  <c r="U30" i="33"/>
  <c r="B8" i="32" s="1"/>
  <c r="L32" i="33"/>
  <c r="M32" i="33" s="1"/>
  <c r="N32" i="33" s="1"/>
  <c r="O32" i="33" s="1"/>
  <c r="P32" i="33" s="1"/>
  <c r="D31" i="33"/>
  <c r="O26" i="22"/>
  <c r="N26" i="22"/>
  <c r="P28" i="22"/>
  <c r="S30" i="22" s="1"/>
  <c r="B24" i="28"/>
  <c r="F17" i="25" s="1"/>
  <c r="D14" i="29" s="1"/>
  <c r="C14" i="29" s="1"/>
  <c r="B23" i="28"/>
  <c r="F15" i="25" s="1"/>
  <c r="D32" i="22"/>
  <c r="N31" i="22"/>
  <c r="P31" i="22" s="1"/>
  <c r="P27" i="22"/>
  <c r="S29" i="22" s="1"/>
  <c r="U31" i="22"/>
  <c r="B28" i="28" s="1"/>
  <c r="F25" i="25" s="1"/>
  <c r="D121" i="29" s="1"/>
  <c r="B25" i="28"/>
  <c r="F19" i="25" s="1"/>
  <c r="D21" i="29" s="1"/>
  <c r="C21" i="29" s="1"/>
  <c r="Q32" i="22"/>
  <c r="P30" i="22"/>
  <c r="S32" i="22" s="1"/>
  <c r="P3" i="34" l="1"/>
  <c r="F15" i="31"/>
  <c r="E121" i="29" s="1"/>
  <c r="C121" i="29" s="1"/>
  <c r="F94" i="31"/>
  <c r="F93" i="31"/>
  <c r="E25" i="29" s="1"/>
  <c r="C25" i="29" s="1"/>
  <c r="F92" i="31"/>
  <c r="E26" i="29" s="1"/>
  <c r="C26" i="29" s="1"/>
  <c r="F95" i="31"/>
  <c r="R28" i="22"/>
  <c r="Q28" i="22"/>
  <c r="P30" i="33"/>
  <c r="U31" i="33"/>
  <c r="B7" i="32" s="1"/>
  <c r="N31" i="33"/>
  <c r="N8" i="33" s="1"/>
  <c r="Q10" i="33" s="1"/>
  <c r="O31" i="33"/>
  <c r="O8" i="33" s="1"/>
  <c r="R10" i="33" s="1"/>
  <c r="P26" i="22"/>
  <c r="N32" i="22"/>
  <c r="N8" i="22" s="1"/>
  <c r="U32" i="22"/>
  <c r="B29" i="28" s="1"/>
  <c r="F27" i="25" s="1"/>
  <c r="D126" i="29" s="1"/>
  <c r="O32" i="22"/>
  <c r="O8" i="22" s="1"/>
  <c r="F13" i="31" l="1"/>
  <c r="E126" i="29" s="1"/>
  <c r="C126" i="29" s="1"/>
  <c r="F98" i="31"/>
  <c r="E3" i="29" s="1"/>
  <c r="C3" i="29" s="1"/>
  <c r="F99" i="31"/>
  <c r="E7" i="29" s="1"/>
  <c r="C7" i="29" s="1"/>
  <c r="F101" i="31"/>
  <c r="F97" i="31"/>
  <c r="F100" i="31"/>
  <c r="S28" i="22"/>
  <c r="O9" i="33"/>
  <c r="P31" i="33"/>
  <c r="P8" i="33" s="1"/>
  <c r="S10" i="33" s="1"/>
  <c r="P32" i="22"/>
  <c r="P8" i="22" s="1"/>
  <c r="R9" i="33" l="1"/>
  <c r="R11" i="33"/>
  <c r="N9" i="33"/>
  <c r="P9" i="33"/>
  <c r="S9" i="33" l="1"/>
  <c r="S11" i="33"/>
  <c r="Q11" i="33"/>
  <c r="Q9" i="33"/>
  <c r="O3" i="33"/>
  <c r="P9" i="22"/>
  <c r="S10" i="22"/>
  <c r="Q10" i="22"/>
  <c r="N9" i="22"/>
  <c r="O9" i="22"/>
  <c r="R10" i="22"/>
  <c r="P3" i="33" l="1"/>
  <c r="N3" i="33"/>
  <c r="R9" i="22"/>
  <c r="R11" i="22"/>
  <c r="S9" i="22"/>
  <c r="S11" i="22"/>
  <c r="Q11" i="22"/>
  <c r="Q9" i="22"/>
  <c r="I2119" i="1" l="1"/>
  <c r="S2096" i="1" s="1"/>
  <c r="I2120" i="1"/>
  <c r="S2097" i="1" s="1"/>
  <c r="AJ2097" i="1" s="1"/>
  <c r="AI2097" i="1" s="1"/>
  <c r="AJ2099" i="1"/>
  <c r="M2" i="12"/>
  <c r="M3" i="12"/>
  <c r="M4" i="12"/>
  <c r="M5" i="12"/>
  <c r="M6" i="12"/>
  <c r="M7" i="12"/>
  <c r="M8" i="12"/>
  <c r="M9" i="12"/>
  <c r="M10" i="12"/>
  <c r="M11" i="12"/>
  <c r="M12" i="12"/>
  <c r="M13" i="12"/>
  <c r="AV6" i="12" l="1"/>
  <c r="AU6" i="12"/>
  <c r="AS6" i="12"/>
  <c r="AR6" i="12"/>
  <c r="AP6" i="12"/>
  <c r="AO6" i="12"/>
  <c r="AM6" i="12"/>
  <c r="AL6" i="12"/>
  <c r="AJ6" i="12"/>
  <c r="AI6" i="12"/>
  <c r="AG6" i="12"/>
  <c r="AF6" i="12"/>
  <c r="AD6" i="12"/>
  <c r="AC6" i="12"/>
  <c r="X6" i="12"/>
  <c r="W6" i="12"/>
  <c r="P41" i="13"/>
  <c r="O41" i="13"/>
  <c r="P39" i="13"/>
  <c r="C138" i="16"/>
  <c r="AV5" i="12"/>
  <c r="AU5" i="12"/>
  <c r="AS5" i="12"/>
  <c r="AR5" i="12"/>
  <c r="AP5" i="12"/>
  <c r="AO5" i="12"/>
  <c r="AM5" i="12"/>
  <c r="AL5" i="12"/>
  <c r="AJ5" i="12"/>
  <c r="AI5" i="12"/>
  <c r="AG5" i="12"/>
  <c r="AF5" i="12"/>
  <c r="AD5" i="12"/>
  <c r="AC5" i="12"/>
  <c r="D39" i="15" l="1"/>
  <c r="E39" i="15"/>
  <c r="D41" i="15"/>
  <c r="E41" i="15"/>
  <c r="D42" i="15"/>
  <c r="E42" i="15"/>
  <c r="D43" i="15"/>
  <c r="E43" i="15"/>
  <c r="D44" i="15"/>
  <c r="E44" i="15"/>
  <c r="D45" i="15"/>
  <c r="E45" i="15"/>
  <c r="E46" i="15"/>
  <c r="D46" i="15"/>
  <c r="AI23" i="14"/>
  <c r="AH23" i="14"/>
  <c r="AI22" i="14"/>
  <c r="AH22" i="14"/>
  <c r="AI21" i="14"/>
  <c r="AH21" i="14"/>
  <c r="AI20" i="14"/>
  <c r="AH20" i="14"/>
  <c r="AI19" i="14"/>
  <c r="AH19" i="14"/>
  <c r="AI18" i="14"/>
  <c r="AH18" i="14"/>
  <c r="AI17" i="14"/>
  <c r="AH17" i="14"/>
  <c r="AI16" i="14"/>
  <c r="AH16" i="14"/>
  <c r="AI15" i="14"/>
  <c r="AH15" i="14"/>
  <c r="AI14" i="14"/>
  <c r="AH14" i="14"/>
  <c r="AI13" i="14"/>
  <c r="AH13" i="14"/>
  <c r="AI12" i="14"/>
  <c r="AH12" i="14"/>
  <c r="AI11" i="14"/>
  <c r="AH11" i="14"/>
  <c r="AI10" i="14"/>
  <c r="AH10" i="14"/>
  <c r="AI9" i="14"/>
  <c r="AH9" i="14"/>
  <c r="AI8" i="14"/>
  <c r="AH8" i="14"/>
  <c r="AI7" i="14"/>
  <c r="AH7" i="14"/>
  <c r="AI6" i="14"/>
  <c r="AH6" i="14"/>
  <c r="AI5" i="14"/>
  <c r="AH5" i="14"/>
  <c r="AI4" i="14"/>
  <c r="AH4" i="14"/>
  <c r="AI3" i="14"/>
  <c r="AH3" i="14"/>
  <c r="AI2" i="14"/>
  <c r="AH2" i="14"/>
  <c r="AF23" i="14"/>
  <c r="AE23" i="14"/>
  <c r="AF22" i="14"/>
  <c r="AE22" i="14"/>
  <c r="AF21" i="14"/>
  <c r="AE21" i="14"/>
  <c r="AF20" i="14"/>
  <c r="AE20" i="14"/>
  <c r="AF19" i="14"/>
  <c r="AE19" i="14"/>
  <c r="AF18" i="14"/>
  <c r="AE18" i="14"/>
  <c r="AF17" i="14"/>
  <c r="AE17" i="14"/>
  <c r="AF16" i="14"/>
  <c r="AE16" i="14"/>
  <c r="AF15" i="14"/>
  <c r="AE15" i="14"/>
  <c r="AF14" i="14"/>
  <c r="AE14" i="14"/>
  <c r="AF13" i="14"/>
  <c r="AE13" i="14"/>
  <c r="AF12" i="14"/>
  <c r="AE12" i="14"/>
  <c r="AF11" i="14"/>
  <c r="AE11" i="14"/>
  <c r="AF10" i="14"/>
  <c r="AE10" i="14"/>
  <c r="AF9" i="14"/>
  <c r="AE9" i="14"/>
  <c r="AF8" i="14"/>
  <c r="AE8" i="14"/>
  <c r="AF7" i="14"/>
  <c r="AE7" i="14"/>
  <c r="AF6" i="14"/>
  <c r="AE6" i="14"/>
  <c r="AF5" i="14"/>
  <c r="AE5" i="14"/>
  <c r="AF4" i="14"/>
  <c r="AE4" i="14"/>
  <c r="AF3" i="14"/>
  <c r="AE3" i="14"/>
  <c r="AF2" i="14"/>
  <c r="AE2" i="14"/>
  <c r="AC23" i="14"/>
  <c r="AB23" i="14"/>
  <c r="AC22" i="14"/>
  <c r="AB22" i="14"/>
  <c r="AC21" i="14"/>
  <c r="AB21" i="14"/>
  <c r="AC20" i="14"/>
  <c r="AB20" i="14"/>
  <c r="AC19" i="14"/>
  <c r="AB19" i="14"/>
  <c r="AC18" i="14"/>
  <c r="AB18" i="14"/>
  <c r="AC17" i="14"/>
  <c r="AB17" i="14"/>
  <c r="AC16" i="14"/>
  <c r="AB16" i="14"/>
  <c r="AC15" i="14"/>
  <c r="AB15" i="14"/>
  <c r="AC14" i="14"/>
  <c r="AB14" i="14"/>
  <c r="AC13" i="14"/>
  <c r="AB13" i="14"/>
  <c r="AC12" i="14"/>
  <c r="AB12" i="14"/>
  <c r="AC11" i="14"/>
  <c r="AB11" i="14"/>
  <c r="AC10" i="14"/>
  <c r="AB10" i="14"/>
  <c r="AC9" i="14"/>
  <c r="AB9" i="14"/>
  <c r="AC8" i="14"/>
  <c r="AB8" i="14"/>
  <c r="AC7" i="14"/>
  <c r="AB7" i="14"/>
  <c r="AC6" i="14"/>
  <c r="AB6" i="14"/>
  <c r="AC5" i="14"/>
  <c r="AB5" i="14"/>
  <c r="AC4" i="14"/>
  <c r="AB4" i="14"/>
  <c r="AC3" i="14"/>
  <c r="AB3" i="14"/>
  <c r="AC2" i="14"/>
  <c r="AB2" i="14"/>
  <c r="Y3" i="14"/>
  <c r="Z3" i="14"/>
  <c r="Y4" i="14"/>
  <c r="Z4" i="14"/>
  <c r="Y5" i="14"/>
  <c r="Z5" i="14"/>
  <c r="Y6" i="14"/>
  <c r="Z6" i="14"/>
  <c r="Y7" i="14"/>
  <c r="Z7" i="14"/>
  <c r="Y8" i="14"/>
  <c r="Z8" i="14"/>
  <c r="Y9" i="14"/>
  <c r="Z9" i="14"/>
  <c r="Y10" i="14"/>
  <c r="Z10" i="14"/>
  <c r="Y11" i="14"/>
  <c r="Z11" i="14"/>
  <c r="Y12" i="14"/>
  <c r="Z12" i="14"/>
  <c r="Y13" i="14"/>
  <c r="Z13" i="14"/>
  <c r="Y14" i="14"/>
  <c r="Z14" i="14"/>
  <c r="Y15" i="14"/>
  <c r="Z15" i="14"/>
  <c r="Y16" i="14"/>
  <c r="Z16" i="14"/>
  <c r="Y17" i="14"/>
  <c r="Z17" i="14"/>
  <c r="Y18" i="14"/>
  <c r="Z18" i="14"/>
  <c r="Y19" i="14"/>
  <c r="Z19" i="14"/>
  <c r="Y20" i="14"/>
  <c r="Z20" i="14"/>
  <c r="Y21" i="14"/>
  <c r="Z21" i="14"/>
  <c r="Y22" i="14"/>
  <c r="Z22" i="14"/>
  <c r="Y23" i="14"/>
  <c r="Z23" i="14"/>
  <c r="Z2" i="14"/>
  <c r="Y2" i="14"/>
  <c r="W3" i="14"/>
  <c r="W4" i="14"/>
  <c r="W5" i="14"/>
  <c r="W6" i="14"/>
  <c r="W7" i="14"/>
  <c r="W8" i="14"/>
  <c r="W9" i="14"/>
  <c r="W10" i="14"/>
  <c r="W11" i="14"/>
  <c r="W12" i="14"/>
  <c r="W13" i="14"/>
  <c r="W14" i="14"/>
  <c r="W15" i="14"/>
  <c r="W16" i="14"/>
  <c r="W17" i="14"/>
  <c r="W18" i="14"/>
  <c r="W19" i="14"/>
  <c r="W20" i="14"/>
  <c r="W21" i="14"/>
  <c r="W22" i="14"/>
  <c r="W23" i="14"/>
  <c r="V3" i="14"/>
  <c r="V4" i="14"/>
  <c r="V5" i="14"/>
  <c r="V6" i="14"/>
  <c r="V7" i="14"/>
  <c r="V8" i="14"/>
  <c r="V9" i="14"/>
  <c r="V10" i="14"/>
  <c r="V11" i="14"/>
  <c r="V12" i="14"/>
  <c r="V13" i="14"/>
  <c r="V14" i="14"/>
  <c r="V15" i="14"/>
  <c r="V16" i="14"/>
  <c r="V17" i="14"/>
  <c r="V18" i="14"/>
  <c r="V19" i="14"/>
  <c r="V20" i="14"/>
  <c r="V21" i="14"/>
  <c r="V22" i="14"/>
  <c r="V23" i="14"/>
  <c r="T1" i="14"/>
  <c r="W1" i="14" s="1"/>
  <c r="Z1" i="14" s="1"/>
  <c r="AC1" i="14" s="1"/>
  <c r="AF1" i="14" s="1"/>
  <c r="AI1" i="14" s="1"/>
  <c r="S1" i="14"/>
  <c r="V1" i="14" s="1"/>
  <c r="Y1" i="14" s="1"/>
  <c r="AB1" i="14" s="1"/>
  <c r="AE1" i="14" s="1"/>
  <c r="AH1" i="14" s="1"/>
  <c r="AA1" i="12" l="1"/>
  <c r="AD1" i="12" s="1"/>
  <c r="X1" i="12"/>
  <c r="U1" i="12"/>
  <c r="Z1" i="12"/>
  <c r="AC1" i="12" s="1"/>
  <c r="AF1" i="12" s="1"/>
  <c r="AI1" i="12" s="1"/>
  <c r="AL1" i="12" s="1"/>
  <c r="AO1" i="12" s="1"/>
  <c r="AR1" i="12" s="1"/>
  <c r="AU1" i="12" s="1"/>
  <c r="AX1" i="12" s="1"/>
  <c r="BA1" i="12" s="1"/>
  <c r="W1" i="12"/>
  <c r="BA22" i="12"/>
  <c r="BA21" i="12"/>
  <c r="BA20" i="12"/>
  <c r="BA19" i="12"/>
  <c r="BA18" i="12"/>
  <c r="BA17" i="12"/>
  <c r="BA16" i="12"/>
  <c r="BA15" i="12"/>
  <c r="BA14" i="12"/>
  <c r="BA13" i="12"/>
  <c r="BA12" i="12"/>
  <c r="BA11" i="12"/>
  <c r="BA10" i="12"/>
  <c r="BA9" i="12"/>
  <c r="BA8" i="12"/>
  <c r="BA7" i="12"/>
  <c r="AU22" i="12"/>
  <c r="AU21" i="12"/>
  <c r="AU20" i="12"/>
  <c r="AU19" i="12"/>
  <c r="AU18" i="12"/>
  <c r="AU17" i="12"/>
  <c r="AU16" i="12"/>
  <c r="AU15" i="12"/>
  <c r="AU14" i="12"/>
  <c r="AU13" i="12"/>
  <c r="AU12" i="12"/>
  <c r="AU11" i="12"/>
  <c r="AU10" i="12"/>
  <c r="AU9" i="12"/>
  <c r="AU8" i="12"/>
  <c r="AU7" i="12"/>
  <c r="AU4" i="12"/>
  <c r="AU3" i="12"/>
  <c r="AU2" i="12"/>
  <c r="AR22" i="12"/>
  <c r="AR21" i="12"/>
  <c r="AR20" i="12"/>
  <c r="AR19" i="12"/>
  <c r="AR18" i="12"/>
  <c r="AR17" i="12"/>
  <c r="AR16" i="12"/>
  <c r="AR15" i="12"/>
  <c r="AR14" i="12"/>
  <c r="AR13" i="12"/>
  <c r="AR12" i="12"/>
  <c r="AR11" i="12"/>
  <c r="AR10" i="12"/>
  <c r="AR9" i="12"/>
  <c r="AR8" i="12"/>
  <c r="AR7" i="12"/>
  <c r="AR4" i="12"/>
  <c r="AR3" i="12"/>
  <c r="AR2" i="12"/>
  <c r="AO22" i="12"/>
  <c r="AO21" i="12"/>
  <c r="AO20" i="12"/>
  <c r="AO19" i="12"/>
  <c r="AO18" i="12"/>
  <c r="AO17" i="12"/>
  <c r="AO16" i="12"/>
  <c r="AO15" i="12"/>
  <c r="AO14" i="12"/>
  <c r="AO13" i="12"/>
  <c r="AO12" i="12"/>
  <c r="AO11" i="12"/>
  <c r="AO10" i="12"/>
  <c r="AO9" i="12"/>
  <c r="AO8" i="12"/>
  <c r="AO7" i="12"/>
  <c r="AO4" i="12"/>
  <c r="AO3" i="12"/>
  <c r="AO2" i="12"/>
  <c r="AL22" i="12"/>
  <c r="AL21" i="12"/>
  <c r="AL20" i="12"/>
  <c r="AL19" i="12"/>
  <c r="AL18" i="12"/>
  <c r="AL17" i="12"/>
  <c r="AL16" i="12"/>
  <c r="AL15" i="12"/>
  <c r="AL14" i="12"/>
  <c r="AL13" i="12"/>
  <c r="AL12" i="12"/>
  <c r="AL11" i="12"/>
  <c r="AL10" i="12"/>
  <c r="AL9" i="12"/>
  <c r="AL8" i="12"/>
  <c r="AL7" i="12"/>
  <c r="AL4" i="12"/>
  <c r="AL3" i="12"/>
  <c r="AI22" i="12"/>
  <c r="AI21" i="12"/>
  <c r="AI20" i="12"/>
  <c r="AI19" i="12"/>
  <c r="AI18" i="12"/>
  <c r="AI17" i="12"/>
  <c r="AI16" i="12"/>
  <c r="AI15" i="12"/>
  <c r="AI14" i="12"/>
  <c r="AI13" i="12"/>
  <c r="AI12" i="12"/>
  <c r="AI11" i="12"/>
  <c r="AI10" i="12"/>
  <c r="AI9" i="12"/>
  <c r="AI8" i="12"/>
  <c r="AI7" i="12"/>
  <c r="AI4" i="12"/>
  <c r="AI3" i="12"/>
  <c r="AI2" i="12"/>
  <c r="AF22" i="12"/>
  <c r="AF21" i="12"/>
  <c r="AF20" i="12"/>
  <c r="AF19" i="12"/>
  <c r="AF18" i="12"/>
  <c r="AF17" i="12"/>
  <c r="AF16" i="12"/>
  <c r="AF15" i="12"/>
  <c r="AF14" i="12"/>
  <c r="AF13" i="12"/>
  <c r="AF12" i="12"/>
  <c r="AF11" i="12"/>
  <c r="AF10" i="12"/>
  <c r="AF9" i="12"/>
  <c r="AF8" i="12"/>
  <c r="AF7" i="12"/>
  <c r="AF4" i="12"/>
  <c r="AF3" i="12"/>
  <c r="AF2" i="12"/>
  <c r="AC22" i="12"/>
  <c r="AC21" i="12"/>
  <c r="AC20" i="12"/>
  <c r="AC19" i="12"/>
  <c r="AC18" i="12"/>
  <c r="AC17" i="12"/>
  <c r="AC16" i="12"/>
  <c r="AC15" i="12"/>
  <c r="AC14" i="12"/>
  <c r="AC13" i="12"/>
  <c r="AC12" i="12"/>
  <c r="AC11" i="12"/>
  <c r="AC10" i="12"/>
  <c r="AC9" i="12"/>
  <c r="AC8" i="12"/>
  <c r="AC7" i="12"/>
  <c r="AC4" i="12"/>
  <c r="AC3" i="12"/>
  <c r="AC2" i="12"/>
  <c r="W22" i="12"/>
  <c r="W21" i="12"/>
  <c r="W20" i="12"/>
  <c r="W19" i="12"/>
  <c r="W18" i="12"/>
  <c r="W17" i="12"/>
  <c r="W16" i="12"/>
  <c r="W15" i="12"/>
  <c r="W14" i="12"/>
  <c r="W13" i="12"/>
  <c r="W12" i="12"/>
  <c r="W11" i="12"/>
  <c r="W10" i="12"/>
  <c r="W9" i="12"/>
  <c r="W8" i="12"/>
  <c r="W7" i="12"/>
  <c r="W4" i="12"/>
  <c r="T4" i="12"/>
  <c r="T7" i="12"/>
  <c r="T8" i="12"/>
  <c r="T9" i="12"/>
  <c r="T10" i="12"/>
  <c r="T11" i="12"/>
  <c r="T12" i="12"/>
  <c r="T13" i="12"/>
  <c r="T14" i="12"/>
  <c r="T15" i="12"/>
  <c r="T16" i="12"/>
  <c r="T17" i="12"/>
  <c r="T18" i="12"/>
  <c r="T19" i="12"/>
  <c r="T20" i="12"/>
  <c r="T21" i="12"/>
  <c r="T22" i="12"/>
  <c r="T2" i="12"/>
  <c r="K3" i="12"/>
  <c r="L3" i="12" s="1"/>
  <c r="K4" i="12"/>
  <c r="L4" i="12" s="1"/>
  <c r="K5" i="12"/>
  <c r="L5" i="12" s="1"/>
  <c r="K6" i="12"/>
  <c r="L6" i="12" s="1"/>
  <c r="K7" i="12"/>
  <c r="L7" i="12" s="1"/>
  <c r="K8" i="12"/>
  <c r="L8" i="12" s="1"/>
  <c r="K9" i="12"/>
  <c r="L9" i="12" s="1"/>
  <c r="K10" i="12"/>
  <c r="L10" i="12" s="1"/>
  <c r="K11" i="12"/>
  <c r="L11" i="12" s="1"/>
  <c r="K12" i="12"/>
  <c r="L12" i="12" s="1"/>
  <c r="K13" i="12"/>
  <c r="L13" i="12" s="1"/>
  <c r="K14" i="12"/>
  <c r="L14" i="12" s="1"/>
  <c r="K15" i="12"/>
  <c r="L15" i="12" s="1"/>
  <c r="K16" i="12"/>
  <c r="L16" i="12" s="1"/>
  <c r="K17" i="12"/>
  <c r="L17" i="12" s="1"/>
  <c r="K18" i="12"/>
  <c r="L18" i="12" s="1"/>
  <c r="K19" i="12"/>
  <c r="L19" i="12" s="1"/>
  <c r="K20" i="12"/>
  <c r="L20" i="12" s="1"/>
  <c r="K21" i="12"/>
  <c r="L21" i="12" s="1"/>
  <c r="K22" i="12"/>
  <c r="L22" i="12" s="1"/>
  <c r="K2" i="12"/>
  <c r="L2" i="12" s="1"/>
  <c r="M14" i="12"/>
  <c r="M15" i="12"/>
  <c r="M16" i="12"/>
  <c r="M17" i="12"/>
  <c r="M18" i="12"/>
  <c r="M19" i="12"/>
  <c r="M20" i="12"/>
  <c r="M21" i="12"/>
  <c r="M22" i="12"/>
  <c r="AG1" i="12" l="1"/>
  <c r="AJ1" i="12" s="1"/>
  <c r="AM1" i="12" s="1"/>
  <c r="AP1" i="12" s="1"/>
  <c r="AS1" i="12" s="1"/>
  <c r="AV1" i="12" s="1"/>
  <c r="AY1" i="12" s="1"/>
  <c r="BB1" i="12" s="1"/>
  <c r="AD3" i="12" l="1"/>
  <c r="AG3" i="12"/>
  <c r="AJ3" i="12"/>
  <c r="AM3" i="12"/>
  <c r="AP3" i="12"/>
  <c r="AS3" i="12"/>
  <c r="AV3" i="12"/>
  <c r="U4" i="12"/>
  <c r="X4" i="12"/>
  <c r="AD4" i="12"/>
  <c r="AG4" i="12"/>
  <c r="AJ4" i="12"/>
  <c r="AM4" i="12"/>
  <c r="AP4" i="12"/>
  <c r="AS4" i="12"/>
  <c r="AV4" i="12"/>
  <c r="U7" i="12"/>
  <c r="X7" i="12"/>
  <c r="AD7" i="12"/>
  <c r="AG7" i="12"/>
  <c r="AJ7" i="12"/>
  <c r="AM7" i="12"/>
  <c r="AP7" i="12"/>
  <c r="AS7" i="12"/>
  <c r="AV7" i="12"/>
  <c r="BB7" i="12"/>
  <c r="U8" i="12"/>
  <c r="X8" i="12"/>
  <c r="AD8" i="12"/>
  <c r="AG8" i="12"/>
  <c r="AJ8" i="12"/>
  <c r="AM8" i="12"/>
  <c r="AP8" i="12"/>
  <c r="AS8" i="12"/>
  <c r="AV8" i="12"/>
  <c r="BB8" i="12"/>
  <c r="U9" i="12"/>
  <c r="X9" i="12"/>
  <c r="AD9" i="12"/>
  <c r="AG9" i="12"/>
  <c r="AJ9" i="12"/>
  <c r="AM9" i="12"/>
  <c r="AP9" i="12"/>
  <c r="AS9" i="12"/>
  <c r="AV9" i="12"/>
  <c r="BB9" i="12"/>
  <c r="U10" i="12"/>
  <c r="X10" i="12"/>
  <c r="AD10" i="12"/>
  <c r="AG10" i="12"/>
  <c r="AJ10" i="12"/>
  <c r="AM10" i="12"/>
  <c r="AP10" i="12"/>
  <c r="AS10" i="12"/>
  <c r="AV10" i="12"/>
  <c r="BB10" i="12"/>
  <c r="U11" i="12"/>
  <c r="X11" i="12"/>
  <c r="AD11" i="12"/>
  <c r="AG11" i="12"/>
  <c r="AJ11" i="12"/>
  <c r="AM11" i="12"/>
  <c r="AP11" i="12"/>
  <c r="AS11" i="12"/>
  <c r="AV11" i="12"/>
  <c r="BB11" i="12"/>
  <c r="U12" i="12"/>
  <c r="X12" i="12"/>
  <c r="AD12" i="12"/>
  <c r="AG12" i="12"/>
  <c r="AJ12" i="12"/>
  <c r="AM12" i="12"/>
  <c r="AP12" i="12"/>
  <c r="AS12" i="12"/>
  <c r="AV12" i="12"/>
  <c r="BB12" i="12"/>
  <c r="U13" i="12"/>
  <c r="X13" i="12"/>
  <c r="AD13" i="12"/>
  <c r="AG13" i="12"/>
  <c r="AJ13" i="12"/>
  <c r="AM13" i="12"/>
  <c r="AP13" i="12"/>
  <c r="AS13" i="12"/>
  <c r="AV13" i="12"/>
  <c r="BB13" i="12"/>
  <c r="U14" i="12"/>
  <c r="X14" i="12"/>
  <c r="AD14" i="12"/>
  <c r="AG14" i="12"/>
  <c r="AJ14" i="12"/>
  <c r="AM14" i="12"/>
  <c r="AP14" i="12"/>
  <c r="AS14" i="12"/>
  <c r="AV14" i="12"/>
  <c r="BB14" i="12"/>
  <c r="U15" i="12"/>
  <c r="X15" i="12"/>
  <c r="AD15" i="12"/>
  <c r="AG15" i="12"/>
  <c r="AJ15" i="12"/>
  <c r="AM15" i="12"/>
  <c r="AP15" i="12"/>
  <c r="AS15" i="12"/>
  <c r="AV15" i="12"/>
  <c r="BB15" i="12"/>
  <c r="U16" i="12"/>
  <c r="X16" i="12"/>
  <c r="AD16" i="12"/>
  <c r="AG16" i="12"/>
  <c r="AJ16" i="12"/>
  <c r="AM16" i="12"/>
  <c r="AP16" i="12"/>
  <c r="AS16" i="12"/>
  <c r="AV16" i="12"/>
  <c r="BB16" i="12"/>
  <c r="U17" i="12"/>
  <c r="X17" i="12"/>
  <c r="AD17" i="12"/>
  <c r="AG17" i="12"/>
  <c r="AJ17" i="12"/>
  <c r="AM17" i="12"/>
  <c r="AP17" i="12"/>
  <c r="AS17" i="12"/>
  <c r="AV17" i="12"/>
  <c r="BB17" i="12"/>
  <c r="U18" i="12"/>
  <c r="X18" i="12"/>
  <c r="AD18" i="12"/>
  <c r="AG18" i="12"/>
  <c r="AJ18" i="12"/>
  <c r="AM18" i="12"/>
  <c r="AP18" i="12"/>
  <c r="AS18" i="12"/>
  <c r="AV18" i="12"/>
  <c r="BB18" i="12"/>
  <c r="U19" i="12"/>
  <c r="X19" i="12"/>
  <c r="AD19" i="12"/>
  <c r="AG19" i="12"/>
  <c r="AJ19" i="12"/>
  <c r="AM19" i="12"/>
  <c r="AP19" i="12"/>
  <c r="AS19" i="12"/>
  <c r="AV19" i="12"/>
  <c r="BB19" i="12"/>
  <c r="U20" i="12"/>
  <c r="X20" i="12"/>
  <c r="AD20" i="12"/>
  <c r="AG20" i="12"/>
  <c r="AJ20" i="12"/>
  <c r="AM20" i="12"/>
  <c r="AP20" i="12"/>
  <c r="AS20" i="12"/>
  <c r="AV20" i="12"/>
  <c r="BB20" i="12"/>
  <c r="U21" i="12"/>
  <c r="X21" i="12"/>
  <c r="AD21" i="12"/>
  <c r="AG21" i="12"/>
  <c r="AJ21" i="12"/>
  <c r="AM21" i="12"/>
  <c r="AP21" i="12"/>
  <c r="AS21" i="12"/>
  <c r="AV21" i="12"/>
  <c r="BB21" i="12"/>
  <c r="U22" i="12"/>
  <c r="X22" i="12"/>
  <c r="AD22" i="12"/>
  <c r="AG22" i="12"/>
  <c r="AJ22" i="12"/>
  <c r="AM22" i="12"/>
  <c r="AP22" i="12"/>
  <c r="AS22" i="12"/>
  <c r="AV22" i="12"/>
  <c r="BB22" i="12"/>
  <c r="AV2" i="12"/>
  <c r="AS2" i="12"/>
  <c r="AP2" i="12"/>
  <c r="AJ2" i="12"/>
  <c r="AG2" i="12"/>
  <c r="AD2" i="12"/>
  <c r="U2" i="12"/>
  <c r="P36" i="13" l="1"/>
  <c r="P8" i="13"/>
  <c r="P2" i="13"/>
  <c r="A46" i="6" l="1"/>
  <c r="D6" i="6" s="1"/>
  <c r="A172" i="6"/>
  <c r="A169" i="6"/>
  <c r="B47" i="6" l="1"/>
  <c r="C47" i="6"/>
  <c r="C50" i="6"/>
  <c r="A50" i="6" s="1"/>
  <c r="C51" i="6"/>
  <c r="A51" i="6" s="1"/>
  <c r="C52" i="6"/>
  <c r="A52" i="6" s="1"/>
  <c r="C53" i="6"/>
  <c r="A53" i="6" s="1"/>
  <c r="C54" i="6"/>
  <c r="A54" i="6" s="1"/>
  <c r="C55" i="6"/>
  <c r="A55" i="6" s="1"/>
  <c r="C56" i="6"/>
  <c r="A56" i="6" s="1"/>
  <c r="C57" i="6"/>
  <c r="A57" i="6" s="1"/>
  <c r="C58" i="6"/>
  <c r="A58" i="6" s="1"/>
  <c r="C59" i="6"/>
  <c r="A59" i="6" s="1"/>
  <c r="C60" i="6"/>
  <c r="A60" i="6" s="1"/>
  <c r="C61" i="6"/>
  <c r="A61" i="6" s="1"/>
  <c r="C62" i="6"/>
  <c r="A62" i="6" s="1"/>
  <c r="C63" i="6"/>
  <c r="A63" i="6" s="1"/>
  <c r="C64" i="6"/>
  <c r="A64" i="6" s="1"/>
  <c r="C65" i="6"/>
  <c r="A65" i="6" s="1"/>
  <c r="C66" i="6"/>
  <c r="A66" i="6" s="1"/>
  <c r="C67" i="6"/>
  <c r="A67" i="6" s="1"/>
  <c r="C68" i="6"/>
  <c r="A68" i="6" s="1"/>
  <c r="C69" i="6"/>
  <c r="A69" i="6" s="1"/>
  <c r="C70" i="6"/>
  <c r="A70" i="6" s="1"/>
  <c r="C73" i="6"/>
  <c r="C74" i="6"/>
  <c r="A74" i="6" s="1"/>
  <c r="C75" i="6"/>
  <c r="A75" i="6" s="1"/>
  <c r="C76" i="6"/>
  <c r="A76" i="6" s="1"/>
  <c r="C77" i="6"/>
  <c r="A77" i="6" s="1"/>
  <c r="C78" i="6"/>
  <c r="A78" i="6" s="1"/>
  <c r="C79" i="6"/>
  <c r="A79" i="6" s="1"/>
  <c r="C80" i="6"/>
  <c r="A80" i="6" s="1"/>
  <c r="C81" i="6"/>
  <c r="A81" i="6" s="1"/>
  <c r="C82" i="6"/>
  <c r="A82" i="6" s="1"/>
  <c r="C83" i="6"/>
  <c r="A83" i="6" s="1"/>
  <c r="C84" i="6"/>
  <c r="A84" i="6" s="1"/>
  <c r="C85" i="6"/>
  <c r="A85" i="6" s="1"/>
  <c r="C86" i="6"/>
  <c r="A86" i="6" s="1"/>
  <c r="C87" i="6"/>
  <c r="A87" i="6" s="1"/>
  <c r="C88" i="6"/>
  <c r="A88" i="6" s="1"/>
  <c r="C89" i="6"/>
  <c r="A89" i="6" s="1"/>
  <c r="C90" i="6"/>
  <c r="A90" i="6" s="1"/>
  <c r="C91" i="6"/>
  <c r="A91" i="6" s="1"/>
  <c r="C92" i="6"/>
  <c r="A92" i="6" s="1"/>
  <c r="C93" i="6"/>
  <c r="A93" i="6" s="1"/>
  <c r="C96" i="6"/>
  <c r="A96" i="6" s="1"/>
  <c r="C97" i="6"/>
  <c r="A97" i="6" s="1"/>
  <c r="C98" i="6"/>
  <c r="A98" i="6" s="1"/>
  <c r="C99" i="6"/>
  <c r="A99" i="6" s="1"/>
  <c r="C100" i="6"/>
  <c r="A100" i="6" s="1"/>
  <c r="C101" i="6"/>
  <c r="A101" i="6" s="1"/>
  <c r="C102" i="6"/>
  <c r="A102" i="6" s="1"/>
  <c r="C103" i="6"/>
  <c r="A103" i="6" s="1"/>
  <c r="C104" i="6"/>
  <c r="A104" i="6" s="1"/>
  <c r="C105" i="6"/>
  <c r="A105" i="6" s="1"/>
  <c r="C106" i="6"/>
  <c r="A106" i="6" s="1"/>
  <c r="C107" i="6"/>
  <c r="A107" i="6" s="1"/>
  <c r="C108" i="6"/>
  <c r="A108" i="6" s="1"/>
  <c r="C109" i="6"/>
  <c r="A109" i="6" s="1"/>
  <c r="C110" i="6"/>
  <c r="A110" i="6" s="1"/>
  <c r="C111" i="6"/>
  <c r="A111" i="6" s="1"/>
  <c r="C112" i="6"/>
  <c r="A112" i="6" s="1"/>
  <c r="C113" i="6"/>
  <c r="A113" i="6" s="1"/>
  <c r="C114" i="6"/>
  <c r="A114" i="6" s="1"/>
  <c r="C115" i="6"/>
  <c r="A115" i="6" s="1"/>
  <c r="C116" i="6"/>
  <c r="A116" i="6" s="1"/>
  <c r="C117" i="6"/>
  <c r="A117" i="6" s="1"/>
  <c r="C120" i="6"/>
  <c r="C121" i="6"/>
  <c r="A121" i="6" s="1"/>
  <c r="C122" i="6"/>
  <c r="A122" i="6" s="1"/>
  <c r="C123" i="6"/>
  <c r="A123" i="6" s="1"/>
  <c r="C124" i="6"/>
  <c r="A124" i="6" s="1"/>
  <c r="C125" i="6"/>
  <c r="A125" i="6" s="1"/>
  <c r="C126" i="6"/>
  <c r="A126" i="6" s="1"/>
  <c r="C127" i="6"/>
  <c r="A127" i="6" s="1"/>
  <c r="C128" i="6"/>
  <c r="A128" i="6" s="1"/>
  <c r="C129" i="6"/>
  <c r="A129" i="6" s="1"/>
  <c r="C130" i="6"/>
  <c r="A130" i="6" s="1"/>
  <c r="C131" i="6"/>
  <c r="A131" i="6" s="1"/>
  <c r="C132" i="6"/>
  <c r="A132" i="6" s="1"/>
  <c r="C133" i="6"/>
  <c r="A133" i="6" s="1"/>
  <c r="C134" i="6"/>
  <c r="A134" i="6" s="1"/>
  <c r="C135" i="6"/>
  <c r="A135" i="6" s="1"/>
  <c r="C136" i="6"/>
  <c r="A136" i="6" s="1"/>
  <c r="C137" i="6"/>
  <c r="A137" i="6" s="1"/>
  <c r="C138" i="6"/>
  <c r="A138" i="6" s="1"/>
  <c r="C139" i="6"/>
  <c r="A139" i="6" s="1"/>
  <c r="C140" i="6"/>
  <c r="A140" i="6" s="1"/>
  <c r="C143" i="6"/>
  <c r="A143" i="6" s="1"/>
  <c r="C144" i="6"/>
  <c r="A144" i="6" s="1"/>
  <c r="C145" i="6"/>
  <c r="A145" i="6" s="1"/>
  <c r="C146" i="6"/>
  <c r="A146" i="6" s="1"/>
  <c r="C147" i="6"/>
  <c r="A147" i="6" s="1"/>
  <c r="C148" i="6"/>
  <c r="A148" i="6" s="1"/>
  <c r="C149" i="6"/>
  <c r="A149" i="6" s="1"/>
  <c r="C150" i="6"/>
  <c r="A150" i="6" s="1"/>
  <c r="C151" i="6"/>
  <c r="A151" i="6" s="1"/>
  <c r="C152" i="6"/>
  <c r="A152" i="6" s="1"/>
  <c r="C153" i="6"/>
  <c r="A153" i="6" s="1"/>
  <c r="C154" i="6"/>
  <c r="A154" i="6" s="1"/>
  <c r="C155" i="6"/>
  <c r="A155" i="6" s="1"/>
  <c r="C156" i="6"/>
  <c r="A156" i="6" s="1"/>
  <c r="C157" i="6"/>
  <c r="A157" i="6" s="1"/>
  <c r="C158" i="6"/>
  <c r="A158" i="6" s="1"/>
  <c r="C159" i="6"/>
  <c r="A159" i="6" s="1"/>
  <c r="C160" i="6"/>
  <c r="A160" i="6" s="1"/>
  <c r="C161" i="6"/>
  <c r="A161" i="6" s="1"/>
  <c r="C162" i="6"/>
  <c r="A162" i="6" s="1"/>
  <c r="C163" i="6"/>
  <c r="A163" i="6" s="1"/>
  <c r="C166" i="6"/>
  <c r="D166" i="6"/>
  <c r="C167" i="6"/>
  <c r="A167" i="6" s="1"/>
  <c r="D167" i="6"/>
  <c r="C168" i="6"/>
  <c r="A168" i="6" s="1"/>
  <c r="D168" i="6"/>
  <c r="C165" i="6" l="1"/>
  <c r="A165" i="6" s="1"/>
  <c r="A164" i="6" s="1"/>
  <c r="C119" i="6"/>
  <c r="A119" i="6" s="1"/>
  <c r="A118" i="6" s="1"/>
  <c r="A166" i="6"/>
  <c r="C142" i="6"/>
  <c r="A142" i="6" s="1"/>
  <c r="A141" i="6" s="1"/>
  <c r="C72" i="6"/>
  <c r="A72" i="6" s="1"/>
  <c r="A71" i="6" s="1"/>
  <c r="A73" i="6"/>
  <c r="C49" i="6"/>
  <c r="A49" i="6" s="1"/>
  <c r="A120" i="6"/>
  <c r="C95" i="6"/>
  <c r="A95" i="6" s="1"/>
  <c r="A94" i="6" s="1"/>
  <c r="D9" i="8" l="1"/>
  <c r="D10" i="8"/>
  <c r="D11" i="8"/>
  <c r="D12" i="8"/>
  <c r="AS15" i="18"/>
  <c r="AS8" i="18"/>
  <c r="AS5" i="18"/>
  <c r="AS21" i="18"/>
  <c r="AS18" i="18"/>
  <c r="AS3" i="18"/>
  <c r="AS19" i="18"/>
  <c r="AS12" i="18"/>
  <c r="AS9" i="18"/>
  <c r="AS6" i="18"/>
  <c r="AS7" i="18"/>
  <c r="AS22" i="18"/>
  <c r="AS16" i="18"/>
  <c r="AS13" i="18"/>
  <c r="AS10" i="18"/>
  <c r="AS11" i="18"/>
  <c r="AS4" i="18"/>
  <c r="AS20" i="18"/>
  <c r="AS17" i="18"/>
  <c r="AS14" i="18"/>
  <c r="D136" i="6" l="1"/>
  <c r="D132" i="6"/>
  <c r="D128" i="6"/>
  <c r="D124" i="6"/>
  <c r="D139" i="6"/>
  <c r="D135" i="6"/>
  <c r="D131" i="6"/>
  <c r="D127" i="6"/>
  <c r="D123" i="6"/>
  <c r="D138" i="6"/>
  <c r="D134" i="6"/>
  <c r="D130" i="6"/>
  <c r="D126" i="6"/>
  <c r="D122" i="6"/>
  <c r="D140" i="6"/>
  <c r="D137" i="6"/>
  <c r="D133" i="6"/>
  <c r="D129" i="6"/>
  <c r="D125" i="6"/>
  <c r="D121" i="6"/>
  <c r="AG18" i="19"/>
  <c r="AG24" i="19"/>
  <c r="AG26" i="19"/>
  <c r="AG28" i="19"/>
  <c r="AG32" i="19"/>
  <c r="AG34" i="19"/>
  <c r="AG36" i="19"/>
  <c r="AG14" i="19"/>
  <c r="AG10" i="19"/>
  <c r="AG8" i="19"/>
  <c r="AG6" i="19"/>
  <c r="AF31" i="19" l="1"/>
  <c r="AF32" i="19"/>
  <c r="AF33" i="19"/>
  <c r="AF34" i="19"/>
  <c r="AF35" i="19"/>
  <c r="AF36" i="19"/>
  <c r="AF37" i="19"/>
  <c r="AF38" i="19"/>
  <c r="AG38" i="19" s="1"/>
  <c r="AN3" i="18"/>
  <c r="AO3" i="18"/>
  <c r="AP3" i="18"/>
  <c r="AN4" i="18"/>
  <c r="AO4" i="18"/>
  <c r="AP4" i="18"/>
  <c r="AN5" i="18"/>
  <c r="AO5" i="18"/>
  <c r="AP5" i="18"/>
  <c r="AN6" i="18"/>
  <c r="AO6" i="18"/>
  <c r="AP6" i="18"/>
  <c r="AN7" i="18"/>
  <c r="AO7" i="18"/>
  <c r="AP7" i="18"/>
  <c r="AN8" i="18"/>
  <c r="AO8" i="18"/>
  <c r="AP8" i="18"/>
  <c r="AN9" i="18"/>
  <c r="AO9" i="18"/>
  <c r="AP9" i="18"/>
  <c r="AN10" i="18"/>
  <c r="AO10" i="18"/>
  <c r="AP10" i="18"/>
  <c r="AN11" i="18"/>
  <c r="AO11" i="18"/>
  <c r="AP11" i="18"/>
  <c r="AN12" i="18"/>
  <c r="AO12" i="18"/>
  <c r="AP12" i="18"/>
  <c r="AN13" i="18"/>
  <c r="AO13" i="18"/>
  <c r="AP13" i="18"/>
  <c r="AN14" i="18"/>
  <c r="AO14" i="18"/>
  <c r="AP14" i="18"/>
  <c r="AN15" i="18"/>
  <c r="AO15" i="18"/>
  <c r="AP15" i="18"/>
  <c r="AN16" i="18"/>
  <c r="AO16" i="18"/>
  <c r="AP16" i="18"/>
  <c r="AN17" i="18"/>
  <c r="AO17" i="18"/>
  <c r="AP17" i="18"/>
  <c r="AN18" i="18"/>
  <c r="AO18" i="18"/>
  <c r="AP18" i="18"/>
  <c r="AN19" i="18"/>
  <c r="AO19" i="18"/>
  <c r="AP19" i="18"/>
  <c r="AN20" i="18"/>
  <c r="AO20" i="18"/>
  <c r="AP20" i="18"/>
  <c r="AN21" i="18"/>
  <c r="AO21" i="18"/>
  <c r="AP21" i="18"/>
  <c r="AN22" i="18"/>
  <c r="AO22" i="18"/>
  <c r="AP22" i="18"/>
  <c r="AP1" i="18"/>
  <c r="AO2" i="18"/>
  <c r="AP2" i="18"/>
  <c r="AN2" i="18"/>
  <c r="AN1" i="18"/>
  <c r="AO1" i="18"/>
  <c r="H1" i="19"/>
  <c r="I1" i="19"/>
  <c r="J1" i="19"/>
  <c r="B137" i="16"/>
  <c r="D137" i="16"/>
  <c r="E137" i="16"/>
  <c r="F137" i="16"/>
  <c r="G137" i="16"/>
  <c r="C137" i="16"/>
  <c r="O36" i="19" s="1"/>
  <c r="P36" i="19"/>
  <c r="P34" i="19"/>
  <c r="O34" i="19"/>
  <c r="P32" i="19"/>
  <c r="O32" i="19"/>
  <c r="A22" i="6" l="1"/>
  <c r="A23" i="6"/>
  <c r="R21" i="6"/>
  <c r="R20" i="6"/>
  <c r="K3" i="20"/>
  <c r="A3" i="20" s="1"/>
  <c r="K4" i="20"/>
  <c r="K5" i="20"/>
  <c r="K6" i="20"/>
  <c r="A6" i="20" s="1"/>
  <c r="K7" i="20"/>
  <c r="A7" i="20" s="1"/>
  <c r="K8" i="20"/>
  <c r="A8" i="20" s="1"/>
  <c r="K9" i="20"/>
  <c r="A9" i="20" s="1"/>
  <c r="K10" i="20"/>
  <c r="A10" i="20" s="1"/>
  <c r="K11" i="20"/>
  <c r="A11" i="20" s="1"/>
  <c r="K12" i="20"/>
  <c r="A12" i="20" s="1"/>
  <c r="K13" i="20"/>
  <c r="K14" i="20"/>
  <c r="A14" i="20" s="1"/>
  <c r="K15" i="20"/>
  <c r="A15" i="20" s="1"/>
  <c r="K16" i="20"/>
  <c r="A16" i="20" s="1"/>
  <c r="K17" i="20"/>
  <c r="A17" i="20" s="1"/>
  <c r="K18" i="20"/>
  <c r="A18" i="20" s="1"/>
  <c r="K19" i="20"/>
  <c r="A19" i="20" s="1"/>
  <c r="K20" i="20"/>
  <c r="A20" i="20" s="1"/>
  <c r="K21" i="20"/>
  <c r="A21" i="20" s="1"/>
  <c r="K22" i="20"/>
  <c r="A22" i="20" s="1"/>
  <c r="K2" i="20"/>
  <c r="A2" i="20" s="1"/>
  <c r="A4" i="20"/>
  <c r="A5" i="20"/>
  <c r="A13" i="20"/>
  <c r="X3" i="20"/>
  <c r="X4" i="20"/>
  <c r="X5" i="20"/>
  <c r="X6" i="20"/>
  <c r="X7" i="20"/>
  <c r="X8" i="20"/>
  <c r="X9" i="20"/>
  <c r="X10" i="20"/>
  <c r="X11" i="20"/>
  <c r="X12" i="20"/>
  <c r="X13" i="20"/>
  <c r="X14" i="20"/>
  <c r="X15" i="20"/>
  <c r="X16" i="20"/>
  <c r="X17" i="20"/>
  <c r="X18" i="20"/>
  <c r="X19" i="20"/>
  <c r="X20" i="20"/>
  <c r="X21" i="20"/>
  <c r="X22" i="20"/>
  <c r="X2" i="20"/>
  <c r="T3" i="20"/>
  <c r="T4" i="20"/>
  <c r="T5" i="20"/>
  <c r="T6" i="20"/>
  <c r="T7" i="20"/>
  <c r="T8" i="20"/>
  <c r="T9" i="20"/>
  <c r="T10" i="20"/>
  <c r="T11" i="20"/>
  <c r="T12" i="20"/>
  <c r="T13" i="20"/>
  <c r="T14" i="20"/>
  <c r="T15" i="20"/>
  <c r="T16" i="20"/>
  <c r="T17" i="20"/>
  <c r="T18" i="20"/>
  <c r="T19" i="20"/>
  <c r="T20" i="20"/>
  <c r="T21" i="20"/>
  <c r="T22" i="20"/>
  <c r="T2" i="20"/>
  <c r="Q22" i="21"/>
  <c r="Q20" i="21"/>
  <c r="AB3" i="20"/>
  <c r="AB4" i="20"/>
  <c r="AB5" i="20"/>
  <c r="AB6" i="20"/>
  <c r="AB7" i="20"/>
  <c r="AB8" i="20"/>
  <c r="AB9" i="20"/>
  <c r="AB10" i="20"/>
  <c r="AB11" i="20"/>
  <c r="AB12" i="20"/>
  <c r="AB13" i="20"/>
  <c r="AB14" i="20"/>
  <c r="AB15" i="20"/>
  <c r="AB16" i="20"/>
  <c r="AB17" i="20"/>
  <c r="AB18" i="20"/>
  <c r="AB19" i="20"/>
  <c r="AB20" i="20"/>
  <c r="AB21" i="20"/>
  <c r="AB22" i="20"/>
  <c r="AB2" i="20"/>
  <c r="AA3" i="20"/>
  <c r="AA4" i="20"/>
  <c r="AA5" i="20"/>
  <c r="AA6" i="20"/>
  <c r="AA7" i="20"/>
  <c r="AA8" i="20"/>
  <c r="AA9" i="20"/>
  <c r="R9" i="20" s="1"/>
  <c r="AA10" i="20"/>
  <c r="AA11" i="20"/>
  <c r="AA12" i="20"/>
  <c r="AA13" i="20"/>
  <c r="R13" i="20" s="1"/>
  <c r="AA14" i="20"/>
  <c r="AA15" i="20"/>
  <c r="R15" i="20" s="1"/>
  <c r="AA16" i="20"/>
  <c r="AA17" i="20"/>
  <c r="R17" i="20" s="1"/>
  <c r="AA18" i="20"/>
  <c r="AA19" i="20"/>
  <c r="R19" i="20" s="1"/>
  <c r="AA20" i="20"/>
  <c r="AA21" i="20"/>
  <c r="R21" i="20" s="1"/>
  <c r="AA22" i="20"/>
  <c r="AA2"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AA1" i="20" s="1"/>
  <c r="A19" i="21"/>
  <c r="A20" i="21"/>
  <c r="A18" i="21"/>
  <c r="W3" i="20" s="1"/>
  <c r="R22" i="20" l="1"/>
  <c r="R18" i="20"/>
  <c r="R14" i="20"/>
  <c r="R10" i="20"/>
  <c r="R6" i="20"/>
  <c r="R11" i="20"/>
  <c r="R7" i="20"/>
  <c r="R5" i="20"/>
  <c r="R2" i="20"/>
  <c r="R3" i="20"/>
  <c r="R20" i="20"/>
  <c r="R16" i="20"/>
  <c r="R12" i="20"/>
  <c r="R8" i="20"/>
  <c r="R4" i="20"/>
  <c r="AG30" i="2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F6" i="21"/>
  <c r="AG6" i="21" s="1"/>
  <c r="AG5" i="21"/>
  <c r="AF4" i="21"/>
  <c r="AG4" i="21" s="1"/>
  <c r="AG3" i="21"/>
  <c r="AF2" i="21"/>
  <c r="AG2" i="21" s="1"/>
  <c r="B1" i="21"/>
  <c r="L1" i="20" s="1"/>
  <c r="AB1" i="20" s="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F6" i="19"/>
  <c r="AF8" i="19"/>
  <c r="AF10" i="19"/>
  <c r="AF12" i="19"/>
  <c r="AF14" i="19"/>
  <c r="AF30" i="19"/>
  <c r="AG30" i="19" s="1"/>
  <c r="AB3" i="18"/>
  <c r="AB4" i="18"/>
  <c r="AB5" i="18"/>
  <c r="AB6" i="18"/>
  <c r="AB7" i="18"/>
  <c r="AB8" i="18"/>
  <c r="AB9" i="18"/>
  <c r="AB10" i="18"/>
  <c r="AB11" i="18"/>
  <c r="AB12" i="18"/>
  <c r="AB13" i="18"/>
  <c r="AB14" i="18"/>
  <c r="AB15" i="18"/>
  <c r="AB16" i="18"/>
  <c r="AB17" i="18"/>
  <c r="AB18" i="18"/>
  <c r="AB19" i="18"/>
  <c r="AB20" i="18"/>
  <c r="AB21" i="18"/>
  <c r="AB22" i="18"/>
  <c r="AB2" i="18"/>
  <c r="AL3" i="18"/>
  <c r="AI3" i="18" s="1"/>
  <c r="AL4" i="18"/>
  <c r="AI4" i="18" s="1"/>
  <c r="AL5" i="18"/>
  <c r="AI5" i="18" s="1"/>
  <c r="AL6" i="18"/>
  <c r="AI6" i="18" s="1"/>
  <c r="AL7" i="18"/>
  <c r="AI7" i="18" s="1"/>
  <c r="AL8" i="18"/>
  <c r="AI8" i="18" s="1"/>
  <c r="AL9" i="18"/>
  <c r="AI9" i="18" s="1"/>
  <c r="AL10" i="18"/>
  <c r="AI10" i="18" s="1"/>
  <c r="AL11" i="18"/>
  <c r="AI11" i="18" s="1"/>
  <c r="AL12" i="18"/>
  <c r="AI12" i="18" s="1"/>
  <c r="AL13" i="18"/>
  <c r="AI13" i="18" s="1"/>
  <c r="AL14" i="18"/>
  <c r="AI14" i="18" s="1"/>
  <c r="AL15" i="18"/>
  <c r="AI15" i="18" s="1"/>
  <c r="AL16" i="18"/>
  <c r="AI16" i="18" s="1"/>
  <c r="AL17" i="18"/>
  <c r="AI17" i="18" s="1"/>
  <c r="AL18" i="18"/>
  <c r="AI18" i="18" s="1"/>
  <c r="AL19" i="18"/>
  <c r="AI19" i="18" s="1"/>
  <c r="AL20" i="18"/>
  <c r="AI20" i="18" s="1"/>
  <c r="AL21" i="18"/>
  <c r="AI21" i="18" s="1"/>
  <c r="AL22" i="18"/>
  <c r="AI22" i="18" s="1"/>
  <c r="AL2" i="18"/>
  <c r="AI2" i="18" s="1"/>
  <c r="AK3" i="18"/>
  <c r="AK4" i="18"/>
  <c r="AK5" i="18"/>
  <c r="AK6" i="18"/>
  <c r="AK7" i="18"/>
  <c r="AK8" i="18"/>
  <c r="AK9" i="18"/>
  <c r="AK10" i="18"/>
  <c r="AK11" i="18"/>
  <c r="AK12" i="18"/>
  <c r="AK13" i="18"/>
  <c r="AK14" i="18"/>
  <c r="AK15" i="18"/>
  <c r="AK16" i="18"/>
  <c r="AK17" i="18"/>
  <c r="AK18" i="18"/>
  <c r="AK19" i="18"/>
  <c r="AK20" i="18"/>
  <c r="AK21" i="18"/>
  <c r="AK22" i="18"/>
  <c r="AK2" i="18"/>
  <c r="AJ3" i="18"/>
  <c r="AJ4" i="18"/>
  <c r="AJ5" i="18"/>
  <c r="AJ6" i="18"/>
  <c r="AJ7" i="18"/>
  <c r="AJ8" i="18"/>
  <c r="AJ9" i="18"/>
  <c r="AJ10" i="18"/>
  <c r="AJ11" i="18"/>
  <c r="AJ12" i="18"/>
  <c r="AJ13" i="18"/>
  <c r="AJ14" i="18"/>
  <c r="AJ15" i="18"/>
  <c r="AJ16" i="18"/>
  <c r="AJ17" i="18"/>
  <c r="AJ18" i="18"/>
  <c r="AJ19" i="18"/>
  <c r="AJ20" i="18"/>
  <c r="AJ21" i="18"/>
  <c r="AJ22" i="18"/>
  <c r="AJ2" i="18"/>
  <c r="AJ1" i="18"/>
  <c r="AK1" i="18"/>
  <c r="AL1" i="18"/>
  <c r="AM1" i="18"/>
  <c r="AI1" i="18"/>
  <c r="K3" i="18"/>
  <c r="K4" i="18"/>
  <c r="K5" i="18"/>
  <c r="K6" i="18"/>
  <c r="K7" i="18"/>
  <c r="K8" i="18"/>
  <c r="K9" i="18"/>
  <c r="K10" i="18"/>
  <c r="K11" i="18"/>
  <c r="K12" i="18"/>
  <c r="K13" i="18"/>
  <c r="K14" i="18"/>
  <c r="K15" i="18"/>
  <c r="K16" i="18"/>
  <c r="K17" i="18"/>
  <c r="K18" i="18"/>
  <c r="K19" i="18"/>
  <c r="K20" i="18"/>
  <c r="K21" i="18"/>
  <c r="K22" i="18"/>
  <c r="K2" i="18"/>
  <c r="P6" i="19"/>
  <c r="F3" i="18"/>
  <c r="F4" i="18"/>
  <c r="J4" i="18" s="1"/>
  <c r="F5" i="18"/>
  <c r="J5" i="18" s="1"/>
  <c r="F6" i="18"/>
  <c r="J6" i="18" s="1"/>
  <c r="F7" i="18"/>
  <c r="J7" i="18" s="1"/>
  <c r="F8" i="18"/>
  <c r="F9" i="18"/>
  <c r="F10" i="18"/>
  <c r="F11" i="18"/>
  <c r="F12" i="18"/>
  <c r="J12" i="18" s="1"/>
  <c r="F13" i="18"/>
  <c r="J13" i="18" s="1"/>
  <c r="F14" i="18"/>
  <c r="J14" i="18" s="1"/>
  <c r="F15" i="18"/>
  <c r="J15" i="18" s="1"/>
  <c r="F16" i="18"/>
  <c r="J16" i="18" s="1"/>
  <c r="F17" i="18"/>
  <c r="J17" i="18" s="1"/>
  <c r="F18" i="18"/>
  <c r="I18" i="18" s="1"/>
  <c r="F19" i="18"/>
  <c r="J19" i="18" s="1"/>
  <c r="F20" i="18"/>
  <c r="J20" i="18" s="1"/>
  <c r="F21" i="18"/>
  <c r="J21" i="18" s="1"/>
  <c r="F22" i="18"/>
  <c r="I22" i="18" s="1"/>
  <c r="F2" i="18"/>
  <c r="P12" i="19"/>
  <c r="O12" i="19"/>
  <c r="Q7" i="19"/>
  <c r="Q8" i="19"/>
  <c r="Q9" i="19"/>
  <c r="Q10" i="19"/>
  <c r="Q11" i="19"/>
  <c r="Q12" i="19"/>
  <c r="Q13" i="19"/>
  <c r="Q14" i="19"/>
  <c r="Q15" i="19"/>
  <c r="Q17" i="19"/>
  <c r="Q19" i="19"/>
  <c r="Q21" i="19"/>
  <c r="Q23" i="19"/>
  <c r="Q25" i="19"/>
  <c r="Q27" i="19"/>
  <c r="Q6" i="19"/>
  <c r="P8" i="19"/>
  <c r="P10" i="19"/>
  <c r="P14" i="19"/>
  <c r="O16" i="19"/>
  <c r="P16" i="19"/>
  <c r="O18" i="19"/>
  <c r="P18" i="19"/>
  <c r="O20" i="19"/>
  <c r="P20" i="19"/>
  <c r="O22" i="19"/>
  <c r="P22" i="19"/>
  <c r="O24" i="19"/>
  <c r="O26" i="19"/>
  <c r="O28" i="19"/>
  <c r="N28" i="19"/>
  <c r="Q28" i="19" s="1"/>
  <c r="N26" i="19"/>
  <c r="AF26" i="19" s="1"/>
  <c r="N24" i="19"/>
  <c r="AF24" i="19" s="1"/>
  <c r="C1" i="19"/>
  <c r="D1" i="19"/>
  <c r="N16" i="19" s="1"/>
  <c r="Q16" i="19" s="1"/>
  <c r="E1" i="19"/>
  <c r="N18" i="19" s="1"/>
  <c r="Q18" i="19" s="1"/>
  <c r="F1" i="19"/>
  <c r="N20" i="19" s="1"/>
  <c r="Q20" i="19" s="1"/>
  <c r="G1" i="19"/>
  <c r="N22" i="19" s="1"/>
  <c r="Q22" i="19" s="1"/>
  <c r="B1" i="19"/>
  <c r="Y21" i="18"/>
  <c r="Y22" i="18"/>
  <c r="AE22" i="18"/>
  <c r="AE17" i="18"/>
  <c r="W2" i="20"/>
  <c r="Y19" i="18"/>
  <c r="AE20" i="18"/>
  <c r="AE21" i="18"/>
  <c r="W4" i="20"/>
  <c r="AE19" i="18"/>
  <c r="Y17" i="18"/>
  <c r="Y18" i="18"/>
  <c r="AE18" i="18"/>
  <c r="Y20" i="18"/>
  <c r="I16" i="18" l="1"/>
  <c r="I20" i="18"/>
  <c r="I19" i="18"/>
  <c r="Q26" i="19"/>
  <c r="Z21" i="18"/>
  <c r="AF28" i="19"/>
  <c r="I21" i="18"/>
  <c r="Z20" i="18"/>
  <c r="Q24" i="19"/>
  <c r="I14" i="18"/>
  <c r="J18" i="18"/>
  <c r="I15" i="18"/>
  <c r="J3" i="18"/>
  <c r="J22" i="18"/>
  <c r="J11" i="18"/>
  <c r="J2" i="18"/>
  <c r="I13" i="18"/>
  <c r="I17" i="18"/>
  <c r="Z5" i="18"/>
  <c r="AF22" i="19"/>
  <c r="AG22" i="19" s="1"/>
  <c r="AF20" i="19"/>
  <c r="AF18" i="19"/>
  <c r="AF16" i="19"/>
  <c r="Z19" i="18"/>
  <c r="Z17" i="18"/>
  <c r="Z9" i="18"/>
  <c r="Z16" i="18"/>
  <c r="Z15" i="18"/>
  <c r="Z7" i="18"/>
  <c r="Z11" i="18"/>
  <c r="Z3" i="18"/>
  <c r="Z12" i="18"/>
  <c r="Z8" i="18"/>
  <c r="Z4" i="18"/>
  <c r="Z13" i="18"/>
  <c r="D2" i="20"/>
  <c r="B143" i="6" s="1"/>
  <c r="C2" i="20"/>
  <c r="D4" i="20"/>
  <c r="B145" i="6" s="1"/>
  <c r="C4" i="20"/>
  <c r="C8" i="20"/>
  <c r="D8" i="20"/>
  <c r="B149" i="6" s="1"/>
  <c r="C12" i="20"/>
  <c r="D12" i="20"/>
  <c r="B153" i="6" s="1"/>
  <c r="C16" i="20"/>
  <c r="D16" i="20"/>
  <c r="B157" i="6" s="1"/>
  <c r="D18" i="20"/>
  <c r="B159" i="6" s="1"/>
  <c r="C18" i="20"/>
  <c r="C20" i="20"/>
  <c r="D20" i="20"/>
  <c r="B161" i="6" s="1"/>
  <c r="D22" i="20"/>
  <c r="B163" i="6" s="1"/>
  <c r="C22" i="20"/>
  <c r="C9" i="20"/>
  <c r="D9" i="20"/>
  <c r="B150" i="6" s="1"/>
  <c r="D6" i="20"/>
  <c r="B147" i="6" s="1"/>
  <c r="C6" i="20"/>
  <c r="D10" i="20"/>
  <c r="B151" i="6" s="1"/>
  <c r="C10" i="20"/>
  <c r="D14" i="20"/>
  <c r="B155" i="6" s="1"/>
  <c r="C14" i="20"/>
  <c r="C13" i="20"/>
  <c r="D13" i="20"/>
  <c r="B154" i="6" s="1"/>
  <c r="D3" i="20"/>
  <c r="B144" i="6" s="1"/>
  <c r="C3" i="20"/>
  <c r="C5" i="20"/>
  <c r="D5" i="20"/>
  <c r="B146" i="6" s="1"/>
  <c r="D7" i="20"/>
  <c r="B148" i="6" s="1"/>
  <c r="C7" i="20"/>
  <c r="D11" i="20"/>
  <c r="B152" i="6" s="1"/>
  <c r="C11" i="20"/>
  <c r="D15" i="20"/>
  <c r="B156" i="6" s="1"/>
  <c r="C15" i="20"/>
  <c r="D17" i="20"/>
  <c r="B158" i="6" s="1"/>
  <c r="C17" i="20"/>
  <c r="C19" i="20"/>
  <c r="D19" i="20"/>
  <c r="B160" i="6" s="1"/>
  <c r="D21" i="20"/>
  <c r="B162" i="6" s="1"/>
  <c r="C21" i="20"/>
  <c r="AF26" i="21"/>
  <c r="AG26" i="21" s="1"/>
  <c r="Q24" i="21"/>
  <c r="AF18" i="21"/>
  <c r="AG18" i="21" s="1"/>
  <c r="AF20" i="21"/>
  <c r="AG20" i="21" s="1"/>
  <c r="AF22" i="21"/>
  <c r="AG22" i="21" s="1"/>
  <c r="AF16" i="21"/>
  <c r="AG16" i="21" s="1"/>
  <c r="Q28" i="21"/>
  <c r="Z22" i="18"/>
  <c r="Z18" i="18"/>
  <c r="Z14" i="18"/>
  <c r="Z10" i="18"/>
  <c r="Z6" i="18"/>
  <c r="Z2" i="18"/>
  <c r="J10" i="18"/>
  <c r="J9" i="18"/>
  <c r="J8" i="18"/>
  <c r="S4" i="20"/>
  <c r="S16" i="20"/>
  <c r="S7" i="20"/>
  <c r="S9" i="20"/>
  <c r="S12" i="20"/>
  <c r="S8" i="20"/>
  <c r="S14" i="20"/>
  <c r="S3" i="20"/>
  <c r="S15" i="20"/>
  <c r="S21" i="20"/>
  <c r="S19" i="20"/>
  <c r="S10" i="20"/>
  <c r="S2" i="20"/>
  <c r="S18" i="20"/>
  <c r="S20" i="20"/>
  <c r="S17" i="20"/>
  <c r="S22" i="20"/>
  <c r="S5" i="20"/>
  <c r="S11" i="20"/>
  <c r="S13" i="20"/>
  <c r="S6" i="20"/>
  <c r="Y2" i="20" l="1"/>
  <c r="Y20" i="20"/>
  <c r="Y16" i="20"/>
  <c r="Y12" i="20"/>
  <c r="Y21" i="20"/>
  <c r="Y9" i="20"/>
  <c r="Y5" i="20"/>
  <c r="Y4" i="20"/>
  <c r="Y15" i="20"/>
  <c r="Y18" i="20"/>
  <c r="Y13" i="20"/>
  <c r="Y10" i="20"/>
  <c r="Y6" i="20"/>
  <c r="B142" i="6"/>
  <c r="Y11" i="20"/>
  <c r="Y14" i="20"/>
  <c r="Y8" i="20"/>
  <c r="Y19" i="20"/>
  <c r="Y22" i="20"/>
  <c r="Y17" i="20"/>
  <c r="Y7" i="20"/>
  <c r="Y3" i="20"/>
  <c r="E24" i="6"/>
  <c r="F24" i="6"/>
  <c r="N2" i="20"/>
  <c r="G24" i="6" l="1"/>
  <c r="N6" i="20"/>
  <c r="N7" i="20" l="1"/>
  <c r="N9" i="20" l="1"/>
  <c r="P4" i="19" l="1"/>
  <c r="N4" i="19"/>
  <c r="AF4" i="19" s="1"/>
  <c r="P2" i="19"/>
  <c r="O2" i="19"/>
  <c r="N2" i="19"/>
  <c r="X22" i="18"/>
  <c r="A22" i="18"/>
  <c r="V22" i="18" s="1"/>
  <c r="C22" i="18"/>
  <c r="X21" i="18"/>
  <c r="A21" i="18"/>
  <c r="V21" i="18" s="1"/>
  <c r="C21" i="18"/>
  <c r="X20" i="18"/>
  <c r="A20" i="18"/>
  <c r="V20" i="18" s="1"/>
  <c r="C20" i="18"/>
  <c r="X19" i="18"/>
  <c r="A19" i="18"/>
  <c r="V19" i="18" s="1"/>
  <c r="C19" i="18"/>
  <c r="X18" i="18"/>
  <c r="A18" i="18"/>
  <c r="V18" i="18" s="1"/>
  <c r="C18" i="18"/>
  <c r="X17" i="18"/>
  <c r="A17" i="18"/>
  <c r="V17" i="18" s="1"/>
  <c r="C17" i="18"/>
  <c r="X16" i="18"/>
  <c r="A16" i="18"/>
  <c r="V16" i="18" s="1"/>
  <c r="C16" i="18"/>
  <c r="X15" i="18"/>
  <c r="A15" i="18"/>
  <c r="C15" i="18"/>
  <c r="X14" i="18"/>
  <c r="A14" i="18"/>
  <c r="C14" i="18"/>
  <c r="X13" i="18"/>
  <c r="A13" i="18"/>
  <c r="C13" i="18"/>
  <c r="X12" i="18"/>
  <c r="A12" i="18"/>
  <c r="X11" i="18"/>
  <c r="A11" i="18"/>
  <c r="X10" i="18"/>
  <c r="A10" i="18"/>
  <c r="X9" i="18"/>
  <c r="A9" i="18"/>
  <c r="X8" i="18"/>
  <c r="A8" i="18"/>
  <c r="X7" i="18"/>
  <c r="A7" i="18"/>
  <c r="X6" i="18"/>
  <c r="A6" i="18"/>
  <c r="X5" i="18"/>
  <c r="A5" i="18"/>
  <c r="X4" i="18"/>
  <c r="A4" i="18"/>
  <c r="X3" i="18"/>
  <c r="A3" i="18"/>
  <c r="X2" i="18"/>
  <c r="A2" i="18"/>
  <c r="W12" i="20"/>
  <c r="Q14" i="20"/>
  <c r="Q16" i="20"/>
  <c r="Q18" i="20"/>
  <c r="W20" i="20"/>
  <c r="Q22" i="20"/>
  <c r="Q12" i="20"/>
  <c r="W14" i="20"/>
  <c r="W16" i="20"/>
  <c r="W18" i="20"/>
  <c r="Q20" i="20"/>
  <c r="W22" i="20"/>
  <c r="Q11" i="20"/>
  <c r="Q13" i="20"/>
  <c r="Q15" i="20"/>
  <c r="Q17" i="20"/>
  <c r="W19" i="20"/>
  <c r="Q21" i="20"/>
  <c r="W11" i="20"/>
  <c r="W13" i="20"/>
  <c r="W15" i="20"/>
  <c r="W17" i="20"/>
  <c r="Q19" i="20"/>
  <c r="W21" i="20"/>
  <c r="AF2" i="19" l="1"/>
  <c r="I12" i="18"/>
  <c r="C12" i="18" s="1"/>
  <c r="I11" i="18"/>
  <c r="C11" i="18" s="1"/>
  <c r="I10" i="18"/>
  <c r="I9" i="18"/>
  <c r="C9" i="18" s="1"/>
  <c r="I8" i="18"/>
  <c r="I7" i="18"/>
  <c r="I6" i="18"/>
  <c r="I5" i="18"/>
  <c r="I3" i="18"/>
  <c r="I4" i="18"/>
  <c r="I2" i="18"/>
  <c r="C2" i="18" s="1"/>
  <c r="D2" i="18"/>
  <c r="B120" i="6" s="1"/>
  <c r="D3" i="18"/>
  <c r="B121" i="6" s="1"/>
  <c r="D5" i="18"/>
  <c r="B123" i="6" s="1"/>
  <c r="D7" i="18"/>
  <c r="B125" i="6" s="1"/>
  <c r="D10" i="18"/>
  <c r="B128" i="6" s="1"/>
  <c r="D12" i="18"/>
  <c r="B130" i="6" s="1"/>
  <c r="D13" i="18"/>
  <c r="B131" i="6" s="1"/>
  <c r="D14" i="18"/>
  <c r="B132" i="6" s="1"/>
  <c r="D15" i="18"/>
  <c r="B133" i="6" s="1"/>
  <c r="D16" i="18"/>
  <c r="B134" i="6" s="1"/>
  <c r="D17" i="18"/>
  <c r="B135" i="6" s="1"/>
  <c r="D18" i="18"/>
  <c r="B136" i="6" s="1"/>
  <c r="D19" i="18"/>
  <c r="B137" i="6" s="1"/>
  <c r="D20" i="18"/>
  <c r="B138" i="6" s="1"/>
  <c r="D21" i="18"/>
  <c r="B139" i="6" s="1"/>
  <c r="D22" i="18"/>
  <c r="B140" i="6" s="1"/>
  <c r="D4" i="18"/>
  <c r="B122" i="6" s="1"/>
  <c r="D6" i="18"/>
  <c r="B124" i="6" s="1"/>
  <c r="D8" i="18"/>
  <c r="B126" i="6" s="1"/>
  <c r="D9" i="18"/>
  <c r="B127" i="6" s="1"/>
  <c r="D11" i="18"/>
  <c r="B129" i="6" s="1"/>
  <c r="AE38" i="13"/>
  <c r="Z38" i="13"/>
  <c r="AA38" i="13"/>
  <c r="AB38" i="13"/>
  <c r="AC38" i="13"/>
  <c r="AD38" i="13"/>
  <c r="S38" i="13"/>
  <c r="T38" i="13"/>
  <c r="U38" i="13"/>
  <c r="V38" i="13"/>
  <c r="W38" i="13"/>
  <c r="X38" i="13"/>
  <c r="Y38" i="13"/>
  <c r="R38" i="13"/>
  <c r="AW1" i="12"/>
  <c r="O36" i="13"/>
  <c r="BI16" i="14"/>
  <c r="BI17" i="14"/>
  <c r="BI18" i="14"/>
  <c r="BI19" i="14"/>
  <c r="BI20" i="14"/>
  <c r="BI21" i="14"/>
  <c r="BI22" i="14"/>
  <c r="U14" i="20"/>
  <c r="AA20" i="18"/>
  <c r="U13" i="20"/>
  <c r="AA2" i="18"/>
  <c r="U16" i="20"/>
  <c r="AA12" i="18"/>
  <c r="U15" i="20"/>
  <c r="AA4" i="18"/>
  <c r="AA3" i="18"/>
  <c r="AA6" i="18"/>
  <c r="AA17" i="18"/>
  <c r="AA19" i="18"/>
  <c r="U12" i="20"/>
  <c r="AA13" i="18"/>
  <c r="U11" i="20"/>
  <c r="AA14" i="18"/>
  <c r="U22" i="20"/>
  <c r="AA9" i="18"/>
  <c r="U21" i="20"/>
  <c r="AA8" i="18"/>
  <c r="AA21" i="18"/>
  <c r="AA16" i="18"/>
  <c r="AA11" i="18"/>
  <c r="AA7" i="18"/>
  <c r="AA22" i="18"/>
  <c r="U18" i="20"/>
  <c r="AA18" i="18"/>
  <c r="U17" i="20"/>
  <c r="AA15" i="18"/>
  <c r="U20" i="20"/>
  <c r="AA5" i="18"/>
  <c r="U19" i="20"/>
  <c r="AA10" i="18"/>
  <c r="N11" i="20" l="1"/>
  <c r="N15" i="20"/>
  <c r="N12" i="20"/>
  <c r="N13" i="20"/>
  <c r="N14" i="20"/>
  <c r="B119" i="6"/>
  <c r="AG18" i="18"/>
  <c r="AG9" i="18"/>
  <c r="AG22" i="18"/>
  <c r="AG8" i="18"/>
  <c r="AG10" i="18"/>
  <c r="AG11" i="18"/>
  <c r="AG2" i="18"/>
  <c r="AG13" i="18"/>
  <c r="AG12" i="18"/>
  <c r="AG15" i="18"/>
  <c r="AG3" i="18"/>
  <c r="AG6" i="18"/>
  <c r="AG21" i="18"/>
  <c r="AG5" i="18"/>
  <c r="AG14" i="18"/>
  <c r="AG20" i="18"/>
  <c r="AG4" i="18"/>
  <c r="AG7" i="18"/>
  <c r="AG17" i="18"/>
  <c r="AG16" i="18"/>
  <c r="AG19" i="18"/>
  <c r="C10" i="18"/>
  <c r="C8" i="18"/>
  <c r="C7" i="18"/>
  <c r="C6" i="18"/>
  <c r="C5" i="18"/>
  <c r="C4" i="18"/>
  <c r="C3" i="18"/>
  <c r="F23" i="6"/>
  <c r="AI5" i="8"/>
  <c r="AI4" i="8"/>
  <c r="AH5" i="8"/>
  <c r="AJ5" i="8"/>
  <c r="AI3" i="8"/>
  <c r="AI2" i="8"/>
  <c r="AF9" i="8"/>
  <c r="AH9" i="8" s="1"/>
  <c r="AF7" i="8"/>
  <c r="AH7" i="8" s="1"/>
  <c r="AF8" i="8"/>
  <c r="AF6" i="8"/>
  <c r="AH6" i="8" s="1"/>
  <c r="Q23" i="10"/>
  <c r="A20" i="6"/>
  <c r="A21" i="6"/>
  <c r="A19" i="6"/>
  <c r="S31" i="13"/>
  <c r="T31" i="13"/>
  <c r="U31" i="13"/>
  <c r="V31" i="13"/>
  <c r="X31" i="13"/>
  <c r="Y31" i="13"/>
  <c r="Z31" i="13"/>
  <c r="AA31" i="13"/>
  <c r="AB31" i="13"/>
  <c r="AC31" i="13"/>
  <c r="R31" i="13"/>
  <c r="F2" i="14"/>
  <c r="F3" i="14"/>
  <c r="F4" i="14"/>
  <c r="F5" i="14"/>
  <c r="F6" i="14"/>
  <c r="F7" i="14"/>
  <c r="F8" i="14"/>
  <c r="F9" i="14"/>
  <c r="D47" i="8"/>
  <c r="D44" i="8"/>
  <c r="D45" i="8"/>
  <c r="D46" i="8"/>
  <c r="D36" i="8"/>
  <c r="D37" i="8"/>
  <c r="D38" i="8"/>
  <c r="D39" i="8"/>
  <c r="D41" i="8"/>
  <c r="D42" i="8"/>
  <c r="D43" i="8"/>
  <c r="O34" i="13"/>
  <c r="D35" i="8"/>
  <c r="B34" i="8"/>
  <c r="C34" i="8"/>
  <c r="D34" i="8"/>
  <c r="B33" i="8"/>
  <c r="AH1" i="12"/>
  <c r="AK1" i="12"/>
  <c r="AN1" i="12"/>
  <c r="AQ1" i="12"/>
  <c r="AT1" i="12"/>
  <c r="AZ1" i="12"/>
  <c r="AE1" i="12"/>
  <c r="P34" i="13"/>
  <c r="P32" i="13"/>
  <c r="AS2" i="18"/>
  <c r="D120" i="6" l="1"/>
  <c r="E23" i="6"/>
  <c r="B22" i="6" s="1"/>
  <c r="L19" i="6"/>
  <c r="M19" i="6"/>
  <c r="K19" i="6"/>
  <c r="A3" i="14"/>
  <c r="A4" i="14"/>
  <c r="A5" i="14"/>
  <c r="A6" i="14"/>
  <c r="A7" i="14"/>
  <c r="A8" i="14"/>
  <c r="A9" i="14"/>
  <c r="A10" i="14"/>
  <c r="A11" i="14"/>
  <c r="A12" i="14"/>
  <c r="A13" i="14"/>
  <c r="A14" i="14"/>
  <c r="A15" i="14"/>
  <c r="A16" i="14"/>
  <c r="A17" i="14"/>
  <c r="A18" i="14"/>
  <c r="A19" i="14"/>
  <c r="A20" i="14"/>
  <c r="A21" i="14"/>
  <c r="A22" i="14"/>
  <c r="A23" i="14"/>
  <c r="N29" i="8"/>
  <c r="C30" i="8" s="1"/>
  <c r="B166" i="6" s="1"/>
  <c r="N28" i="8"/>
  <c r="C29" i="8" s="1"/>
  <c r="N27" i="8"/>
  <c r="C28" i="8" s="1"/>
  <c r="N26" i="8"/>
  <c r="C27" i="8" s="1"/>
  <c r="N25" i="8"/>
  <c r="AJ22" i="14" l="1"/>
  <c r="BD22" i="14"/>
  <c r="AJ21" i="14"/>
  <c r="BD21" i="14"/>
  <c r="AJ17" i="14"/>
  <c r="BD17" i="14"/>
  <c r="AJ18" i="14"/>
  <c r="BD18" i="14"/>
  <c r="AJ20" i="14"/>
  <c r="BD20" i="14"/>
  <c r="AJ16" i="14"/>
  <c r="BD16" i="14"/>
  <c r="AJ23" i="14"/>
  <c r="BD23" i="14"/>
  <c r="AJ19" i="14"/>
  <c r="BD19" i="14"/>
  <c r="G23" i="6"/>
  <c r="D63" i="8"/>
  <c r="N28" i="15" l="1"/>
  <c r="C65" i="8"/>
  <c r="E65" i="8" s="1"/>
  <c r="C64" i="8"/>
  <c r="C62" i="8"/>
  <c r="E64" i="8" l="1"/>
  <c r="E63" i="8" s="1"/>
  <c r="C63" i="8"/>
  <c r="B168" i="6"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O39" i="13" s="1"/>
  <c r="A38" i="15"/>
  <c r="A35" i="15"/>
  <c r="A48" i="15" s="1"/>
  <c r="A34" i="15"/>
  <c r="A47" i="15" s="1"/>
  <c r="A33" i="15"/>
  <c r="A46" i="15" s="1"/>
  <c r="A32" i="15"/>
  <c r="A45" i="15" s="1"/>
  <c r="A31" i="15"/>
  <c r="A44" i="15" s="1"/>
  <c r="A30" i="15"/>
  <c r="A43" i="15" s="1"/>
  <c r="A29" i="15"/>
  <c r="M28" i="15"/>
  <c r="A28" i="15"/>
  <c r="A41" i="15" s="1"/>
  <c r="A27" i="15"/>
  <c r="N26" i="15"/>
  <c r="M26" i="15"/>
  <c r="A26" i="15"/>
  <c r="AO16" i="14" s="1"/>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Z23" i="14"/>
  <c r="AY23" i="14"/>
  <c r="AX23" i="14"/>
  <c r="AW23" i="14"/>
  <c r="AV23" i="14"/>
  <c r="F23" i="14"/>
  <c r="B23" i="14"/>
  <c r="BF22" i="14"/>
  <c r="AZ22" i="14"/>
  <c r="AY22" i="14"/>
  <c r="AX22" i="14"/>
  <c r="AW22" i="14"/>
  <c r="AV22" i="14"/>
  <c r="F22" i="14"/>
  <c r="B22" i="14"/>
  <c r="BF21" i="14"/>
  <c r="AZ21" i="14"/>
  <c r="AY21" i="14"/>
  <c r="AX21" i="14"/>
  <c r="AW21" i="14"/>
  <c r="AV21" i="14"/>
  <c r="F21" i="14"/>
  <c r="B21" i="14"/>
  <c r="BF20" i="14"/>
  <c r="AZ20" i="14"/>
  <c r="AY20" i="14"/>
  <c r="AX20" i="14"/>
  <c r="AW20" i="14"/>
  <c r="AV20" i="14"/>
  <c r="AO20" i="14"/>
  <c r="F20" i="14"/>
  <c r="B20" i="14"/>
  <c r="BF19" i="14"/>
  <c r="AZ19" i="14"/>
  <c r="AY19" i="14"/>
  <c r="AX19" i="14"/>
  <c r="AW19" i="14"/>
  <c r="AV19" i="14"/>
  <c r="F19" i="14"/>
  <c r="B19" i="14"/>
  <c r="BF18" i="14"/>
  <c r="AZ18" i="14"/>
  <c r="AY18" i="14"/>
  <c r="AX18" i="14"/>
  <c r="AW18" i="14"/>
  <c r="AV18" i="14"/>
  <c r="F18" i="14"/>
  <c r="B18" i="14"/>
  <c r="BF17" i="14"/>
  <c r="AZ17" i="14"/>
  <c r="AY17" i="14"/>
  <c r="AX17" i="14"/>
  <c r="AW17" i="14"/>
  <c r="AV17" i="14"/>
  <c r="F17" i="14"/>
  <c r="B17" i="14"/>
  <c r="BF16" i="14"/>
  <c r="AZ16" i="14"/>
  <c r="AY16" i="14"/>
  <c r="AX16" i="14"/>
  <c r="AW16" i="14"/>
  <c r="AV16" i="14"/>
  <c r="F16" i="14"/>
  <c r="B16" i="14"/>
  <c r="F15" i="14"/>
  <c r="B15" i="14"/>
  <c r="F14" i="14"/>
  <c r="B14" i="14"/>
  <c r="F13" i="14"/>
  <c r="B13" i="14"/>
  <c r="F12" i="14"/>
  <c r="B12" i="14"/>
  <c r="F11" i="14"/>
  <c r="B11" i="14"/>
  <c r="F10" i="14"/>
  <c r="B10" i="14"/>
  <c r="B9" i="14"/>
  <c r="B8" i="14"/>
  <c r="B7" i="14"/>
  <c r="B6" i="14"/>
  <c r="B5" i="14"/>
  <c r="B4" i="14"/>
  <c r="B3" i="14"/>
  <c r="B2" i="14"/>
  <c r="AG1" i="14"/>
  <c r="AD1" i="14"/>
  <c r="AA1" i="14"/>
  <c r="X1" i="14"/>
  <c r="U1" i="14"/>
  <c r="R1" i="14"/>
  <c r="O1" i="14"/>
  <c r="P28" i="13"/>
  <c r="O28" i="13"/>
  <c r="P26" i="13"/>
  <c r="O26" i="13"/>
  <c r="P24" i="13"/>
  <c r="O24" i="13"/>
  <c r="P22" i="13"/>
  <c r="O22" i="13"/>
  <c r="P20" i="13"/>
  <c r="O20" i="13"/>
  <c r="P18" i="13"/>
  <c r="O18" i="13"/>
  <c r="P16" i="13"/>
  <c r="O16" i="13"/>
  <c r="P14" i="13"/>
  <c r="O14" i="13"/>
  <c r="P12" i="13"/>
  <c r="O12" i="13"/>
  <c r="P10" i="13"/>
  <c r="O10" i="13"/>
  <c r="O8" i="13"/>
  <c r="P6" i="13"/>
  <c r="O6" i="13"/>
  <c r="P4" i="13"/>
  <c r="O4" i="13"/>
  <c r="N4" i="13"/>
  <c r="O2" i="13"/>
  <c r="N2" i="13"/>
  <c r="D93" i="6"/>
  <c r="B22" i="12"/>
  <c r="D92" i="6"/>
  <c r="B21" i="12"/>
  <c r="D91" i="6"/>
  <c r="B20" i="12"/>
  <c r="D90" i="6"/>
  <c r="B19" i="12"/>
  <c r="D89" i="6"/>
  <c r="B18" i="12"/>
  <c r="D88" i="6"/>
  <c r="B17" i="12"/>
  <c r="D87" i="6"/>
  <c r="B16" i="12"/>
  <c r="D86" i="6"/>
  <c r="B15" i="12"/>
  <c r="D85" i="6"/>
  <c r="B14" i="12"/>
  <c r="D84" i="6"/>
  <c r="B13" i="12"/>
  <c r="D83" i="6"/>
  <c r="B12" i="12"/>
  <c r="D82" i="6"/>
  <c r="B11" i="12"/>
  <c r="D81" i="6"/>
  <c r="B10" i="12"/>
  <c r="D80" i="6"/>
  <c r="B9" i="12"/>
  <c r="D79" i="6"/>
  <c r="B8" i="12"/>
  <c r="D78" i="6"/>
  <c r="B7" i="12"/>
  <c r="D77" i="6"/>
  <c r="B6" i="12"/>
  <c r="D76" i="6"/>
  <c r="B5" i="12"/>
  <c r="D75" i="6"/>
  <c r="B4" i="12"/>
  <c r="D74" i="6"/>
  <c r="B3" i="12"/>
  <c r="B2" i="12"/>
  <c r="N92" i="11"/>
  <c r="Q92" i="11" s="1"/>
  <c r="M92" i="11"/>
  <c r="P92" i="11" s="1"/>
  <c r="N91" i="11"/>
  <c r="Q91" i="11" s="1"/>
  <c r="M91" i="11"/>
  <c r="P91" i="11" s="1"/>
  <c r="P90" i="11"/>
  <c r="N90" i="11"/>
  <c r="Q90" i="11" s="1"/>
  <c r="M90" i="11"/>
  <c r="N89" i="11"/>
  <c r="Q89" i="11" s="1"/>
  <c r="M89" i="11"/>
  <c r="P89" i="11" s="1"/>
  <c r="N88" i="11"/>
  <c r="Q88" i="11" s="1"/>
  <c r="M88" i="11"/>
  <c r="P88" i="11" s="1"/>
  <c r="P87" i="11"/>
  <c r="N87" i="11"/>
  <c r="Q87" i="11" s="1"/>
  <c r="M87" i="11"/>
  <c r="N86" i="11"/>
  <c r="Q86" i="11" s="1"/>
  <c r="M86" i="11"/>
  <c r="P86" i="11" s="1"/>
  <c r="N85" i="11"/>
  <c r="Q85" i="11" s="1"/>
  <c r="M85" i="11"/>
  <c r="P85" i="11" s="1"/>
  <c r="N84" i="11"/>
  <c r="Q84" i="11" s="1"/>
  <c r="M84" i="11"/>
  <c r="P84" i="11" s="1"/>
  <c r="N83" i="11"/>
  <c r="Q83" i="11" s="1"/>
  <c r="M83" i="11"/>
  <c r="P83" i="11" s="1"/>
  <c r="P82" i="11"/>
  <c r="N82" i="11"/>
  <c r="Q82" i="11" s="1"/>
  <c r="M82" i="11"/>
  <c r="N81" i="11"/>
  <c r="Q81" i="11" s="1"/>
  <c r="M81" i="11"/>
  <c r="P81" i="11" s="1"/>
  <c r="N80" i="11"/>
  <c r="Q80" i="11" s="1"/>
  <c r="M80" i="11"/>
  <c r="P80" i="11" s="1"/>
  <c r="P79" i="11"/>
  <c r="N79" i="11"/>
  <c r="Q79" i="11" s="1"/>
  <c r="M79" i="11"/>
  <c r="N78" i="11"/>
  <c r="Q78" i="11" s="1"/>
  <c r="M78" i="11"/>
  <c r="P78" i="11" s="1"/>
  <c r="N77" i="11"/>
  <c r="Q77" i="11" s="1"/>
  <c r="M77" i="11"/>
  <c r="P77" i="11" s="1"/>
  <c r="N76" i="11"/>
  <c r="Q76" i="11" s="1"/>
  <c r="M76" i="11"/>
  <c r="P76" i="11" s="1"/>
  <c r="N75" i="11"/>
  <c r="Q75" i="11" s="1"/>
  <c r="M75" i="11"/>
  <c r="P75" i="11" s="1"/>
  <c r="P74" i="11"/>
  <c r="N74" i="11"/>
  <c r="Q74" i="11" s="1"/>
  <c r="M74" i="11"/>
  <c r="N73" i="11"/>
  <c r="Q73" i="11" s="1"/>
  <c r="M73" i="11"/>
  <c r="P73" i="11" s="1"/>
  <c r="N72" i="11"/>
  <c r="Q72" i="11" s="1"/>
  <c r="M72" i="11"/>
  <c r="P72" i="11" s="1"/>
  <c r="P71" i="11"/>
  <c r="N71" i="11"/>
  <c r="Q71" i="11" s="1"/>
  <c r="M71" i="11"/>
  <c r="N70" i="11"/>
  <c r="Q70" i="11" s="1"/>
  <c r="M70" i="11"/>
  <c r="P70" i="11" s="1"/>
  <c r="N69" i="11"/>
  <c r="Q69" i="11" s="1"/>
  <c r="M69" i="11"/>
  <c r="P69" i="11" s="1"/>
  <c r="N68" i="11"/>
  <c r="Q68" i="11" s="1"/>
  <c r="M68" i="11"/>
  <c r="P68" i="11" s="1"/>
  <c r="N67" i="11"/>
  <c r="Q67" i="11" s="1"/>
  <c r="M67" i="11"/>
  <c r="P67" i="11" s="1"/>
  <c r="P66" i="11"/>
  <c r="N66" i="11"/>
  <c r="Q66" i="11" s="1"/>
  <c r="M66" i="11"/>
  <c r="N65" i="11"/>
  <c r="Q65" i="11" s="1"/>
  <c r="M65" i="11"/>
  <c r="P65" i="11" s="1"/>
  <c r="N64" i="11"/>
  <c r="Q64" i="11" s="1"/>
  <c r="M64" i="11"/>
  <c r="P64" i="11" s="1"/>
  <c r="P63" i="11"/>
  <c r="N63" i="11"/>
  <c r="Q63" i="11" s="1"/>
  <c r="M63" i="11"/>
  <c r="N62" i="11"/>
  <c r="Q62" i="11" s="1"/>
  <c r="M62" i="11"/>
  <c r="P62" i="11" s="1"/>
  <c r="N61" i="11"/>
  <c r="Q61" i="11" s="1"/>
  <c r="M61" i="11"/>
  <c r="P61" i="11" s="1"/>
  <c r="N60" i="11"/>
  <c r="Q60" i="11" s="1"/>
  <c r="M60" i="11"/>
  <c r="P60" i="11" s="1"/>
  <c r="N59" i="11"/>
  <c r="Q59" i="11" s="1"/>
  <c r="M59" i="11"/>
  <c r="P59" i="11" s="1"/>
  <c r="P58" i="11"/>
  <c r="N58" i="11"/>
  <c r="Q58" i="11" s="1"/>
  <c r="M58" i="11"/>
  <c r="N57" i="11"/>
  <c r="Q57" i="11" s="1"/>
  <c r="M57" i="11"/>
  <c r="P57" i="11" s="1"/>
  <c r="N56" i="11"/>
  <c r="Q56" i="11" s="1"/>
  <c r="M56" i="11"/>
  <c r="P56" i="11" s="1"/>
  <c r="P55" i="11"/>
  <c r="N55" i="11"/>
  <c r="Q55" i="11" s="1"/>
  <c r="M55" i="11"/>
  <c r="N54" i="11"/>
  <c r="Q54" i="11" s="1"/>
  <c r="M54" i="11"/>
  <c r="P54" i="11" s="1"/>
  <c r="N53" i="11"/>
  <c r="Q53" i="11" s="1"/>
  <c r="M53" i="11"/>
  <c r="P53" i="11" s="1"/>
  <c r="N52" i="11"/>
  <c r="Q52" i="11" s="1"/>
  <c r="M52" i="11"/>
  <c r="P52" i="11" s="1"/>
  <c r="N51" i="11"/>
  <c r="Q51" i="11" s="1"/>
  <c r="M51" i="11"/>
  <c r="P51" i="11" s="1"/>
  <c r="P50" i="11"/>
  <c r="N50" i="11"/>
  <c r="Q50" i="11" s="1"/>
  <c r="M50" i="11"/>
  <c r="N49" i="11"/>
  <c r="Q49" i="11" s="1"/>
  <c r="M49" i="11"/>
  <c r="P49" i="11" s="1"/>
  <c r="N48" i="11"/>
  <c r="Q48" i="11" s="1"/>
  <c r="M48" i="11"/>
  <c r="P48" i="11" s="1"/>
  <c r="P47" i="11"/>
  <c r="N47" i="11"/>
  <c r="Q47" i="11" s="1"/>
  <c r="M47" i="11"/>
  <c r="N46" i="11"/>
  <c r="Q46" i="11" s="1"/>
  <c r="M46" i="11"/>
  <c r="P46" i="11" s="1"/>
  <c r="N45" i="11"/>
  <c r="Q45" i="11" s="1"/>
  <c r="M45" i="11"/>
  <c r="P45" i="11" s="1"/>
  <c r="N44" i="11"/>
  <c r="Q44" i="11" s="1"/>
  <c r="M44" i="11"/>
  <c r="P44" i="11" s="1"/>
  <c r="N43" i="11"/>
  <c r="Q43" i="11" s="1"/>
  <c r="M43" i="11"/>
  <c r="P43" i="11" s="1"/>
  <c r="P42" i="11"/>
  <c r="N42" i="11"/>
  <c r="Q42" i="11" s="1"/>
  <c r="M42" i="11"/>
  <c r="N41" i="11"/>
  <c r="Q41" i="11" s="1"/>
  <c r="M41" i="11"/>
  <c r="P41" i="11" s="1"/>
  <c r="N40" i="11"/>
  <c r="Q40" i="11" s="1"/>
  <c r="M40" i="11"/>
  <c r="P40" i="11" s="1"/>
  <c r="N39" i="11"/>
  <c r="Q39" i="11" s="1"/>
  <c r="M39" i="11"/>
  <c r="P39" i="11" s="1"/>
  <c r="N38" i="11"/>
  <c r="Q38" i="11" s="1"/>
  <c r="M38" i="11"/>
  <c r="P38" i="11" s="1"/>
  <c r="P37" i="11"/>
  <c r="N37" i="11"/>
  <c r="Q37" i="11" s="1"/>
  <c r="M37" i="11"/>
  <c r="N36" i="11"/>
  <c r="Q36" i="11" s="1"/>
  <c r="M36" i="11"/>
  <c r="P36" i="11" s="1"/>
  <c r="N35" i="11"/>
  <c r="Q35" i="11" s="1"/>
  <c r="M35" i="11"/>
  <c r="P35" i="11" s="1"/>
  <c r="N34" i="11"/>
  <c r="Q34" i="11" s="1"/>
  <c r="M34" i="11"/>
  <c r="P34" i="11" s="1"/>
  <c r="N33" i="11"/>
  <c r="Q33" i="11" s="1"/>
  <c r="M33" i="11"/>
  <c r="P33" i="11" s="1"/>
  <c r="N32" i="11"/>
  <c r="Q32" i="11" s="1"/>
  <c r="M32" i="11"/>
  <c r="P32" i="11" s="1"/>
  <c r="N31" i="11"/>
  <c r="Q31" i="11" s="1"/>
  <c r="M31" i="11"/>
  <c r="P31" i="11" s="1"/>
  <c r="N30" i="11"/>
  <c r="Q30" i="11" s="1"/>
  <c r="M30" i="11"/>
  <c r="P30" i="11" s="1"/>
  <c r="N29" i="11"/>
  <c r="Q29" i="11" s="1"/>
  <c r="M29" i="11"/>
  <c r="P29" i="11" s="1"/>
  <c r="N28" i="11"/>
  <c r="Q28" i="11" s="1"/>
  <c r="M28" i="11"/>
  <c r="P28" i="11" s="1"/>
  <c r="N27" i="11"/>
  <c r="Q27" i="11" s="1"/>
  <c r="M27" i="11"/>
  <c r="P27" i="11" s="1"/>
  <c r="N26" i="11"/>
  <c r="Q26" i="11" s="1"/>
  <c r="M26" i="11"/>
  <c r="P26" i="11" s="1"/>
  <c r="N25" i="11"/>
  <c r="Q25" i="11" s="1"/>
  <c r="M25" i="11"/>
  <c r="P25" i="11" s="1"/>
  <c r="N24" i="11"/>
  <c r="Q24" i="11" s="1"/>
  <c r="M24" i="11"/>
  <c r="P24" i="11" s="1"/>
  <c r="N23" i="11"/>
  <c r="Q23" i="11" s="1"/>
  <c r="M23" i="11"/>
  <c r="P23" i="11" s="1"/>
  <c r="L19" i="11"/>
  <c r="L20" i="11" s="1"/>
  <c r="L21" i="11" s="1"/>
  <c r="L22" i="11" s="1"/>
  <c r="H19" i="11"/>
  <c r="H20" i="11" s="1"/>
  <c r="H21" i="11" s="1"/>
  <c r="H22" i="11" s="1"/>
  <c r="K18" i="11"/>
  <c r="K20" i="11" s="1"/>
  <c r="K22" i="11" s="1"/>
  <c r="J18" i="11"/>
  <c r="I18" i="11"/>
  <c r="I19" i="11" s="1"/>
  <c r="K17" i="11"/>
  <c r="J17" i="11"/>
  <c r="I17" i="11"/>
  <c r="I16" i="11"/>
  <c r="M16" i="11" s="1"/>
  <c r="P16" i="11" s="1"/>
  <c r="I15" i="11"/>
  <c r="N15" i="11" s="1"/>
  <c r="Q15" i="11" s="1"/>
  <c r="K14" i="11"/>
  <c r="I14" i="11"/>
  <c r="K13" i="11"/>
  <c r="I13" i="11"/>
  <c r="Q11" i="11"/>
  <c r="J11" i="11"/>
  <c r="P11" i="11" s="1"/>
  <c r="Q10" i="11"/>
  <c r="P10" i="11"/>
  <c r="J10" i="11"/>
  <c r="Q9" i="11"/>
  <c r="J9" i="11"/>
  <c r="P9" i="11" s="1"/>
  <c r="Q8" i="11"/>
  <c r="J8" i="11"/>
  <c r="P8" i="11" s="1"/>
  <c r="Q7" i="11"/>
  <c r="J7" i="11"/>
  <c r="P7" i="11" s="1"/>
  <c r="Q6" i="11"/>
  <c r="J6" i="11"/>
  <c r="P6" i="11" s="1"/>
  <c r="Q5" i="11"/>
  <c r="J5" i="11"/>
  <c r="P5" i="11" s="1"/>
  <c r="Q4" i="11"/>
  <c r="J4" i="11"/>
  <c r="P4" i="11" s="1"/>
  <c r="Q3" i="11"/>
  <c r="J3" i="11"/>
  <c r="P3" i="11" s="1"/>
  <c r="Q2" i="11"/>
  <c r="J2" i="11"/>
  <c r="P2" i="11" s="1"/>
  <c r="Q1" i="11"/>
  <c r="P1" i="11"/>
  <c r="H1" i="11"/>
  <c r="Y22" i="10"/>
  <c r="X22" i="10"/>
  <c r="Z22" i="10" s="1"/>
  <c r="D70" i="6" s="1"/>
  <c r="W22" i="10"/>
  <c r="V22" i="10"/>
  <c r="U22" i="10"/>
  <c r="T22" i="10"/>
  <c r="S22" i="10"/>
  <c r="I22" i="10"/>
  <c r="P22" i="10" s="1"/>
  <c r="B22" i="10"/>
  <c r="Y21" i="10"/>
  <c r="X21" i="10"/>
  <c r="Z21" i="10" s="1"/>
  <c r="D69" i="6" s="1"/>
  <c r="W21" i="10"/>
  <c r="V21" i="10"/>
  <c r="U21" i="10"/>
  <c r="T21" i="10"/>
  <c r="S21" i="10"/>
  <c r="I21" i="10"/>
  <c r="P21" i="10" s="1"/>
  <c r="B21" i="10"/>
  <c r="Y20" i="10"/>
  <c r="X20" i="10"/>
  <c r="Z20" i="10" s="1"/>
  <c r="D68" i="6" s="1"/>
  <c r="W20" i="10"/>
  <c r="V20" i="10"/>
  <c r="U20" i="10"/>
  <c r="T20" i="10"/>
  <c r="S20" i="10"/>
  <c r="I20" i="10"/>
  <c r="P20" i="10" s="1"/>
  <c r="B20" i="10"/>
  <c r="Y19" i="10"/>
  <c r="X19" i="10"/>
  <c r="Z19" i="10" s="1"/>
  <c r="D67" i="6" s="1"/>
  <c r="W19" i="10"/>
  <c r="V19" i="10"/>
  <c r="U19" i="10"/>
  <c r="T19" i="10"/>
  <c r="S19" i="10"/>
  <c r="I19" i="10"/>
  <c r="P19" i="10" s="1"/>
  <c r="B19" i="10"/>
  <c r="Y18" i="10"/>
  <c r="X18" i="10"/>
  <c r="Z18" i="10" s="1"/>
  <c r="D66" i="6" s="1"/>
  <c r="W18" i="10"/>
  <c r="V18" i="10"/>
  <c r="U18" i="10"/>
  <c r="T18" i="10"/>
  <c r="S18" i="10"/>
  <c r="I18" i="10"/>
  <c r="P18" i="10" s="1"/>
  <c r="B18" i="10"/>
  <c r="Y17" i="10"/>
  <c r="X17" i="10"/>
  <c r="Z17" i="10" s="1"/>
  <c r="D65" i="6" s="1"/>
  <c r="W17" i="10"/>
  <c r="V17" i="10"/>
  <c r="U17" i="10"/>
  <c r="T17" i="10"/>
  <c r="S17" i="10"/>
  <c r="I17" i="10"/>
  <c r="P17" i="10" s="1"/>
  <c r="B17" i="10"/>
  <c r="Y16" i="10"/>
  <c r="X16" i="10"/>
  <c r="Z16" i="10" s="1"/>
  <c r="D64" i="6" s="1"/>
  <c r="W16" i="10"/>
  <c r="V16" i="10"/>
  <c r="U16" i="10"/>
  <c r="T16" i="10"/>
  <c r="S16" i="10"/>
  <c r="I16" i="10"/>
  <c r="P16" i="10" s="1"/>
  <c r="B16" i="10"/>
  <c r="Y15" i="10"/>
  <c r="X15" i="10"/>
  <c r="Z15" i="10" s="1"/>
  <c r="D63" i="6" s="1"/>
  <c r="W15" i="10"/>
  <c r="V15" i="10"/>
  <c r="U15" i="10"/>
  <c r="T15" i="10"/>
  <c r="S15" i="10"/>
  <c r="I15" i="10"/>
  <c r="P15" i="10" s="1"/>
  <c r="B15" i="10"/>
  <c r="Y14" i="10"/>
  <c r="X14" i="10"/>
  <c r="Z14" i="10" s="1"/>
  <c r="D62" i="6" s="1"/>
  <c r="W14" i="10"/>
  <c r="V14" i="10"/>
  <c r="U14" i="10"/>
  <c r="T14" i="10"/>
  <c r="S14" i="10"/>
  <c r="I14" i="10"/>
  <c r="P14" i="10" s="1"/>
  <c r="B14" i="10"/>
  <c r="Y13" i="10"/>
  <c r="X13" i="10"/>
  <c r="Z13" i="10" s="1"/>
  <c r="D61" i="6" s="1"/>
  <c r="W13" i="10"/>
  <c r="V13" i="10"/>
  <c r="U13" i="10"/>
  <c r="T13" i="10"/>
  <c r="S13" i="10"/>
  <c r="I13" i="10"/>
  <c r="P13" i="10" s="1"/>
  <c r="B13" i="10"/>
  <c r="Y12" i="10"/>
  <c r="X12" i="10"/>
  <c r="Z12" i="10" s="1"/>
  <c r="D60" i="6" s="1"/>
  <c r="W12" i="10"/>
  <c r="V12" i="10"/>
  <c r="U12" i="10"/>
  <c r="T12" i="10"/>
  <c r="S12" i="10"/>
  <c r="I12" i="10"/>
  <c r="P12" i="10" s="1"/>
  <c r="B12" i="10"/>
  <c r="Y11" i="10"/>
  <c r="X11" i="10"/>
  <c r="Z11" i="10" s="1"/>
  <c r="D59" i="6" s="1"/>
  <c r="W11" i="10"/>
  <c r="V11" i="10"/>
  <c r="U11" i="10"/>
  <c r="T11" i="10"/>
  <c r="S11" i="10"/>
  <c r="I11" i="10"/>
  <c r="P11" i="10" s="1"/>
  <c r="B11" i="10"/>
  <c r="Y10" i="10"/>
  <c r="X10" i="10"/>
  <c r="Z10" i="10" s="1"/>
  <c r="D58" i="6" s="1"/>
  <c r="W10" i="10"/>
  <c r="V10" i="10"/>
  <c r="U10" i="10"/>
  <c r="T10" i="10"/>
  <c r="S10" i="10"/>
  <c r="I10" i="10"/>
  <c r="P10" i="10" s="1"/>
  <c r="B10" i="10"/>
  <c r="Y9" i="10"/>
  <c r="X9" i="10"/>
  <c r="Z9" i="10" s="1"/>
  <c r="D57" i="6" s="1"/>
  <c r="W9" i="10"/>
  <c r="V9" i="10"/>
  <c r="U9" i="10"/>
  <c r="T9" i="10"/>
  <c r="S9" i="10"/>
  <c r="I9" i="10"/>
  <c r="P9" i="10" s="1"/>
  <c r="B9" i="10"/>
  <c r="Y8" i="10"/>
  <c r="X8" i="10"/>
  <c r="Z8" i="10" s="1"/>
  <c r="D56" i="6" s="1"/>
  <c r="W8" i="10"/>
  <c r="V8" i="10"/>
  <c r="U8" i="10"/>
  <c r="T8" i="10"/>
  <c r="S8" i="10"/>
  <c r="I8" i="10"/>
  <c r="P8" i="10" s="1"/>
  <c r="B8" i="10"/>
  <c r="Y7" i="10"/>
  <c r="X7" i="10"/>
  <c r="Z7" i="10" s="1"/>
  <c r="D55" i="6" s="1"/>
  <c r="W7" i="10"/>
  <c r="V7" i="10"/>
  <c r="U7" i="10"/>
  <c r="T7" i="10"/>
  <c r="S7" i="10"/>
  <c r="I7" i="10"/>
  <c r="P7" i="10" s="1"/>
  <c r="B7" i="10"/>
  <c r="Y6" i="10"/>
  <c r="X6" i="10"/>
  <c r="Z6" i="10" s="1"/>
  <c r="D54" i="6" s="1"/>
  <c r="W6" i="10"/>
  <c r="V6" i="10"/>
  <c r="U6" i="10"/>
  <c r="T6" i="10"/>
  <c r="S6" i="10"/>
  <c r="I6" i="10"/>
  <c r="A6" i="10" s="1"/>
  <c r="Q6" i="10" s="1"/>
  <c r="B6" i="10"/>
  <c r="Y5" i="10"/>
  <c r="X5" i="10"/>
  <c r="Z5" i="10" s="1"/>
  <c r="D53" i="6" s="1"/>
  <c r="W5" i="10"/>
  <c r="V5" i="10"/>
  <c r="U5" i="10"/>
  <c r="T5" i="10"/>
  <c r="S5" i="10"/>
  <c r="I5" i="10"/>
  <c r="A5" i="10" s="1"/>
  <c r="Q5" i="10" s="1"/>
  <c r="B5" i="10"/>
  <c r="Y4" i="10"/>
  <c r="X4" i="10"/>
  <c r="Z4" i="10" s="1"/>
  <c r="D52" i="6" s="1"/>
  <c r="W4" i="10"/>
  <c r="V4" i="10"/>
  <c r="U4" i="10"/>
  <c r="T4" i="10"/>
  <c r="S4" i="10"/>
  <c r="I4" i="10"/>
  <c r="P4" i="10" s="1"/>
  <c r="B4" i="10"/>
  <c r="Y3" i="10"/>
  <c r="X3" i="10"/>
  <c r="Z3" i="10" s="1"/>
  <c r="D51" i="6" s="1"/>
  <c r="W3" i="10"/>
  <c r="V3" i="10"/>
  <c r="U3" i="10"/>
  <c r="T3" i="10"/>
  <c r="S3" i="10"/>
  <c r="I3" i="10"/>
  <c r="P3" i="10" s="1"/>
  <c r="B3" i="10"/>
  <c r="Y2" i="10"/>
  <c r="X2" i="10"/>
  <c r="Z2" i="10" s="1"/>
  <c r="D50" i="6" s="1"/>
  <c r="W2" i="10"/>
  <c r="V2" i="10"/>
  <c r="U2" i="10"/>
  <c r="T2" i="10"/>
  <c r="AD2" i="10" s="1"/>
  <c r="S2" i="10"/>
  <c r="I2" i="10"/>
  <c r="B2" i="10"/>
  <c r="Y1" i="10"/>
  <c r="X1" i="10"/>
  <c r="V1" i="10"/>
  <c r="U1" i="10"/>
  <c r="T1" i="10"/>
  <c r="BO21" i="14"/>
  <c r="BO16" i="14"/>
  <c r="BO23" i="14"/>
  <c r="BO18" i="14"/>
  <c r="BO22" i="14"/>
  <c r="BO20" i="14"/>
  <c r="BO19" i="14"/>
  <c r="BO17" i="14"/>
  <c r="N14" i="11" l="1"/>
  <c r="Q14" i="11" s="1"/>
  <c r="N13" i="11"/>
  <c r="Q13" i="11" s="1"/>
  <c r="A21" i="10"/>
  <c r="Q21" i="10" s="1"/>
  <c r="AY5" i="12"/>
  <c r="AA5" i="12"/>
  <c r="AY6" i="12"/>
  <c r="AA6" i="12"/>
  <c r="U6" i="12"/>
  <c r="AX5" i="12"/>
  <c r="Z5" i="12"/>
  <c r="AX6" i="12"/>
  <c r="Z6" i="12"/>
  <c r="T6" i="12"/>
  <c r="Q6" i="12"/>
  <c r="R6" i="12"/>
  <c r="AX19" i="12"/>
  <c r="AX15" i="12"/>
  <c r="AX11" i="12"/>
  <c r="AX7" i="12"/>
  <c r="Z22" i="12"/>
  <c r="Z18" i="12"/>
  <c r="Z14" i="12"/>
  <c r="Z10" i="12"/>
  <c r="Z3" i="12"/>
  <c r="Q7" i="12"/>
  <c r="Q11" i="12"/>
  <c r="Q15" i="12"/>
  <c r="Q19" i="12"/>
  <c r="AX17" i="12"/>
  <c r="AX9" i="12"/>
  <c r="Z20" i="12"/>
  <c r="Z12" i="12"/>
  <c r="Q9" i="12"/>
  <c r="Q17" i="12"/>
  <c r="AX16" i="12"/>
  <c r="AX8" i="12"/>
  <c r="Z19" i="12"/>
  <c r="Z7" i="12"/>
  <c r="Q14" i="12"/>
  <c r="Q22" i="12"/>
  <c r="AX22" i="12"/>
  <c r="AX18" i="12"/>
  <c r="AX14" i="12"/>
  <c r="AX10" i="12"/>
  <c r="AX4" i="12"/>
  <c r="Z21" i="12"/>
  <c r="Z17" i="12"/>
  <c r="Z13" i="12"/>
  <c r="Z9" i="12"/>
  <c r="Q8" i="12"/>
  <c r="Q12" i="12"/>
  <c r="Q16" i="12"/>
  <c r="Q20" i="12"/>
  <c r="AX21" i="12"/>
  <c r="AX13" i="12"/>
  <c r="AX3" i="12"/>
  <c r="Z16" i="12"/>
  <c r="Z8" i="12"/>
  <c r="Q13" i="12"/>
  <c r="Q21" i="12"/>
  <c r="I21" i="12" s="1"/>
  <c r="AX20" i="12"/>
  <c r="AX12" i="12"/>
  <c r="AX2" i="12"/>
  <c r="Z15" i="12"/>
  <c r="Z11" i="12"/>
  <c r="Q10" i="12"/>
  <c r="I10" i="12" s="1"/>
  <c r="Q18" i="12"/>
  <c r="I18" i="12" s="1"/>
  <c r="AY7" i="12"/>
  <c r="AY11" i="12"/>
  <c r="AY15" i="12"/>
  <c r="AY19" i="12"/>
  <c r="AY2" i="12"/>
  <c r="AA9" i="12"/>
  <c r="AA13" i="12"/>
  <c r="AA17" i="12"/>
  <c r="AA21" i="12"/>
  <c r="R9" i="12"/>
  <c r="R13" i="12"/>
  <c r="R17" i="12"/>
  <c r="R21" i="12"/>
  <c r="AY9" i="12"/>
  <c r="AY21" i="12"/>
  <c r="AA11" i="12"/>
  <c r="AA19" i="12"/>
  <c r="R11" i="12"/>
  <c r="R19" i="12"/>
  <c r="AY4" i="12"/>
  <c r="AY18" i="12"/>
  <c r="AA8" i="12"/>
  <c r="AA16" i="12"/>
  <c r="R8" i="12"/>
  <c r="R16" i="12"/>
  <c r="AY8" i="12"/>
  <c r="AY12" i="12"/>
  <c r="AY16" i="12"/>
  <c r="AY20" i="12"/>
  <c r="AA3" i="12"/>
  <c r="AA10" i="12"/>
  <c r="AA14" i="12"/>
  <c r="AA18" i="12"/>
  <c r="AA22" i="12"/>
  <c r="R10" i="12"/>
  <c r="R14" i="12"/>
  <c r="R18" i="12"/>
  <c r="R22" i="12"/>
  <c r="AY3" i="12"/>
  <c r="AY13" i="12"/>
  <c r="AY17" i="12"/>
  <c r="AA7" i="12"/>
  <c r="AA15" i="12"/>
  <c r="R7" i="12"/>
  <c r="R15" i="12"/>
  <c r="AY10" i="12"/>
  <c r="AY14" i="12"/>
  <c r="AY22" i="12"/>
  <c r="AA12" i="12"/>
  <c r="AA20" i="12"/>
  <c r="R12" i="12"/>
  <c r="R20" i="12"/>
  <c r="X5" i="12"/>
  <c r="X3" i="12"/>
  <c r="X2" i="12"/>
  <c r="BA5" i="12"/>
  <c r="BB4" i="12"/>
  <c r="BA3" i="12"/>
  <c r="BA2" i="12"/>
  <c r="BB6" i="12"/>
  <c r="BA4" i="12"/>
  <c r="BB2" i="12"/>
  <c r="BA6" i="12"/>
  <c r="BB3" i="12"/>
  <c r="BB5" i="12"/>
  <c r="R5" i="12"/>
  <c r="T6" i="14"/>
  <c r="T10" i="14"/>
  <c r="T14" i="14"/>
  <c r="T18" i="14"/>
  <c r="T22" i="14"/>
  <c r="S6" i="14"/>
  <c r="S10" i="14"/>
  <c r="S14" i="14"/>
  <c r="S18" i="14"/>
  <c r="S22" i="14"/>
  <c r="T7" i="14"/>
  <c r="T11" i="14"/>
  <c r="T15" i="14"/>
  <c r="T19" i="14"/>
  <c r="T23" i="14"/>
  <c r="S7" i="14"/>
  <c r="S11" i="14"/>
  <c r="S15" i="14"/>
  <c r="S19" i="14"/>
  <c r="S23" i="14"/>
  <c r="S8" i="14"/>
  <c r="S16" i="14"/>
  <c r="T4" i="14"/>
  <c r="T13" i="14"/>
  <c r="T21" i="14"/>
  <c r="S13" i="14"/>
  <c r="S21" i="14"/>
  <c r="T3" i="14"/>
  <c r="T8" i="14"/>
  <c r="T12" i="14"/>
  <c r="T16" i="14"/>
  <c r="T20" i="14"/>
  <c r="S3" i="14"/>
  <c r="S12" i="14"/>
  <c r="S20" i="14"/>
  <c r="T9" i="14"/>
  <c r="T17" i="14"/>
  <c r="S4" i="14"/>
  <c r="S9" i="14"/>
  <c r="S17" i="14"/>
  <c r="S5" i="14"/>
  <c r="M17" i="11"/>
  <c r="P17" i="11" s="1"/>
  <c r="N18" i="11"/>
  <c r="Q18" i="11" s="1"/>
  <c r="T5" i="14"/>
  <c r="D62" i="8"/>
  <c r="E62" i="8" s="1"/>
  <c r="N16" i="11"/>
  <c r="Q16" i="11" s="1"/>
  <c r="M18" i="11"/>
  <c r="P18" i="11" s="1"/>
  <c r="AL2" i="12"/>
  <c r="S2" i="14"/>
  <c r="V2" i="14"/>
  <c r="A10" i="10"/>
  <c r="Q10" i="10" s="1"/>
  <c r="A22" i="10"/>
  <c r="Q22" i="10" s="1"/>
  <c r="M13" i="11"/>
  <c r="P13" i="11" s="1"/>
  <c r="N17" i="11"/>
  <c r="Q17" i="11" s="1"/>
  <c r="Q5" i="12"/>
  <c r="W5" i="12"/>
  <c r="AM2" i="12"/>
  <c r="T2" i="14"/>
  <c r="W2" i="14"/>
  <c r="T3" i="12"/>
  <c r="T5" i="12"/>
  <c r="U3" i="12"/>
  <c r="U5" i="12"/>
  <c r="R3" i="12"/>
  <c r="R2" i="12"/>
  <c r="R4" i="12"/>
  <c r="P11" i="14"/>
  <c r="P15" i="14"/>
  <c r="P19" i="14"/>
  <c r="P23" i="14"/>
  <c r="P8" i="14"/>
  <c r="P12" i="14"/>
  <c r="P16" i="14"/>
  <c r="P20" i="14"/>
  <c r="P9" i="14"/>
  <c r="P13" i="14"/>
  <c r="P17" i="14"/>
  <c r="P21" i="14"/>
  <c r="P10" i="14"/>
  <c r="P14" i="14"/>
  <c r="P18" i="14"/>
  <c r="P22" i="14"/>
  <c r="AA2" i="12"/>
  <c r="AA4" i="12"/>
  <c r="P3" i="14"/>
  <c r="P7" i="14"/>
  <c r="P4" i="14"/>
  <c r="P2" i="14"/>
  <c r="P5" i="14"/>
  <c r="P6" i="14"/>
  <c r="Q9" i="14"/>
  <c r="Q13" i="14"/>
  <c r="Q17" i="14"/>
  <c r="Q21" i="14"/>
  <c r="Q10" i="14"/>
  <c r="Q14" i="14"/>
  <c r="Q18" i="14"/>
  <c r="Q22" i="14"/>
  <c r="Q19" i="14"/>
  <c r="Q11" i="14"/>
  <c r="Q15" i="14"/>
  <c r="Q23" i="14"/>
  <c r="Q8" i="14"/>
  <c r="Q12" i="14"/>
  <c r="Q16" i="14"/>
  <c r="Q20" i="14"/>
  <c r="Z2" i="12"/>
  <c r="Z4" i="12"/>
  <c r="Q5" i="14"/>
  <c r="Q6" i="14"/>
  <c r="Q3" i="14"/>
  <c r="Q7" i="14"/>
  <c r="Q4" i="14"/>
  <c r="Q2" i="14"/>
  <c r="Q3" i="12"/>
  <c r="Q2" i="12"/>
  <c r="Q4" i="12"/>
  <c r="W3" i="12"/>
  <c r="W2" i="12"/>
  <c r="A2" i="14"/>
  <c r="AS18" i="14"/>
  <c r="AO17" i="14"/>
  <c r="AS17" i="14"/>
  <c r="AO22" i="14"/>
  <c r="R4" i="10"/>
  <c r="G8" i="10"/>
  <c r="C8" i="10" s="1"/>
  <c r="A9" i="10"/>
  <c r="Q9" i="10" s="1"/>
  <c r="G12" i="10"/>
  <c r="C12" i="10" s="1"/>
  <c r="A13" i="10"/>
  <c r="Q13" i="10" s="1"/>
  <c r="G16" i="10"/>
  <c r="C16" i="10" s="1"/>
  <c r="A17" i="10"/>
  <c r="Q17" i="10" s="1"/>
  <c r="G20" i="10"/>
  <c r="C20" i="10" s="1"/>
  <c r="G22" i="10"/>
  <c r="C22" i="10" s="1"/>
  <c r="A7" i="10"/>
  <c r="Q7" i="10" s="1"/>
  <c r="G10" i="10"/>
  <c r="C10" i="10" s="1"/>
  <c r="A11" i="10"/>
  <c r="Q11" i="10" s="1"/>
  <c r="G14" i="10"/>
  <c r="C14" i="10" s="1"/>
  <c r="A15" i="10"/>
  <c r="Q15" i="10" s="1"/>
  <c r="G18" i="10"/>
  <c r="C18" i="10" s="1"/>
  <c r="A19" i="10"/>
  <c r="Q19" i="10" s="1"/>
  <c r="H5" i="10"/>
  <c r="D5" i="10" s="1"/>
  <c r="B53" i="6" s="1"/>
  <c r="R7" i="10"/>
  <c r="H8" i="10"/>
  <c r="D8" i="10" s="1"/>
  <c r="B56" i="6" s="1"/>
  <c r="R9" i="10"/>
  <c r="H10" i="10"/>
  <c r="D10" i="10" s="1"/>
  <c r="B58" i="6" s="1"/>
  <c r="R11" i="10"/>
  <c r="H12" i="10"/>
  <c r="D12" i="10" s="1"/>
  <c r="B60" i="6" s="1"/>
  <c r="R13" i="10"/>
  <c r="H14" i="10"/>
  <c r="D14" i="10" s="1"/>
  <c r="B62" i="6" s="1"/>
  <c r="R15" i="10"/>
  <c r="H16" i="10"/>
  <c r="D16" i="10" s="1"/>
  <c r="B64" i="6" s="1"/>
  <c r="R17" i="10"/>
  <c r="H18" i="10"/>
  <c r="D18" i="10" s="1"/>
  <c r="B66" i="6" s="1"/>
  <c r="R19" i="10"/>
  <c r="H20" i="10"/>
  <c r="D20" i="10" s="1"/>
  <c r="B68" i="6" s="1"/>
  <c r="R21" i="10"/>
  <c r="H22" i="10"/>
  <c r="D22" i="10" s="1"/>
  <c r="B70" i="6" s="1"/>
  <c r="M14" i="11"/>
  <c r="P14" i="11" s="1"/>
  <c r="K19" i="11"/>
  <c r="K21" i="11" s="1"/>
  <c r="G7" i="10"/>
  <c r="C7" i="10" s="1"/>
  <c r="A8" i="10"/>
  <c r="Q8" i="10" s="1"/>
  <c r="G13" i="10"/>
  <c r="C13" i="10" s="1"/>
  <c r="A14" i="10"/>
  <c r="Q14" i="10" s="1"/>
  <c r="G17" i="10"/>
  <c r="C17" i="10" s="1"/>
  <c r="A18" i="10"/>
  <c r="Q18" i="10" s="1"/>
  <c r="G21" i="10"/>
  <c r="C21" i="10" s="1"/>
  <c r="M15" i="11"/>
  <c r="P15" i="11" s="1"/>
  <c r="I20" i="11"/>
  <c r="G9" i="10"/>
  <c r="C9" i="10" s="1"/>
  <c r="G11" i="10"/>
  <c r="C11" i="10" s="1"/>
  <c r="A12" i="10"/>
  <c r="Q12" i="10" s="1"/>
  <c r="G15" i="10"/>
  <c r="C15" i="10" s="1"/>
  <c r="A16" i="10"/>
  <c r="Q16" i="10" s="1"/>
  <c r="G19" i="10"/>
  <c r="C19" i="10" s="1"/>
  <c r="A20" i="10"/>
  <c r="Q20" i="10" s="1"/>
  <c r="H2" i="10"/>
  <c r="D2" i="10" s="1"/>
  <c r="B50" i="6" s="1"/>
  <c r="H4" i="10"/>
  <c r="D4" i="10" s="1"/>
  <c r="B52" i="6" s="1"/>
  <c r="H7" i="10"/>
  <c r="D7" i="10" s="1"/>
  <c r="B55" i="6" s="1"/>
  <c r="R8" i="10"/>
  <c r="H9" i="10"/>
  <c r="D9" i="10" s="1"/>
  <c r="B57" i="6" s="1"/>
  <c r="R10" i="10"/>
  <c r="H11" i="10"/>
  <c r="D11" i="10" s="1"/>
  <c r="B59" i="6" s="1"/>
  <c r="R12" i="10"/>
  <c r="H13" i="10"/>
  <c r="D13" i="10" s="1"/>
  <c r="B61" i="6" s="1"/>
  <c r="R14" i="10"/>
  <c r="H15" i="10"/>
  <c r="D15" i="10" s="1"/>
  <c r="B63" i="6" s="1"/>
  <c r="R16" i="10"/>
  <c r="H17" i="10"/>
  <c r="D17" i="10" s="1"/>
  <c r="B65" i="6" s="1"/>
  <c r="R18" i="10"/>
  <c r="H19" i="10"/>
  <c r="D19" i="10" s="1"/>
  <c r="B67" i="6" s="1"/>
  <c r="R20" i="10"/>
  <c r="H21" i="10"/>
  <c r="D21" i="10" s="1"/>
  <c r="B69" i="6" s="1"/>
  <c r="R22" i="10"/>
  <c r="N19" i="11"/>
  <c r="Q19" i="11" s="1"/>
  <c r="AO18" i="14"/>
  <c r="A42" i="15"/>
  <c r="AO23" i="14"/>
  <c r="AO21" i="14"/>
  <c r="AO19" i="14"/>
  <c r="AS16" i="14"/>
  <c r="O14" i="19"/>
  <c r="O10" i="19"/>
  <c r="O6" i="19"/>
  <c r="O8" i="19"/>
  <c r="O4" i="19"/>
  <c r="W31" i="13"/>
  <c r="D40" i="8"/>
  <c r="O32" i="13"/>
  <c r="H3" i="10"/>
  <c r="D3" i="10" s="1"/>
  <c r="B51" i="6" s="1"/>
  <c r="R3" i="10"/>
  <c r="A3" i="10"/>
  <c r="Q3" i="10" s="1"/>
  <c r="G3" i="10"/>
  <c r="C3" i="10" s="1"/>
  <c r="R5" i="10"/>
  <c r="P5" i="10"/>
  <c r="H6" i="10"/>
  <c r="D6" i="10" s="1"/>
  <c r="B54" i="6" s="1"/>
  <c r="P6" i="10"/>
  <c r="D73" i="6"/>
  <c r="AB2" i="10"/>
  <c r="E58" i="8"/>
  <c r="E59" i="8"/>
  <c r="AA2" i="10"/>
  <c r="G4" i="10"/>
  <c r="C4" i="10" s="1"/>
  <c r="G6" i="10"/>
  <c r="C6" i="10" s="1"/>
  <c r="R6" i="10"/>
  <c r="A4" i="10"/>
  <c r="Q4" i="10" s="1"/>
  <c r="G5" i="10"/>
  <c r="C5" i="10" s="1"/>
  <c r="E55" i="8"/>
  <c r="E54" i="8"/>
  <c r="E56" i="8"/>
  <c r="E57" i="8"/>
  <c r="E53" i="8"/>
  <c r="R2" i="10"/>
  <c r="G2" i="10"/>
  <c r="C2" i="10" s="1"/>
  <c r="A2" i="10"/>
  <c r="P2" i="10"/>
  <c r="AD3" i="10"/>
  <c r="AB3" i="10" s="1"/>
  <c r="BH17" i="14"/>
  <c r="BH18" i="14"/>
  <c r="BH19" i="14"/>
  <c r="BH20" i="14"/>
  <c r="BH21" i="14"/>
  <c r="BH22" i="14"/>
  <c r="BH16" i="14"/>
  <c r="A39" i="15"/>
  <c r="AR23" i="14"/>
  <c r="AN23" i="14"/>
  <c r="AU23" i="14" s="1"/>
  <c r="BN23" i="14" s="1"/>
  <c r="AR22" i="14"/>
  <c r="AN22" i="14"/>
  <c r="AU22" i="14" s="1"/>
  <c r="AR21" i="14"/>
  <c r="AN21" i="14"/>
  <c r="AU21" i="14" s="1"/>
  <c r="AR20" i="14"/>
  <c r="AN20" i="14"/>
  <c r="AU20" i="14" s="1"/>
  <c r="AR19" i="14"/>
  <c r="AN19" i="14"/>
  <c r="AU19" i="14" s="1"/>
  <c r="AR18" i="14"/>
  <c r="AN18" i="14"/>
  <c r="AU18" i="14" s="1"/>
  <c r="AR17" i="14"/>
  <c r="AN17" i="14"/>
  <c r="AU17" i="14" s="1"/>
  <c r="AR16" i="14"/>
  <c r="AN16" i="14"/>
  <c r="AU16" i="14" s="1"/>
  <c r="AP23" i="14"/>
  <c r="AP22" i="14"/>
  <c r="AP21" i="14"/>
  <c r="AP20" i="14"/>
  <c r="AP19" i="14"/>
  <c r="AP18" i="14"/>
  <c r="AP17" i="14"/>
  <c r="AP16" i="14"/>
  <c r="D96" i="6"/>
  <c r="D97" i="6"/>
  <c r="D98" i="6"/>
  <c r="D99" i="6"/>
  <c r="AQ16" i="14"/>
  <c r="AQ17" i="14"/>
  <c r="AQ18" i="14"/>
  <c r="AQ19" i="14"/>
  <c r="AQ20" i="14"/>
  <c r="AQ21" i="14"/>
  <c r="AQ22" i="14"/>
  <c r="AQ23" i="14"/>
  <c r="AS19" i="14"/>
  <c r="AS20" i="14"/>
  <c r="AS21" i="14"/>
  <c r="AS22" i="14"/>
  <c r="AS23" i="14"/>
  <c r="N31" i="8"/>
  <c r="C31" i="8" s="1"/>
  <c r="I22" i="12" l="1"/>
  <c r="I13" i="12"/>
  <c r="I5" i="12"/>
  <c r="I8" i="12"/>
  <c r="I17" i="12"/>
  <c r="I11" i="12"/>
  <c r="I6" i="12"/>
  <c r="I20" i="12"/>
  <c r="I9" i="12"/>
  <c r="I7" i="12"/>
  <c r="I16" i="12"/>
  <c r="I19" i="12"/>
  <c r="K5" i="14"/>
  <c r="L5" i="14" s="1"/>
  <c r="I5" i="14" s="1"/>
  <c r="C5" i="14" s="1"/>
  <c r="K9" i="14"/>
  <c r="L9" i="14" s="1"/>
  <c r="I9" i="14" s="1"/>
  <c r="C9" i="14" s="1"/>
  <c r="K13" i="14"/>
  <c r="L13" i="14" s="1"/>
  <c r="I13" i="14" s="1"/>
  <c r="K17" i="14"/>
  <c r="L17" i="14" s="1"/>
  <c r="I17" i="14" s="1"/>
  <c r="C17" i="14" s="1"/>
  <c r="K21" i="14"/>
  <c r="L21" i="14" s="1"/>
  <c r="M4" i="14"/>
  <c r="N4" i="14" s="1"/>
  <c r="M8" i="14"/>
  <c r="N8" i="14" s="1"/>
  <c r="J8" i="14" s="1"/>
  <c r="D8" i="14" s="1"/>
  <c r="B102" i="6" s="1"/>
  <c r="M12" i="14"/>
  <c r="N12" i="14" s="1"/>
  <c r="M16" i="14"/>
  <c r="N16" i="14" s="1"/>
  <c r="J16" i="14" s="1"/>
  <c r="D16" i="14" s="1"/>
  <c r="B110" i="6" s="1"/>
  <c r="M20" i="14"/>
  <c r="N20" i="14" s="1"/>
  <c r="K6" i="14"/>
  <c r="L6" i="14" s="1"/>
  <c r="K10" i="14"/>
  <c r="L10" i="14" s="1"/>
  <c r="K14" i="14"/>
  <c r="L14" i="14" s="1"/>
  <c r="I14" i="14" s="1"/>
  <c r="C14" i="14" s="1"/>
  <c r="K18" i="14"/>
  <c r="L18" i="14" s="1"/>
  <c r="I18" i="14" s="1"/>
  <c r="C18" i="14" s="1"/>
  <c r="K22" i="14"/>
  <c r="L22" i="14" s="1"/>
  <c r="M5" i="14"/>
  <c r="N5" i="14" s="1"/>
  <c r="M9" i="14"/>
  <c r="N9" i="14" s="1"/>
  <c r="J9" i="14" s="1"/>
  <c r="D9" i="14" s="1"/>
  <c r="B103" i="6" s="1"/>
  <c r="M13" i="14"/>
  <c r="N13" i="14" s="1"/>
  <c r="M17" i="14"/>
  <c r="N17" i="14" s="1"/>
  <c r="J17" i="14" s="1"/>
  <c r="D17" i="14" s="1"/>
  <c r="B111" i="6" s="1"/>
  <c r="M21" i="14"/>
  <c r="N21" i="14" s="1"/>
  <c r="K8" i="14"/>
  <c r="L8" i="14" s="1"/>
  <c r="I8" i="14" s="1"/>
  <c r="C8" i="14" s="1"/>
  <c r="K12" i="14"/>
  <c r="L12" i="14" s="1"/>
  <c r="I12" i="14" s="1"/>
  <c r="K20" i="14"/>
  <c r="L20" i="14" s="1"/>
  <c r="M7" i="14"/>
  <c r="N7" i="14" s="1"/>
  <c r="J7" i="14" s="1"/>
  <c r="D7" i="14" s="1"/>
  <c r="B101" i="6" s="1"/>
  <c r="M15" i="14"/>
  <c r="N15" i="14" s="1"/>
  <c r="J15" i="14" s="1"/>
  <c r="D15" i="14" s="1"/>
  <c r="B109" i="6" s="1"/>
  <c r="M23" i="14"/>
  <c r="N23" i="14" s="1"/>
  <c r="K3" i="14"/>
  <c r="L3" i="14" s="1"/>
  <c r="I3" i="14" s="1"/>
  <c r="C3" i="14" s="1"/>
  <c r="K7" i="14"/>
  <c r="L7" i="14" s="1"/>
  <c r="K11" i="14"/>
  <c r="L11" i="14" s="1"/>
  <c r="K15" i="14"/>
  <c r="L15" i="14" s="1"/>
  <c r="I15" i="14" s="1"/>
  <c r="C15" i="14" s="1"/>
  <c r="K19" i="14"/>
  <c r="L19" i="14" s="1"/>
  <c r="I19" i="14" s="1"/>
  <c r="C19" i="14" s="1"/>
  <c r="K23" i="14"/>
  <c r="L23" i="14" s="1"/>
  <c r="M6" i="14"/>
  <c r="N6" i="14" s="1"/>
  <c r="J6" i="14" s="1"/>
  <c r="D6" i="14" s="1"/>
  <c r="B100" i="6" s="1"/>
  <c r="M10" i="14"/>
  <c r="N10" i="14" s="1"/>
  <c r="M14" i="14"/>
  <c r="N14" i="14" s="1"/>
  <c r="J14" i="14" s="1"/>
  <c r="D14" i="14" s="1"/>
  <c r="B108" i="6" s="1"/>
  <c r="M18" i="14"/>
  <c r="N18" i="14" s="1"/>
  <c r="J18" i="14" s="1"/>
  <c r="D18" i="14" s="1"/>
  <c r="B112" i="6" s="1"/>
  <c r="M22" i="14"/>
  <c r="N22" i="14" s="1"/>
  <c r="K4" i="14"/>
  <c r="L4" i="14" s="1"/>
  <c r="I4" i="14" s="1"/>
  <c r="C4" i="14" s="1"/>
  <c r="K16" i="14"/>
  <c r="L16" i="14" s="1"/>
  <c r="I16" i="14" s="1"/>
  <c r="C16" i="14" s="1"/>
  <c r="M3" i="14"/>
  <c r="N3" i="14" s="1"/>
  <c r="J3" i="14" s="1"/>
  <c r="D3" i="14" s="1"/>
  <c r="B97" i="6" s="1"/>
  <c r="M11" i="14"/>
  <c r="N11" i="14" s="1"/>
  <c r="M19" i="14"/>
  <c r="N19" i="14" s="1"/>
  <c r="J19" i="14" s="1"/>
  <c r="D19" i="14" s="1"/>
  <c r="B113" i="6" s="1"/>
  <c r="M2" i="14"/>
  <c r="N2" i="14" s="1"/>
  <c r="J2" i="14" s="1"/>
  <c r="D2" i="14" s="1"/>
  <c r="B96" i="6" s="1"/>
  <c r="K2" i="14"/>
  <c r="L2" i="14" s="1"/>
  <c r="I2" i="14" s="1"/>
  <c r="C2" i="14" s="1"/>
  <c r="J4" i="14"/>
  <c r="D4" i="14" s="1"/>
  <c r="B98" i="6" s="1"/>
  <c r="J5" i="14"/>
  <c r="D5" i="14" s="1"/>
  <c r="B99" i="6" s="1"/>
  <c r="J20" i="14"/>
  <c r="J23" i="14"/>
  <c r="J22" i="14"/>
  <c r="J21" i="14"/>
  <c r="I6" i="14"/>
  <c r="I7" i="14"/>
  <c r="C7" i="14" s="1"/>
  <c r="I22" i="14"/>
  <c r="I21" i="14"/>
  <c r="I20" i="14"/>
  <c r="I23" i="14"/>
  <c r="I12" i="12"/>
  <c r="I14" i="12"/>
  <c r="I15" i="12"/>
  <c r="I2" i="12"/>
  <c r="C2" i="12" s="1"/>
  <c r="J13" i="14"/>
  <c r="D13" i="14" s="1"/>
  <c r="B107" i="6" s="1"/>
  <c r="J12" i="14"/>
  <c r="D12" i="14" s="1"/>
  <c r="B106" i="6" s="1"/>
  <c r="I4" i="12"/>
  <c r="J11" i="14"/>
  <c r="D11" i="14" s="1"/>
  <c r="B105" i="6" s="1"/>
  <c r="D20" i="14"/>
  <c r="B114" i="6" s="1"/>
  <c r="C22" i="14"/>
  <c r="D21" i="14"/>
  <c r="B115" i="6" s="1"/>
  <c r="I10" i="14"/>
  <c r="I3" i="12"/>
  <c r="I11" i="14"/>
  <c r="J10" i="14"/>
  <c r="D10" i="14" s="1"/>
  <c r="B104" i="6" s="1"/>
  <c r="C6" i="14"/>
  <c r="D103" i="6"/>
  <c r="D107" i="6"/>
  <c r="D102" i="6"/>
  <c r="D106" i="6"/>
  <c r="D100" i="6"/>
  <c r="D104" i="6"/>
  <c r="D108" i="6"/>
  <c r="D101" i="6"/>
  <c r="D105" i="6"/>
  <c r="D109" i="6"/>
  <c r="M20" i="11"/>
  <c r="P20" i="11" s="1"/>
  <c r="N20" i="11"/>
  <c r="Q20" i="11" s="1"/>
  <c r="I21" i="11"/>
  <c r="M19" i="11"/>
  <c r="P19" i="11" s="1"/>
  <c r="B49" i="6"/>
  <c r="Q2" i="10"/>
  <c r="X3" i="6" s="1"/>
  <c r="F20" i="6"/>
  <c r="E20" i="6"/>
  <c r="AC2" i="10"/>
  <c r="C11" i="14"/>
  <c r="C10" i="14"/>
  <c r="C12" i="14"/>
  <c r="D22" i="14"/>
  <c r="B116" i="6" s="1"/>
  <c r="AD4" i="10"/>
  <c r="AB4" i="10" s="1"/>
  <c r="C23" i="14"/>
  <c r="C20" i="14"/>
  <c r="D23" i="14"/>
  <c r="B117" i="6" s="1"/>
  <c r="C21" i="14"/>
  <c r="C13" i="14"/>
  <c r="AA3" i="10"/>
  <c r="AC3" i="10" s="1"/>
  <c r="BN16" i="14"/>
  <c r="BJ16" i="14"/>
  <c r="BN17" i="14"/>
  <c r="BJ17" i="14"/>
  <c r="BN18" i="14"/>
  <c r="BJ18" i="14"/>
  <c r="BN19" i="14"/>
  <c r="BJ19" i="14"/>
  <c r="BN20" i="14"/>
  <c r="BJ20" i="14"/>
  <c r="BN21" i="14"/>
  <c r="BJ21" i="14"/>
  <c r="BN22" i="14"/>
  <c r="BJ22" i="14"/>
  <c r="AP2116" i="1"/>
  <c r="AP1" i="1"/>
  <c r="BQ16" i="14"/>
  <c r="BQ18" i="14"/>
  <c r="BQ17" i="14"/>
  <c r="BQ22" i="14"/>
  <c r="BQ21" i="14"/>
  <c r="BQ19" i="14"/>
  <c r="BQ23" i="14"/>
  <c r="BQ20" i="14"/>
  <c r="D113" i="6" l="1"/>
  <c r="D116" i="6"/>
  <c r="D112" i="6"/>
  <c r="D114" i="6"/>
  <c r="D115" i="6"/>
  <c r="D111" i="6"/>
  <c r="D110" i="6"/>
  <c r="D117" i="6"/>
  <c r="B95" i="6"/>
  <c r="M21" i="11"/>
  <c r="P21" i="11" s="1"/>
  <c r="I22" i="11"/>
  <c r="N21" i="11"/>
  <c r="Q21" i="11" s="1"/>
  <c r="B19" i="6"/>
  <c r="G20" i="6"/>
  <c r="E22" i="6"/>
  <c r="B21" i="6" s="1"/>
  <c r="F22" i="6"/>
  <c r="AD5" i="10"/>
  <c r="AB5" i="10" s="1"/>
  <c r="AA4" i="10"/>
  <c r="AC4" i="10"/>
  <c r="M14" i="6"/>
  <c r="M15" i="6"/>
  <c r="K14" i="6"/>
  <c r="K15" i="6"/>
  <c r="I14" i="6"/>
  <c r="I15" i="6"/>
  <c r="M22" i="11" l="1"/>
  <c r="P22" i="11" s="1"/>
  <c r="N22" i="11"/>
  <c r="Q22" i="11" s="1"/>
  <c r="G22" i="6"/>
  <c r="AD6" i="10"/>
  <c r="AB6" i="10" s="1"/>
  <c r="AA5" i="10"/>
  <c r="AC5" i="10"/>
  <c r="N15" i="6"/>
  <c r="O15" i="6" s="1"/>
  <c r="N14" i="6"/>
  <c r="O14" i="6" s="1"/>
  <c r="AC6" i="10" l="1"/>
  <c r="AD7" i="10"/>
  <c r="AB7" i="10" s="1"/>
  <c r="AA6" i="10"/>
  <c r="E69" i="8"/>
  <c r="E68" i="8"/>
  <c r="N16" i="8"/>
  <c r="P16" i="8" s="1"/>
  <c r="Q16" i="8" s="1"/>
  <c r="D8" i="8"/>
  <c r="D7" i="8"/>
  <c r="N32" i="8"/>
  <c r="C23" i="8" s="1"/>
  <c r="N18" i="8"/>
  <c r="C17" i="8" s="1"/>
  <c r="N19" i="8"/>
  <c r="C18" i="8" s="1"/>
  <c r="N39" i="8"/>
  <c r="E13" i="6"/>
  <c r="N20" i="8"/>
  <c r="C19" i="8" s="1"/>
  <c r="N42" i="8"/>
  <c r="C89" i="8" s="1"/>
  <c r="N41" i="8"/>
  <c r="C87" i="8" s="1"/>
  <c r="N40" i="8"/>
  <c r="C86" i="8" s="1"/>
  <c r="S26" i="9"/>
  <c r="S27" i="9"/>
  <c r="S28" i="9"/>
  <c r="D23" i="8"/>
  <c r="N23" i="8"/>
  <c r="C22" i="8" s="1"/>
  <c r="N22" i="8"/>
  <c r="C21" i="8" s="1"/>
  <c r="N21" i="8"/>
  <c r="C20" i="8" s="1"/>
  <c r="N17" i="8"/>
  <c r="Q5" i="9"/>
  <c r="L18" i="8" s="1"/>
  <c r="R5" i="9"/>
  <c r="M18" i="8" s="1"/>
  <c r="B17" i="8" s="1"/>
  <c r="S5" i="9"/>
  <c r="T5" i="9"/>
  <c r="O18" i="8" s="1"/>
  <c r="D17" i="8" s="1"/>
  <c r="Q8" i="9"/>
  <c r="L19" i="8" s="1"/>
  <c r="R8" i="9"/>
  <c r="M19" i="8" s="1"/>
  <c r="B18" i="8" s="1"/>
  <c r="S8" i="9"/>
  <c r="T8" i="9"/>
  <c r="O19" i="8" s="1"/>
  <c r="D18" i="8" s="1"/>
  <c r="Q9" i="9"/>
  <c r="L20" i="8" s="1"/>
  <c r="R9" i="9"/>
  <c r="M20" i="8" s="1"/>
  <c r="B19" i="8" s="1"/>
  <c r="S9" i="9"/>
  <c r="T9" i="9"/>
  <c r="O20" i="8" s="1"/>
  <c r="D19" i="8" s="1"/>
  <c r="Q12" i="9"/>
  <c r="L21" i="8" s="1"/>
  <c r="R12" i="9"/>
  <c r="M21" i="8" s="1"/>
  <c r="B20" i="8" s="1"/>
  <c r="S12" i="9"/>
  <c r="T12" i="9"/>
  <c r="O21" i="8" s="1"/>
  <c r="D20" i="8" s="1"/>
  <c r="Q14" i="9"/>
  <c r="L22" i="8" s="1"/>
  <c r="R14" i="9"/>
  <c r="M22" i="8" s="1"/>
  <c r="B21" i="8" s="1"/>
  <c r="S14" i="9"/>
  <c r="T14" i="9"/>
  <c r="O22" i="8" s="1"/>
  <c r="D21" i="8" s="1"/>
  <c r="Q16" i="9"/>
  <c r="L23" i="8" s="1"/>
  <c r="R16" i="9"/>
  <c r="M23" i="8" s="1"/>
  <c r="B22" i="8" s="1"/>
  <c r="S16" i="9"/>
  <c r="T16" i="9"/>
  <c r="O23" i="8" s="1"/>
  <c r="D22" i="8" s="1"/>
  <c r="Q17" i="9"/>
  <c r="L25" i="8" s="1"/>
  <c r="R17" i="9"/>
  <c r="M25" i="8" s="1"/>
  <c r="S17" i="9"/>
  <c r="T17" i="9"/>
  <c r="O25" i="8" s="1"/>
  <c r="Q19" i="9"/>
  <c r="L26" i="8" s="1"/>
  <c r="R19" i="9"/>
  <c r="M26" i="8" s="1"/>
  <c r="S19" i="9"/>
  <c r="T19" i="9"/>
  <c r="O26" i="8" s="1"/>
  <c r="Q20" i="9"/>
  <c r="L27" i="8" s="1"/>
  <c r="R20" i="9"/>
  <c r="M27" i="8" s="1"/>
  <c r="S20" i="9"/>
  <c r="T20" i="9"/>
  <c r="O27" i="8" s="1"/>
  <c r="Q27" i="8" s="1"/>
  <c r="Q21" i="9"/>
  <c r="L28" i="8" s="1"/>
  <c r="R21" i="9"/>
  <c r="M28" i="8" s="1"/>
  <c r="S21" i="9"/>
  <c r="T21" i="9"/>
  <c r="O28" i="8" s="1"/>
  <c r="D29" i="8" s="1"/>
  <c r="Q22" i="9"/>
  <c r="L29" i="8" s="1"/>
  <c r="R22" i="9"/>
  <c r="M29" i="8" s="1"/>
  <c r="S22" i="9"/>
  <c r="T22" i="9"/>
  <c r="O29" i="8" s="1"/>
  <c r="D30" i="8" s="1"/>
  <c r="Q23" i="9"/>
  <c r="L39" i="8" s="1"/>
  <c r="R23" i="9"/>
  <c r="M39" i="8" s="1"/>
  <c r="S23" i="9"/>
  <c r="T23" i="9"/>
  <c r="O39" i="8" s="1"/>
  <c r="E9" i="8" s="1"/>
  <c r="G9" i="8" s="1"/>
  <c r="Q24" i="9"/>
  <c r="L31" i="8" s="1"/>
  <c r="R24" i="9"/>
  <c r="M31" i="8" s="1"/>
  <c r="S24" i="9"/>
  <c r="T24" i="9"/>
  <c r="O31" i="8" s="1"/>
  <c r="D31" i="8" s="1"/>
  <c r="Q25" i="9"/>
  <c r="L32" i="8" s="1"/>
  <c r="R25" i="9"/>
  <c r="M32" i="8" s="1"/>
  <c r="B23" i="8" s="1"/>
  <c r="S25" i="9"/>
  <c r="T25" i="9"/>
  <c r="Q26" i="9"/>
  <c r="L40" i="8" s="1"/>
  <c r="R26" i="9"/>
  <c r="M40" i="8" s="1"/>
  <c r="B86" i="8" s="1"/>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AI9" i="8" l="1"/>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G12" i="8" s="1"/>
  <c r="AC7" i="10"/>
  <c r="AD8" i="10"/>
  <c r="AB8" i="10" s="1"/>
  <c r="AA7" i="10"/>
  <c r="M13" i="6"/>
  <c r="I13" i="6"/>
  <c r="K13" i="6"/>
  <c r="E86" i="8"/>
  <c r="F12" i="8"/>
  <c r="E87" i="8"/>
  <c r="E89" i="8"/>
  <c r="C16" i="8"/>
  <c r="E16" i="8" s="1"/>
  <c r="P41" i="8"/>
  <c r="Q41" i="8" s="1"/>
  <c r="C26" i="8"/>
  <c r="B167" i="6" s="1"/>
  <c r="B165" i="6" s="1"/>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3" i="6"/>
  <c r="E27" i="8"/>
  <c r="E26" i="8" s="1"/>
  <c r="F13" i="6"/>
  <c r="D26" i="8"/>
  <c r="E81" i="8"/>
  <c r="E80" i="8"/>
  <c r="E15" i="8"/>
  <c r="C77" i="8"/>
  <c r="E77" i="8" s="1"/>
  <c r="E8" i="8" s="1"/>
  <c r="I12" i="8" s="1"/>
  <c r="B33" i="6" s="1"/>
  <c r="C79" i="8"/>
  <c r="D79" i="8" s="1"/>
  <c r="E7" i="8" l="1"/>
  <c r="E48" i="8"/>
  <c r="E47" i="8" s="1"/>
  <c r="G7" i="8" s="1"/>
  <c r="C47" i="8"/>
  <c r="F7" i="8" s="1"/>
  <c r="O13" i="6"/>
  <c r="AD10" i="10"/>
  <c r="AB10" i="10" s="1"/>
  <c r="AA9" i="10"/>
  <c r="AC9" i="10"/>
  <c r="D82" i="8"/>
  <c r="F8" i="8" s="1"/>
  <c r="E79" i="8"/>
  <c r="E82" i="8" s="1"/>
  <c r="I10" i="8" s="1"/>
  <c r="C82" i="8"/>
  <c r="AC10" i="10" l="1"/>
  <c r="AD11" i="10"/>
  <c r="AB11" i="10" s="1"/>
  <c r="AA10" i="10"/>
  <c r="E3" i="8"/>
  <c r="B29" i="6" s="1"/>
  <c r="G8" i="8"/>
  <c r="B32" i="6"/>
  <c r="B31" i="6" s="1"/>
  <c r="B25" i="6" l="1"/>
  <c r="AC11" i="10"/>
  <c r="AD12" i="10"/>
  <c r="AB12" i="10" s="1"/>
  <c r="AA11" i="10"/>
  <c r="E4" i="9"/>
  <c r="E5" i="9"/>
  <c r="G5" i="9" s="1"/>
  <c r="E6" i="9"/>
  <c r="G6" i="9" s="1"/>
  <c r="E7" i="9"/>
  <c r="G7" i="9" s="1"/>
  <c r="E8" i="9"/>
  <c r="G8" i="9" s="1"/>
  <c r="E10" i="9"/>
  <c r="G10" i="9" s="1"/>
  <c r="E13" i="9"/>
  <c r="G13" i="9" s="1"/>
  <c r="E14" i="9"/>
  <c r="G14" i="9" s="1"/>
  <c r="E18" i="9"/>
  <c r="G18" i="9" s="1"/>
  <c r="E19" i="9"/>
  <c r="G19" i="9" s="1"/>
  <c r="E20" i="9"/>
  <c r="G20" i="9" s="1"/>
  <c r="E21" i="9"/>
  <c r="G21" i="9" s="1"/>
  <c r="E22" i="9"/>
  <c r="G22" i="9" s="1"/>
  <c r="E23" i="9"/>
  <c r="G23" i="9" s="1"/>
  <c r="E24" i="9"/>
  <c r="G24" i="9" s="1"/>
  <c r="E25" i="9"/>
  <c r="G25" i="9" s="1"/>
  <c r="E26" i="9"/>
  <c r="G26" i="9" s="1"/>
  <c r="E27" i="9"/>
  <c r="G27" i="9" s="1"/>
  <c r="E28" i="9"/>
  <c r="G28" i="9" s="1"/>
  <c r="E29" i="9"/>
  <c r="G29" i="9" s="1"/>
  <c r="E30" i="9"/>
  <c r="G30" i="9" s="1"/>
  <c r="E31" i="9"/>
  <c r="G31" i="9" s="1"/>
  <c r="AD13" i="10" l="1"/>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M60" i="5"/>
  <c r="C60" i="5" s="1"/>
  <c r="M61" i="5"/>
  <c r="C61" i="5" s="1"/>
  <c r="M62" i="5"/>
  <c r="C62" i="5" s="1"/>
  <c r="M63" i="5"/>
  <c r="C63" i="5" s="1"/>
  <c r="M64" i="5"/>
  <c r="C64" i="5" s="1"/>
  <c r="M65" i="5"/>
  <c r="C65" i="5" s="1"/>
  <c r="M66" i="5"/>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C59" i="5" l="1"/>
  <c r="Z1814" i="1"/>
  <c r="C66" i="5"/>
  <c r="Z1813" i="1"/>
  <c r="AC14" i="10"/>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BD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I2099" i="1"/>
  <c r="AG2099" i="1"/>
  <c r="AC2099" i="1"/>
  <c r="AB2099" i="1" s="1"/>
  <c r="Z2099" i="1"/>
  <c r="V2099" i="1"/>
  <c r="W2099" i="1" s="1"/>
  <c r="K2099" i="1"/>
  <c r="J2099" i="1"/>
  <c r="A2099" i="1"/>
  <c r="AG2098" i="1"/>
  <c r="Z2098" i="1"/>
  <c r="K2098" i="1"/>
  <c r="J2098" i="1"/>
  <c r="A2098" i="1"/>
  <c r="AG2097" i="1"/>
  <c r="Z2097" i="1"/>
  <c r="K2097" i="1"/>
  <c r="J2097" i="1"/>
  <c r="A2097" i="1"/>
  <c r="Z2096" i="1"/>
  <c r="AJ2096" i="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H2097" i="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V1236" i="1" l="1"/>
  <c r="W1236" i="1" s="1"/>
  <c r="AC1236" i="1"/>
  <c r="AB1236" i="1" s="1"/>
  <c r="AA1236" i="1" s="1"/>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M2096" i="1" l="1"/>
  <c r="S2098" i="1" s="1"/>
  <c r="AJ2098" i="1" s="1"/>
  <c r="X4" i="6"/>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S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5" i="1"/>
  <c r="S2100" i="1" s="1"/>
  <c r="AJ2100" i="1" s="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R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AQ618" i="1" s="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I2098" i="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AP618" i="1" s="1"/>
  <c r="AT618" i="1" s="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I2100" i="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T786" i="1" l="1"/>
  <c r="P2116" i="1"/>
  <c r="AM234" i="1"/>
  <c r="AN234" i="1"/>
  <c r="AM258" i="1"/>
  <c r="AN258" i="1"/>
  <c r="P2118" i="1" l="1"/>
  <c r="K2118" i="1"/>
  <c r="B23" i="6" s="1"/>
  <c r="AM2116" i="1"/>
  <c r="AM13" i="1" s="1"/>
  <c r="C9" i="1" s="1"/>
  <c r="AN2118" i="1" l="1"/>
  <c r="AP2118" i="1"/>
  <c r="AP15" i="1" s="1"/>
  <c r="J9" i="1"/>
  <c r="J12" i="1" s="1"/>
  <c r="AM15" i="1" s="1"/>
  <c r="AV15" i="1" l="1"/>
  <c r="AT15" i="1" l="1"/>
  <c r="C71" i="8" l="1"/>
  <c r="BE1" i="14" l="1"/>
  <c r="BE16" i="14" l="1"/>
  <c r="BE17" i="14" l="1"/>
  <c r="BG16" i="14"/>
  <c r="BL16" i="14"/>
  <c r="BM16" i="14"/>
  <c r="BE18" i="14" l="1"/>
  <c r="BM17" i="14"/>
  <c r="BK16" i="14"/>
  <c r="BG17" i="14"/>
  <c r="BL17" i="14"/>
  <c r="BE19" i="14" l="1"/>
  <c r="BL18" i="14"/>
  <c r="BM18" i="14"/>
  <c r="BK17" i="14"/>
  <c r="BG18" i="14"/>
  <c r="BE20" i="14" l="1"/>
  <c r="BG19" i="14"/>
  <c r="BL19" i="14"/>
  <c r="BM19" i="14"/>
  <c r="BK18" i="14"/>
  <c r="BE21" i="14" l="1"/>
  <c r="BG20" i="14"/>
  <c r="BK19" i="14"/>
  <c r="BL20" i="14"/>
  <c r="BM20" i="14"/>
  <c r="BE22" i="14" l="1"/>
  <c r="W1" i="18" s="1"/>
  <c r="BG21" i="14"/>
  <c r="BL21" i="14"/>
  <c r="BM21" i="14"/>
  <c r="BK20" i="14"/>
  <c r="W2" i="18" l="1"/>
  <c r="BL22" i="14"/>
  <c r="BM22" i="14"/>
  <c r="BK21" i="14"/>
  <c r="AF2" i="18"/>
  <c r="BG22" i="14"/>
  <c r="W3" i="18" l="1"/>
  <c r="AF3" i="18" s="1"/>
  <c r="G3" i="8"/>
  <c r="BK22" i="14"/>
  <c r="AD2" i="18"/>
  <c r="AE2" i="18"/>
  <c r="Y2" i="18"/>
  <c r="V2" i="18" l="1"/>
  <c r="W4" i="18"/>
  <c r="F3" i="8"/>
  <c r="I7" i="8" s="1"/>
  <c r="AD3" i="18"/>
  <c r="AC2" i="18"/>
  <c r="AE3" i="18"/>
  <c r="AF4" i="18"/>
  <c r="Y3" i="18"/>
  <c r="V3" i="18" l="1"/>
  <c r="W5" i="18"/>
  <c r="B28" i="6"/>
  <c r="AC3" i="18"/>
  <c r="AE4" i="18"/>
  <c r="AD4" i="18"/>
  <c r="AF5" i="18"/>
  <c r="Y4" i="18"/>
  <c r="V4" i="18" l="1"/>
  <c r="W6" i="18"/>
  <c r="B27" i="6"/>
  <c r="AE5" i="18"/>
  <c r="AD5" i="18"/>
  <c r="AF6" i="18"/>
  <c r="Y5" i="18"/>
  <c r="AC4" i="18"/>
  <c r="V5" i="18" l="1"/>
  <c r="W7" i="18"/>
  <c r="AC5" i="18"/>
  <c r="Y6" i="18"/>
  <c r="AD6" i="18"/>
  <c r="AE6" i="18"/>
  <c r="AF7" i="18"/>
  <c r="V6" i="18" l="1"/>
  <c r="W8" i="18"/>
  <c r="AD7" i="18"/>
  <c r="AE7" i="18"/>
  <c r="AF8" i="18"/>
  <c r="AC6" i="18"/>
  <c r="Y7" i="18"/>
  <c r="V7" i="18" l="1"/>
  <c r="W9" i="18"/>
  <c r="AC7" i="18"/>
  <c r="Y8" i="18"/>
  <c r="AD8" i="18"/>
  <c r="AE8" i="18"/>
  <c r="AF9" i="18"/>
  <c r="V8" i="18" l="1"/>
  <c r="W10" i="18"/>
  <c r="AD9" i="18"/>
  <c r="AE9" i="18"/>
  <c r="AF10" i="18"/>
  <c r="AC8" i="18"/>
  <c r="Y9" i="18"/>
  <c r="V9" i="18" l="1"/>
  <c r="W11" i="18"/>
  <c r="AC9" i="18"/>
  <c r="AF11" i="18"/>
  <c r="AD10" i="18"/>
  <c r="AE10" i="18"/>
  <c r="Y10" i="18"/>
  <c r="V10" i="18" l="1"/>
  <c r="W12" i="18"/>
  <c r="AF12" i="18" s="1"/>
  <c r="AD11" i="18"/>
  <c r="AE11" i="18"/>
  <c r="AC10" i="18"/>
  <c r="Y11" i="18"/>
  <c r="V11" i="18" l="1"/>
  <c r="W13" i="18"/>
  <c r="AC11" i="18"/>
  <c r="Y12" i="18"/>
  <c r="AD12" i="18"/>
  <c r="AE12" i="18"/>
  <c r="AF13" i="18"/>
  <c r="W14" i="18" l="1"/>
  <c r="AD13" i="18"/>
  <c r="AC12" i="18"/>
  <c r="AE13" i="18"/>
  <c r="AF14" i="18"/>
  <c r="Y13" i="18"/>
  <c r="V12" i="18" l="1"/>
  <c r="V13" i="18"/>
  <c r="W15" i="18"/>
  <c r="AF15" i="18" s="1"/>
  <c r="AD14" i="18"/>
  <c r="AE14" i="18"/>
  <c r="X5" i="6"/>
  <c r="Y14" i="18"/>
  <c r="AC13" i="18"/>
  <c r="V14" i="18" l="1"/>
  <c r="W16" i="18"/>
  <c r="AE15" i="18"/>
  <c r="AF16" i="18"/>
  <c r="Y15" i="18"/>
  <c r="AC14" i="18"/>
  <c r="AD15" i="18"/>
  <c r="V15" i="18" l="1"/>
  <c r="W17" i="18"/>
  <c r="AF17" i="18" s="1"/>
  <c r="AC15" i="18"/>
  <c r="AD16" i="18"/>
  <c r="Y16" i="18"/>
  <c r="AE16" i="18"/>
  <c r="X6" i="6"/>
  <c r="W18" i="18" l="1"/>
  <c r="AC17" i="18"/>
  <c r="AF18" i="18"/>
  <c r="AC16" i="18"/>
  <c r="AD17" i="18"/>
  <c r="W19" i="18" l="1"/>
  <c r="AC18" i="18"/>
  <c r="AD18" i="18"/>
  <c r="AF19" i="18"/>
  <c r="W20" i="18" l="1"/>
  <c r="AD19" i="18"/>
  <c r="AC19" i="18"/>
  <c r="AF20" i="18"/>
  <c r="W21" i="18" l="1"/>
  <c r="AF21" i="18" s="1"/>
  <c r="AD20" i="18"/>
  <c r="AC20" i="18"/>
  <c r="W22" i="18" l="1"/>
  <c r="AF22" i="18" s="1"/>
  <c r="AC21" i="18"/>
  <c r="AD21" i="18"/>
  <c r="O1" i="20" l="1"/>
  <c r="O2" i="20" s="1"/>
  <c r="AD22" i="18"/>
  <c r="AC22" i="18"/>
  <c r="O3" i="20" l="1"/>
  <c r="Q2" i="20"/>
  <c r="V2" i="20"/>
  <c r="O4" i="20" l="1"/>
  <c r="V3" i="20"/>
  <c r="U2" i="20"/>
  <c r="Q3" i="20"/>
  <c r="O5" i="20" l="1"/>
  <c r="U3" i="20"/>
  <c r="V4" i="20"/>
  <c r="Q4" i="20"/>
  <c r="N3" i="20" l="1"/>
  <c r="O6" i="20"/>
  <c r="Q5" i="20"/>
  <c r="U4" i="20"/>
  <c r="V5" i="20"/>
  <c r="W5" i="20"/>
  <c r="N5" i="20" l="1"/>
  <c r="N4" i="20"/>
  <c r="O7" i="20"/>
  <c r="Q6" i="20"/>
  <c r="U5" i="20"/>
  <c r="W6" i="20"/>
  <c r="V6" i="20"/>
  <c r="O8" i="20" l="1"/>
  <c r="W7" i="20"/>
  <c r="U6" i="20"/>
  <c r="Q7" i="20"/>
  <c r="V7" i="20"/>
  <c r="O9" i="20" l="1"/>
  <c r="W8" i="20"/>
  <c r="V8" i="20"/>
  <c r="U7" i="20"/>
  <c r="Q8" i="20"/>
  <c r="O10" i="20" l="1"/>
  <c r="V9" i="20"/>
  <c r="Q9" i="20"/>
  <c r="W9" i="20"/>
  <c r="U8" i="20"/>
  <c r="N8" i="20" l="1"/>
  <c r="O11" i="20"/>
  <c r="V10" i="20"/>
  <c r="Q10" i="20"/>
  <c r="U9" i="20"/>
  <c r="W10" i="20"/>
  <c r="O12" i="20" l="1"/>
  <c r="U10" i="20"/>
  <c r="V11" i="20"/>
  <c r="N10" i="20" l="1"/>
  <c r="X7" i="6" s="1"/>
  <c r="O13" i="20"/>
  <c r="V12" i="20"/>
  <c r="O14" i="20" l="1"/>
  <c r="V13" i="20"/>
  <c r="O15" i="20" l="1"/>
  <c r="V14" i="20"/>
  <c r="O16" i="20" l="1"/>
  <c r="V15" i="20"/>
  <c r="O17" i="20" l="1"/>
  <c r="V16" i="20"/>
  <c r="O18" i="20" l="1"/>
  <c r="V17" i="20"/>
  <c r="O19" i="20" l="1"/>
  <c r="V18" i="20"/>
  <c r="O20" i="20" l="1"/>
  <c r="V19" i="20"/>
  <c r="O21" i="20" l="1"/>
  <c r="V20" i="20"/>
  <c r="O22" i="20" l="1"/>
  <c r="V21"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E1" i="8"/>
  <c r="W8" i="6" s="1"/>
  <c r="AQ14" i="8"/>
  <c r="B36" i="6" l="1"/>
  <c r="B39" i="6"/>
  <c r="A3" i="12"/>
  <c r="F3" i="12" s="1"/>
  <c r="A16" i="12"/>
  <c r="F16" i="12" s="1"/>
  <c r="A19" i="12"/>
  <c r="F19" i="12" s="1"/>
  <c r="A9" i="12"/>
  <c r="F9" i="12" s="1"/>
  <c r="A6" i="12"/>
  <c r="F6" i="12" s="1"/>
  <c r="N6" i="12" s="1"/>
  <c r="A4" i="12"/>
  <c r="F4" i="12" s="1"/>
  <c r="A21" i="12"/>
  <c r="F21" i="12" s="1"/>
  <c r="A20" i="12"/>
  <c r="F20" i="12" s="1"/>
  <c r="A5" i="12"/>
  <c r="F5" i="12" s="1"/>
  <c r="A8" i="12"/>
  <c r="F8" i="12" s="1"/>
  <c r="A14" i="12"/>
  <c r="F14" i="12" s="1"/>
  <c r="N14" i="12" s="1"/>
  <c r="J14" i="12" s="1"/>
  <c r="D14" i="12" s="1"/>
  <c r="B85" i="6" s="1"/>
  <c r="A22" i="12"/>
  <c r="F22" i="12" s="1"/>
  <c r="A18" i="12"/>
  <c r="F18" i="12" s="1"/>
  <c r="A15" i="12"/>
  <c r="F15" i="12" s="1"/>
  <c r="A12" i="12"/>
  <c r="F12" i="12" s="1"/>
  <c r="A10" i="12"/>
  <c r="F10" i="12" s="1"/>
  <c r="A17" i="12"/>
  <c r="F17" i="12" s="1"/>
  <c r="A13" i="12"/>
  <c r="F13" i="12" s="1"/>
  <c r="C13" i="12" s="1"/>
  <c r="A11" i="12"/>
  <c r="F11" i="12" s="1"/>
  <c r="A2" i="12"/>
  <c r="F2" i="12" s="1"/>
  <c r="A7" i="12"/>
  <c r="AE12" i="20"/>
  <c r="AE15" i="20"/>
  <c r="AE11" i="20"/>
  <c r="AE21" i="20"/>
  <c r="AE7" i="20"/>
  <c r="AE19" i="20"/>
  <c r="AE2" i="20"/>
  <c r="AE3" i="20"/>
  <c r="AE13" i="20"/>
  <c r="AE22" i="20"/>
  <c r="AE5" i="20"/>
  <c r="AE6" i="20"/>
  <c r="AE20" i="20"/>
  <c r="AE9" i="20"/>
  <c r="AE17" i="20"/>
  <c r="X8" i="6"/>
  <c r="AE18" i="20"/>
  <c r="AE16" i="20"/>
  <c r="AE4" i="20"/>
  <c r="AE10" i="20"/>
  <c r="AE8" i="20"/>
  <c r="AE14" i="20"/>
  <c r="F7" i="12" l="1"/>
  <c r="N7" i="12" s="1"/>
  <c r="D148" i="6"/>
  <c r="D149" i="6"/>
  <c r="D158" i="6"/>
  <c r="D163" i="6"/>
  <c r="D162" i="6"/>
  <c r="D151" i="6"/>
  <c r="D150" i="6"/>
  <c r="D154" i="6"/>
  <c r="D152" i="6"/>
  <c r="D145" i="6"/>
  <c r="D161" i="6"/>
  <c r="D144" i="6"/>
  <c r="D156" i="6"/>
  <c r="D157" i="6"/>
  <c r="D147" i="6"/>
  <c r="D143" i="6"/>
  <c r="D153" i="6"/>
  <c r="D159" i="6"/>
  <c r="D146" i="6"/>
  <c r="D160" i="6"/>
  <c r="D155" i="6"/>
  <c r="C4" i="12"/>
  <c r="N4" i="12"/>
  <c r="J4" i="12" s="1"/>
  <c r="D4" i="12" s="1"/>
  <c r="B75" i="6" s="1"/>
  <c r="C14" i="12"/>
  <c r="C17" i="12"/>
  <c r="N17" i="12"/>
  <c r="J17" i="12" s="1"/>
  <c r="D17" i="12" s="1"/>
  <c r="B88" i="6" s="1"/>
  <c r="N21" i="12"/>
  <c r="J21" i="12" s="1"/>
  <c r="D21" i="12" s="1"/>
  <c r="B92" i="6" s="1"/>
  <c r="C21" i="12"/>
  <c r="N2" i="12"/>
  <c r="N15" i="12"/>
  <c r="J15" i="12" s="1"/>
  <c r="D15" i="12" s="1"/>
  <c r="B86" i="6" s="1"/>
  <c r="C15" i="12"/>
  <c r="N5" i="12"/>
  <c r="C5" i="12"/>
  <c r="C20" i="12"/>
  <c r="N20" i="12"/>
  <c r="J20" i="12" s="1"/>
  <c r="D20" i="12" s="1"/>
  <c r="B91" i="6" s="1"/>
  <c r="N19" i="12"/>
  <c r="J19" i="12" s="1"/>
  <c r="D19" i="12" s="1"/>
  <c r="B90" i="6" s="1"/>
  <c r="C19" i="12"/>
  <c r="N11" i="12"/>
  <c r="J11" i="12" s="1"/>
  <c r="D11" i="12" s="1"/>
  <c r="B82" i="6" s="1"/>
  <c r="C11" i="12"/>
  <c r="N10" i="12"/>
  <c r="J10" i="12" s="1"/>
  <c r="D10" i="12" s="1"/>
  <c r="B81" i="6" s="1"/>
  <c r="C10" i="12"/>
  <c r="C18" i="12"/>
  <c r="N18" i="12"/>
  <c r="J18" i="12" s="1"/>
  <c r="D18" i="12" s="1"/>
  <c r="B89" i="6" s="1"/>
  <c r="N22" i="12"/>
  <c r="J22" i="12" s="1"/>
  <c r="D22" i="12" s="1"/>
  <c r="B93" i="6" s="1"/>
  <c r="C22" i="12"/>
  <c r="N16" i="12"/>
  <c r="J16" i="12" s="1"/>
  <c r="D16" i="12" s="1"/>
  <c r="B87" i="6" s="1"/>
  <c r="C16" i="12"/>
  <c r="C7" i="12"/>
  <c r="N12" i="12"/>
  <c r="J12" i="12" s="1"/>
  <c r="D12" i="12" s="1"/>
  <c r="B83" i="6" s="1"/>
  <c r="C12" i="12"/>
  <c r="C8" i="12"/>
  <c r="N8" i="12"/>
  <c r="J8" i="12" s="1"/>
  <c r="D8" i="12" s="1"/>
  <c r="B79" i="6" s="1"/>
  <c r="C6" i="12"/>
  <c r="N3" i="12"/>
  <c r="J3" i="12" s="1"/>
  <c r="D3" i="12" s="1"/>
  <c r="B74" i="6" s="1"/>
  <c r="C3" i="12"/>
  <c r="N13" i="12"/>
  <c r="J13" i="12" s="1"/>
  <c r="D13" i="12" s="1"/>
  <c r="B84" i="6" s="1"/>
  <c r="N9" i="12"/>
  <c r="J9" i="12" s="1"/>
  <c r="D9" i="12" s="1"/>
  <c r="B80" i="6" s="1"/>
  <c r="C9" i="12"/>
  <c r="X1" i="6"/>
  <c r="M1" i="6" l="1"/>
  <c r="J7" i="12"/>
  <c r="D7" i="12" s="1"/>
  <c r="B78" i="6" s="1"/>
  <c r="J6" i="12"/>
  <c r="D6" i="12" s="1"/>
  <c r="B77" i="6" s="1"/>
  <c r="J5" i="12"/>
  <c r="D5" i="12" s="1"/>
  <c r="B76" i="6" s="1"/>
  <c r="J2" i="12"/>
  <c r="D2" i="12" s="1"/>
  <c r="E21" i="6"/>
  <c r="B73" i="6" l="1"/>
  <c r="B72" i="6" s="1"/>
  <c r="B48" i="6" s="1"/>
  <c r="F21" i="6"/>
  <c r="G21" i="6" s="1"/>
  <c r="E19" i="6"/>
  <c r="B20" i="6"/>
  <c r="B9" i="6" s="1"/>
  <c r="K22" i="6" s="1"/>
  <c r="K20" i="6" s="1"/>
  <c r="F19" i="6" l="1"/>
  <c r="E9" i="6" s="1"/>
  <c r="I9" i="6" s="1"/>
  <c r="G19" i="6"/>
  <c r="S18" i="6" s="1"/>
  <c r="K9" i="6" l="1"/>
  <c r="M9" i="6"/>
  <c r="F25" i="6"/>
  <c r="E11" i="6"/>
  <c r="I11" i="6" s="1"/>
  <c r="E12" i="6"/>
  <c r="K12" i="6" s="1"/>
  <c r="B14" i="6"/>
  <c r="E10" i="6"/>
  <c r="I10" i="6" s="1"/>
  <c r="E28" i="6"/>
  <c r="G28" i="6" s="1"/>
  <c r="G29" i="6" s="1"/>
  <c r="S19" i="6"/>
  <c r="S22" i="6"/>
  <c r="S20" i="6"/>
  <c r="S21" i="6"/>
  <c r="S17" i="6"/>
  <c r="B17" i="6" l="1"/>
  <c r="N9" i="6"/>
  <c r="O9" i="6" s="1"/>
  <c r="M12" i="6"/>
  <c r="I12" i="6"/>
  <c r="B16" i="6"/>
  <c r="K10" i="6"/>
  <c r="M11" i="6"/>
  <c r="K11" i="6"/>
  <c r="E32" i="6"/>
  <c r="B37" i="6" s="1"/>
  <c r="B35" i="6" s="1"/>
  <c r="B10" i="6" s="1"/>
  <c r="M10" i="6"/>
  <c r="B15" i="6"/>
  <c r="E8" i="6"/>
  <c r="G14" i="6" s="1"/>
  <c r="G33" i="6"/>
  <c r="G31" i="6"/>
  <c r="N12" i="6" l="1"/>
  <c r="O12" i="6" s="1"/>
  <c r="N10" i="6"/>
  <c r="O10" i="6" s="1"/>
  <c r="B8" i="6"/>
  <c r="B7" i="6" s="1"/>
  <c r="N11" i="6"/>
  <c r="O11" i="6" s="1"/>
  <c r="B13" i="6"/>
  <c r="G9" i="6"/>
  <c r="L22" i="6"/>
  <c r="L20" i="6" s="1"/>
  <c r="G13" i="6"/>
  <c r="G15" i="6"/>
  <c r="B3" i="6" l="1"/>
  <c r="B1" i="6"/>
  <c r="M22" i="6" s="1"/>
  <c r="M20" i="6" s="1"/>
  <c r="N20" i="6" s="1"/>
  <c r="O16" i="6"/>
  <c r="N16" i="6"/>
  <c r="B2" i="6"/>
  <c r="C1" i="6" l="1"/>
  <c r="P3" i="22"/>
  <c r="N3" i="22"/>
  <c r="O3" i="22"/>
</calcChain>
</file>

<file path=xl/sharedStrings.xml><?xml version="1.0" encoding="utf-8"?>
<sst xmlns="http://schemas.openxmlformats.org/spreadsheetml/2006/main" count="17345" uniqueCount="1483">
  <si>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</si>
  <si>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</si>
  <si>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</si>
  <si>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</si>
  <si>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</si>
  <si>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</si>
  <si>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</si>
  <si>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</si>
  <si>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</si>
  <si>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</si>
  <si>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</si>
  <si>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</si>
  <si>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</si>
  <si>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</si>
  <si>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</si>
  <si>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</si>
  <si>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</si>
  <si>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</si>
  <si>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</si>
  <si>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</si>
  <si>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</si>
  <si>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</si>
  <si>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</si>
  <si>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</si>
  <si>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</si>
  <si>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</si>
  <si>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</si>
  <si>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</si>
  <si>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</si>
  <si>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</si>
  <si>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</si>
  <si>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</si>
  <si>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</si>
  <si>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</si>
  <si>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</si>
  <si>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</si>
  <si>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</si>
  <si>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</si>
  <si>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</si>
  <si>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</si>
  <si>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</si>
  <si>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</si>
  <si>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</si>
  <si>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</si>
  <si>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</si>
  <si>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</si>
  <si>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</si>
  <si>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</si>
  <si>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</si>
  <si>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</si>
  <si>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</si>
  <si>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</si>
  <si>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</si>
  <si>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</si>
  <si>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</si>
  <si>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</si>
  <si>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</si>
  <si>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</si>
  <si>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</si>
  <si>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</si>
  <si>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</si>
  <si>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</si>
  <si>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</si>
  <si>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</si>
  <si>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</si>
  <si>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</si>
  <si>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</si>
  <si>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</si>
  <si>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</si>
  <si>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</si>
  <si>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</si>
  <si>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</si>
  <si>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</si>
  <si>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</si>
  <si>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</si>
  <si>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</si>
  <si>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</si>
  <si>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</si>
  <si>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</si>
  <si>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</si>
  <si>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</si>
  <si>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</si>
  <si>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</si>
  <si>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</si>
  <si>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</si>
  <si>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</si>
  <si>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</si>
  <si>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</si>
  <si>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</si>
  <si>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</si>
  <si>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</si>
  <si>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</si>
  <si>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</si>
  <si>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</si>
  <si>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</si>
  <si>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</si>
  <si>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</si>
  <si>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</si>
  <si>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</si>
  <si>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</si>
  <si>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</si>
  <si>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</si>
  <si>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</si>
  <si>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</si>
  <si>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</si>
  <si>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</si>
  <si>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</si>
  <si>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</si>
  <si>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</si>
  <si>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</si>
  <si>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</si>
  <si>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</si>
  <si>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</si>
  <si>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</si>
  <si>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</si>
  <si>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</si>
  <si>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</si>
  <si>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</si>
  <si>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</si>
  <si>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</si>
  <si>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</si>
  <si>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</si>
  <si>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</si>
  <si>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</si>
  <si>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</si>
  <si>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</si>
  <si>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</si>
  <si>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</si>
  <si>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</si>
  <si>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</si>
  <si>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</si>
  <si>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</si>
  <si>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</si>
  <si>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</si>
  <si>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</si>
  <si>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</si>
  <si>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</si>
  <si>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</si>
  <si>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</si>
  <si>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</si>
  <si>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</si>
  <si>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</si>
  <si>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</si>
  <si>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</si>
  <si>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</si>
  <si>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</si>
  <si>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</si>
  <si>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</si>
  <si>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</si>
  <si>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</si>
  <si>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</si>
  <si>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</si>
  <si>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</si>
  <si>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</si>
  <si>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</si>
  <si>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</si>
  <si>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</si>
  <si>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</si>
  <si>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</si>
  <si>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</si>
  <si>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</si>
  <si>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</si>
  <si>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</si>
  <si>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</si>
  <si>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</si>
  <si>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</si>
  <si>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</si>
  <si>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</si>
  <si>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</si>
  <si>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</si>
  <si>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</si>
  <si>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</si>
  <si>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</si>
  <si>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</si>
  <si>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</si>
  <si>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</si>
  <si>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</si>
  <si>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</si>
  <si>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</si>
  <si>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</si>
  <si>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</si>
  <si>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</si>
  <si>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</si>
  <si>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</si>
  <si>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</si>
  <si>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</si>
  <si>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</si>
  <si>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</si>
  <si>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</si>
  <si>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</si>
  <si>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</si>
  <si>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</si>
  <si>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</si>
  <si>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</si>
  <si>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</si>
  <si>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</si>
  <si>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</si>
  <si>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</si>
  <si>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</si>
  <si>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</si>
  <si>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</si>
  <si>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</si>
  <si>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</si>
  <si>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</si>
  <si>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</si>
  <si>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</si>
  <si>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</si>
  <si>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</si>
  <si>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</si>
  <si>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</si>
  <si>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</si>
  <si>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</si>
  <si>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</si>
  <si>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</si>
  <si>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</si>
  <si>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</si>
  <si>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</si>
  <si>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</si>
  <si>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</si>
  <si>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</si>
  <si>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</si>
  <si>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</si>
  <si>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</si>
  <si>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</si>
  <si>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</si>
  <si>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</si>
  <si>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</si>
  <si>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</si>
  <si>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</si>
  <si>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</si>
  <si>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</si>
  <si>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</si>
  <si>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</si>
  <si>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</si>
  <si>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</si>
  <si>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</si>
  <si>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</si>
  <si>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</si>
  <si>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</si>
  <si>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</si>
  <si>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</si>
  <si>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</si>
  <si>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</si>
  <si>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</si>
  <si>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</si>
  <si>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</si>
  <si>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</si>
  <si>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</si>
  <si>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</si>
  <si>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</si>
  <si>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</si>
  <si>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</si>
  <si>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</si>
  <si>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</si>
  <si>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</si>
  <si>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</si>
  <si>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</si>
  <si>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</si>
  <si>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</si>
  <si>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</si>
  <si>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</si>
  <si>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</si>
  <si>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</si>
  <si>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</si>
  <si>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</si>
  <si>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</si>
  <si>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</si>
  <si>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</si>
  <si>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</si>
  <si>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</si>
  <si>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</si>
  <si>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</si>
  <si>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</si>
  <si>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</si>
  <si>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</si>
  <si>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</si>
  <si>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</si>
  <si>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</si>
  <si>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</si>
  <si>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</si>
  <si>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</si>
  <si>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</si>
  <si>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</si>
  <si>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</si>
  <si>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</si>
  <si>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</si>
  <si>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</si>
  <si>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</si>
  <si>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</si>
  <si>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</si>
  <si>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</si>
  <si>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</si>
  <si>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</si>
  <si>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</si>
  <si>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</si>
  <si>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</si>
  <si>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</si>
  <si>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</si>
  <si>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</si>
  <si>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</si>
  <si>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</si>
  <si>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</si>
  <si>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</si>
  <si>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</si>
  <si>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</si>
  <si>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</si>
  <si>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</si>
  <si>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</si>
  <si>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</si>
  <si>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</si>
  <si>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</si>
  <si>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</si>
  <si>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</si>
  <si>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</si>
  <si>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</si>
  <si>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</si>
  <si>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</si>
  <si>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</si>
  <si>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</si>
  <si>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</si>
  <si>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</si>
  <si>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</si>
  <si>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</si>
  <si>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</si>
  <si>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</si>
  <si>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</si>
  <si>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</si>
  <si>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</si>
  <si>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</si>
  <si>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</si>
  <si>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</si>
  <si>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</si>
  <si>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</si>
  <si>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</si>
  <si>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</si>
  <si>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</si>
  <si>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</si>
  <si>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</si>
  <si>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</si>
  <si>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</si>
  <si>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</si>
  <si>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</si>
  <si>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</si>
  <si>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</si>
  <si>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</si>
  <si>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</si>
  <si>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</si>
  <si>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</si>
  <si>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</si>
  <si>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</si>
  <si>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</si>
  <si>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</si>
  <si>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</si>
  <si>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</si>
  <si>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</si>
  <si>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</si>
  <si>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</si>
  <si>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</si>
  <si>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</si>
  <si>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</si>
  <si>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</si>
  <si>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</si>
  <si>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</si>
  <si>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</si>
  <si>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</si>
  <si>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</si>
  <si>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</si>
  <si>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</si>
  <si>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</si>
  <si>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</si>
  <si>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</si>
  <si>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</si>
  <si>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</si>
  <si>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</si>
  <si>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</si>
  <si>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</si>
  <si>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</si>
  <si>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</si>
  <si>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</si>
  <si>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</si>
  <si>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</si>
  <si>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</si>
  <si>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</si>
  <si>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</si>
  <si>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</si>
  <si>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</si>
  <si>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</si>
  <si>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</si>
  <si>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</si>
  <si>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</si>
  <si>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</si>
  <si>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</si>
  <si>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</si>
  <si>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</si>
  <si>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</si>
  <si>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</si>
  <si>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</si>
  <si>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</si>
  <si>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</si>
  <si>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</si>
  <si>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</si>
  <si>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</si>
  <si>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</si>
  <si>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</si>
  <si>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</si>
  <si>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</si>
  <si>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</si>
  <si>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</si>
  <si>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</si>
  <si>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</si>
  <si>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</si>
  <si>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</si>
  <si>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</si>
  <si>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</si>
  <si>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</si>
  <si>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</si>
  <si>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</si>
  <si>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</si>
  <si>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</si>
  <si>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</si>
  <si>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</si>
  <si>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</si>
  <si>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</si>
  <si>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</si>
  <si>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</si>
  <si>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</si>
  <si>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</si>
  <si>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</si>
  <si>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</si>
  <si>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</si>
  <si>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</si>
  <si>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</si>
  <si>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</si>
  <si>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</si>
  <si>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</si>
  <si>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</si>
  <si>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</si>
  <si>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</si>
  <si>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</si>
  <si>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</si>
  <si>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</si>
  <si>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</si>
  <si>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</si>
  <si>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</si>
  <si>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</si>
  <si>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</si>
  <si>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</si>
  <si>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</si>
  <si>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</si>
  <si>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</si>
  <si>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</si>
  <si>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</si>
  <si>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</si>
  <si>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</si>
  <si>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</si>
  <si>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</si>
  <si>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</si>
  <si>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</si>
  <si>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</si>
  <si>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</si>
  <si>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</si>
  <si>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</si>
  <si>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</si>
  <si>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</si>
  <si>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</si>
  <si>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</si>
  <si>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</si>
  <si>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</si>
  <si>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</si>
  <si>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</si>
  <si>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</si>
  <si>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</si>
  <si>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</si>
  <si>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</si>
  <si>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</si>
  <si>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</si>
  <si>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</si>
  <si>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</si>
  <si>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</si>
  <si>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</si>
  <si>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</si>
  <si>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</si>
  <si>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</si>
  <si>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</si>
  <si>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</si>
  <si>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</si>
  <si>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</si>
  <si>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</si>
  <si>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</si>
  <si>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</si>
  <si>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</si>
  <si>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</si>
  <si>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</si>
  <si>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</si>
  <si>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</si>
  <si>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</si>
  <si>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</si>
  <si>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</si>
  <si>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</si>
  <si>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</si>
  <si>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</si>
  <si>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</si>
  <si>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</si>
  <si>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</si>
  <si>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</si>
  <si>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</si>
  <si>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</si>
  <si>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</si>
  <si>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</si>
  <si>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</si>
  <si>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</si>
  <si>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</si>
  <si>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</si>
  <si>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</si>
  <si>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</si>
  <si>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</si>
  <si>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</si>
  <si>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</si>
  <si>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</si>
  <si>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</si>
  <si>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</si>
  <si>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</si>
  <si>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</si>
  <si>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</si>
  <si>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</si>
  <si>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</si>
  <si>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</si>
  <si>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</si>
  <si>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</si>
  <si>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</si>
  <si>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</si>
  <si>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</si>
  <si>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</si>
  <si>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</si>
  <si>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</si>
  <si>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</si>
  <si>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</si>
  <si>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</si>
  <si>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</si>
  <si>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</si>
  <si>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</si>
  <si>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</si>
  <si>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</si>
  <si>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</si>
  <si>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</si>
  <si>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</si>
  <si>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</si>
  <si>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</si>
  <si>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</si>
  <si>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</si>
  <si>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</si>
  <si>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</si>
  <si>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</si>
  <si>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</si>
  <si>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</si>
  <si>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</si>
  <si>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</si>
  <si>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</si>
  <si>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</si>
  <si>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</si>
  <si>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</si>
  <si>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</si>
  <si>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</si>
  <si>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</si>
  <si>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</si>
  <si>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</si>
  <si>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</si>
  <si>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</si>
  <si>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</si>
  <si>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</si>
  <si>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</si>
  <si>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</si>
  <si>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</si>
  <si>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</si>
  <si>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</si>
  <si>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</si>
  <si>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</si>
  <si>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</si>
  <si>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</si>
  <si>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</si>
  <si>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</si>
  <si>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</si>
  <si>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</si>
  <si>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</si>
  <si>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</si>
  <si>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</si>
  <si>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</si>
  <si>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</si>
  <si>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</si>
  <si>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</si>
  <si>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</si>
  <si>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</si>
  <si>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</si>
  <si>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</si>
  <si>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</si>
  <si>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</si>
  <si>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</si>
  <si>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</si>
  <si>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</si>
  <si>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</si>
  <si>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</si>
  <si>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</si>
  <si>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</si>
  <si>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</si>
  <si>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</si>
  <si>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</si>
  <si>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</si>
  <si>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</si>
  <si>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</si>
  <si>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</si>
  <si>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</si>
  <si>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</si>
  <si>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</si>
  <si>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</si>
  <si>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</si>
  <si>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</si>
  <si>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</si>
  <si>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</si>
  <si>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</si>
  <si>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</si>
  <si>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</si>
  <si>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</si>
  <si>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</si>
  <si>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</si>
  <si>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</si>
  <si>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</si>
  <si>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</si>
  <si>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</si>
  <si>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</si>
  <si>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</si>
  <si>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</si>
  <si>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</si>
  <si>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</si>
  <si>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</si>
  <si>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</si>
  <si>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</si>
  <si>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</si>
  <si>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</si>
  <si>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</si>
  <si>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</si>
  <si>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</si>
  <si>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</si>
  <si>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</si>
  <si>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</si>
  <si>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</si>
  <si>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</si>
  <si>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</si>
  <si>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</si>
  <si>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</si>
  <si>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</si>
  <si>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</si>
  <si>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</si>
  <si>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</si>
  <si>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</si>
  <si>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</si>
  <si>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</si>
  <si>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</si>
  <si>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</si>
  <si>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</si>
  <si>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</si>
  <si>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</si>
  <si>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</si>
  <si>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</si>
  <si>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</si>
  <si>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</si>
  <si>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</si>
  <si>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</si>
  <si>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</si>
  <si>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</si>
  <si>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</si>
  <si>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</si>
  <si>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</si>
  <si>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</si>
  <si>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</si>
  <si>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</si>
  <si>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</si>
  <si>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</si>
  <si>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</si>
  <si>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</si>
  <si>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</si>
  <si>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</si>
  <si>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</si>
  <si>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</si>
  <si>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</si>
  <si>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</si>
  <si>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</si>
  <si>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</si>
  <si>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</si>
  <si>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</si>
  <si>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</si>
  <si>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</si>
  <si>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</si>
  <si>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</si>
  <si>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</si>
  <si>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</si>
  <si>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</si>
  <si>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</si>
  <si>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</si>
  <si>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</si>
  <si>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</si>
  <si>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</si>
  <si>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</si>
  <si>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</si>
  <si>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</si>
  <si>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</si>
  <si>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</si>
  <si>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</si>
  <si>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</si>
  <si>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</si>
  <si>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</si>
  <si>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</si>
  <si>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</si>
  <si>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</si>
  <si>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</si>
  <si>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</si>
  <si>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</si>
  <si>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</si>
  <si>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</si>
  <si>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</si>
  <si>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</si>
  <si>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</si>
  <si>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</si>
  <si>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</si>
  <si>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</si>
  <si>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</si>
  <si>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</si>
  <si>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</si>
  <si>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</si>
  <si>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</si>
  <si>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</si>
  <si>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</si>
  <si>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</si>
  <si>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</si>
  <si>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</si>
  <si>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</si>
  <si>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</si>
  <si>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</si>
  <si>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</si>
  <si>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</si>
  <si>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</si>
  <si>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</si>
  <si>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</si>
  <si>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</si>
  <si>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</si>
  <si>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</si>
  <si>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</si>
  <si>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</si>
  <si>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</si>
  <si>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</si>
  <si>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</si>
  <si>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</si>
  <si>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</si>
  <si>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</si>
  <si>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</si>
  <si>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</si>
  <si>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</si>
  <si>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</si>
  <si>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</si>
  <si>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</si>
  <si>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</si>
  <si>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</si>
  <si>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</si>
  <si>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</si>
  <si>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</si>
  <si>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</si>
  <si>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</si>
  <si>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</si>
  <si>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</si>
  <si>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</si>
  <si>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</si>
  <si>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</si>
  <si>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</si>
  <si>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</si>
  <si>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</si>
  <si>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</si>
  <si>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</si>
  <si>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</si>
  <si>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</si>
  <si>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</si>
  <si>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</si>
  <si>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</si>
  <si>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</si>
  <si>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</si>
  <si>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</si>
  <si>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</si>
  <si>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</si>
  <si>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</si>
  <si>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</si>
  <si>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</si>
  <si>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</si>
  <si>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</si>
  <si>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</si>
  <si>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</si>
  <si>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</si>
  <si>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</si>
  <si>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</si>
  <si>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</si>
  <si>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</si>
  <si>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</si>
  <si>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</si>
  <si>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</si>
  <si>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</si>
  <si>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</si>
  <si>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</si>
  <si>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</si>
  <si>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</si>
  <si>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</si>
  <si>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</si>
  <si>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</si>
  <si>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</si>
  <si>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</si>
  <si>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</si>
  <si>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</si>
  <si>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</si>
  <si>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</si>
  <si>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</si>
  <si>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</si>
  <si>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</si>
  <si>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</si>
  <si>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</si>
  <si>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</si>
  <si>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</si>
  <si>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</si>
  <si>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</si>
  <si>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</si>
  <si>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</si>
  <si>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</si>
  <si>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</si>
  <si>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</si>
  <si>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</si>
  <si>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</si>
  <si>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</si>
  <si>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</si>
  <si>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</si>
  <si>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</si>
  <si>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</si>
  <si>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</si>
  <si>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</si>
  <si>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</si>
  <si>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</si>
  <si>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</si>
  <si>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</si>
  <si>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</si>
  <si>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</si>
  <si>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</si>
  <si>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</si>
  <si>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</si>
  <si>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</si>
  <si>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</si>
  <si>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</si>
  <si>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</si>
  <si>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</si>
  <si>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</si>
  <si>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</si>
  <si>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</si>
  <si>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</si>
  <si>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</si>
  <si>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</si>
  <si>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</si>
  <si>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</si>
  <si>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</si>
  <si>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</si>
  <si>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</si>
  <si>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</si>
  <si>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</si>
  <si>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</si>
  <si>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</si>
  <si>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</si>
  <si>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</si>
  <si>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</si>
  <si>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</si>
  <si>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</si>
  <si>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</si>
  <si>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</si>
  <si>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</si>
  <si>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</si>
  <si>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</si>
  <si>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</si>
  <si>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</si>
  <si>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</si>
  <si>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</si>
  <si>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</si>
  <si>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</si>
  <si>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</si>
  <si>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</si>
  <si>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</si>
  <si>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</si>
  <si>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</si>
  <si>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</si>
  <si>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</si>
  <si>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</si>
  <si>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</si>
  <si>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</si>
  <si>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</si>
  <si>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</si>
  <si>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</si>
  <si>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</si>
  <si>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</si>
  <si>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</si>
  <si>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</si>
  <si>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</si>
  <si>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</si>
  <si>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</si>
  <si>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</si>
  <si>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</si>
  <si>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</si>
  <si>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</si>
  <si>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</si>
  <si>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</si>
  <si>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</si>
  <si>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</si>
  <si>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</si>
  <si>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</si>
  <si>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</si>
  <si>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</si>
  <si>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</si>
  <si>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</si>
  <si>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</si>
  <si>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</si>
  <si>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</si>
  <si>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</si>
  <si>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</si>
  <si>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</si>
  <si>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</si>
  <si>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</si>
  <si>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</si>
  <si>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</si>
  <si>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</si>
  <si>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</si>
  <si>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</si>
  <si>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</si>
  <si>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</si>
  <si>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</si>
  <si>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</si>
  <si>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</si>
  <si>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</si>
  <si>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</si>
  <si>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</si>
  <si>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</si>
  <si>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</si>
  <si>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</si>
  <si>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</si>
  <si>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</si>
  <si>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</si>
  <si>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</si>
  <si>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</si>
  <si>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</si>
  <si>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</si>
  <si>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</si>
  <si>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</si>
  <si>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</si>
  <si>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</si>
  <si>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</si>
  <si>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</si>
  <si>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</si>
  <si>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</si>
  <si>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</si>
  <si>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</si>
  <si>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</si>
  <si>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</si>
  <si>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</si>
  <si>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</si>
  <si>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</si>
  <si>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</si>
  <si>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</si>
  <si>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</si>
  <si>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</si>
  <si>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</si>
  <si>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</si>
  <si>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</si>
  <si>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</si>
  <si>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</si>
  <si>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</si>
  <si>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</si>
  <si>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</si>
  <si>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</si>
  <si>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</si>
  <si>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</si>
  <si>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</si>
  <si>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</si>
  <si>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</si>
  <si>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</si>
  <si>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</si>
  <si>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</si>
  <si>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</si>
  <si>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</si>
  <si>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</si>
  <si>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</si>
  <si>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</si>
  <si>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</si>
  <si>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</si>
  <si>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</si>
  <si>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</si>
  <si>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</si>
  <si>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</si>
  <si>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</si>
  <si>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</si>
  <si>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</si>
  <si>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</si>
  <si>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</si>
  <si>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</si>
  <si>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</si>
  <si>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</si>
  <si>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</si>
  <si>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</si>
  <si>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</si>
  <si>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</si>
  <si>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</si>
  <si>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</si>
  <si>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</si>
  <si>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</si>
  <si>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</si>
  <si>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</si>
  <si>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</si>
  <si>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</si>
  <si>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</si>
  <si>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</si>
  <si>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</si>
  <si>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</si>
  <si>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</si>
  <si>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</si>
  <si>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</si>
  <si>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</si>
  <si>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</si>
  <si>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</si>
  <si>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</si>
  <si>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</si>
  <si>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</si>
  <si>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</si>
  <si>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</si>
  <si>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</si>
  <si>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</si>
  <si>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</si>
  <si>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</si>
  <si>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</si>
  <si>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</si>
  <si>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</si>
  <si>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</si>
  <si>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</si>
  <si>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</si>
  <si>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</si>
  <si>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</si>
  <si>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</si>
  <si>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</si>
  <si>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</si>
  <si>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</si>
  <si>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</si>
  <si>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</si>
  <si>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</si>
  <si>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</si>
  <si>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</si>
  <si>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</si>
  <si>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</si>
  <si>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</si>
  <si>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</si>
  <si>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</si>
  <si>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</si>
  <si>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</si>
  <si>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</si>
  <si>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</si>
  <si>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</si>
  <si>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</si>
  <si>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</si>
  <si>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</si>
  <si>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</si>
  <si>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</si>
  <si>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</si>
  <si>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</si>
  <si>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</si>
  <si>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</si>
  <si>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</si>
  <si>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</si>
  <si>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</si>
  <si>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</si>
  <si>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</si>
  <si>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</si>
  <si>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</si>
  <si>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</si>
  <si>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</si>
  <si>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</si>
  <si>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</si>
  <si>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</si>
  <si>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</si>
  <si>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</si>
  <si>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</si>
  <si>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</si>
  <si>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</si>
  <si>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</si>
  <si>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</si>
  <si>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</si>
  <si>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</si>
  <si>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</si>
  <si>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</si>
  <si>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</si>
  <si>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</si>
  <si>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</si>
  <si>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</si>
  <si>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</si>
  <si>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</si>
  <si>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</si>
  <si>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</si>
  <si>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</si>
  <si>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</si>
  <si>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</si>
  <si>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</si>
  <si>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</si>
  <si>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</si>
  <si>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</si>
  <si>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</si>
  <si>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</si>
  <si>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</si>
  <si>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</si>
  <si>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</si>
  <si>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</si>
  <si>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</si>
  <si>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</si>
  <si>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</si>
  <si>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</si>
  <si>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</si>
  <si>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</si>
  <si>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</si>
  <si>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</si>
  <si>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</si>
  <si>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</si>
  <si>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</si>
  <si>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</si>
  <si>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</si>
  <si>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</si>
  <si>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</si>
  <si>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</si>
  <si>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</si>
  <si>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</si>
  <si>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</si>
  <si>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</si>
  <si>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</si>
  <si>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</si>
  <si>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</si>
  <si>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</si>
  <si>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</si>
  <si>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</si>
  <si>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</si>
  <si>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</si>
  <si>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</si>
  <si>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</si>
  <si>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</si>
  <si>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</si>
  <si>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</si>
  <si>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</si>
  <si>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</si>
  <si>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</si>
  <si>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</si>
  <si>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</si>
  <si>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</si>
  <si>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</si>
  <si>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</si>
  <si>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</si>
  <si>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</si>
  <si>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</si>
  <si>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</si>
  <si>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</si>
  <si>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</si>
  <si>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</si>
  <si>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</si>
  <si>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</si>
  <si>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</si>
  <si>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</si>
  <si>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</si>
  <si>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</si>
  <si>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</si>
  <si>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</si>
  <si>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</si>
  <si>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</si>
  <si>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</si>
  <si>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</si>
  <si>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</si>
  <si>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</si>
  <si>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</si>
  <si>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</si>
  <si>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</si>
  <si>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</si>
  <si>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</si>
  <si>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</si>
  <si>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</si>
  <si>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</si>
  <si>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</si>
  <si>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</si>
  <si>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</si>
  <si>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</si>
  <si>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</si>
  <si>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</si>
  <si>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</si>
  <si>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</si>
  <si>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</si>
  <si>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</si>
  <si>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</si>
  <si>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</si>
  <si>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</si>
  <si>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</si>
  <si>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</si>
  <si>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</si>
  <si>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</si>
  <si>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</si>
  <si>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</si>
  <si>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</si>
  <si>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</si>
  <si>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</si>
  <si>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</si>
  <si>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</si>
  <si>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</si>
  <si>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</si>
  <si>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</si>
  <si>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</si>
  <si>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</si>
  <si>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</si>
  <si>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</si>
  <si>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</si>
  <si>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</si>
  <si>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</si>
  <si>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</si>
  <si>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</si>
  <si>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</si>
  <si>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</si>
  <si>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</si>
  <si>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</si>
  <si>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</si>
  <si>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</si>
  <si>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</si>
  <si>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</si>
  <si>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</si>
  <si>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</si>
  <si>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</si>
  <si>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</si>
  <si>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</si>
  <si>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</si>
  <si>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</si>
  <si>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</si>
  <si>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</si>
  <si>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</si>
  <si>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</si>
  <si>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</si>
  <si>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</si>
  <si>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</si>
  <si>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</si>
  <si>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</si>
  <si>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</si>
  <si>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</si>
  <si>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</si>
  <si>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</si>
  <si>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</si>
  <si>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</si>
  <si>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</si>
  <si>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</si>
  <si>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</si>
  <si>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</si>
  <si>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</si>
  <si>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</si>
  <si>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</si>
  <si>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</si>
  <si>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</si>
  <si>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</si>
  <si>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</si>
  <si>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</si>
  <si>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</si>
  <si>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</si>
  <si>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</si>
  <si>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</si>
  <si>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</si>
  <si>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</si>
  <si>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</si>
  <si>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</si>
  <si>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</si>
  <si>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</si>
  <si>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</si>
  <si>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</si>
  <si>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</si>
  <si>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</si>
  <si>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</si>
  <si>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</si>
  <si>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</si>
  <si>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</si>
  <si>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</si>
  <si>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</si>
  <si>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</si>
  <si>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</si>
  <si>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</si>
  <si>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</si>
  <si>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</si>
  <si>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</si>
  <si>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</si>
  <si>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</si>
  <si>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</si>
  <si>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</si>
  <si>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</si>
  <si>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</si>
  <si>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</si>
  <si>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</si>
  <si>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</si>
  <si>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</si>
  <si>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</si>
  <si>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</si>
  <si>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</si>
  <si>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</si>
  <si>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</si>
  <si>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</si>
  <si>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</si>
  <si>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</si>
  <si>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</si>
  <si>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</si>
  <si>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</si>
  <si>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</si>
  <si>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</si>
  <si>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</si>
  <si>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</si>
  <si>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</si>
  <si>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</si>
  <si>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</si>
  <si>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</si>
  <si>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</si>
  <si>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</si>
  <si>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</si>
  <si>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</si>
  <si>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</si>
  <si>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</si>
  <si>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</si>
  <si>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</si>
  <si>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</si>
  <si>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</si>
  <si>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</si>
  <si>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</si>
  <si>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</si>
  <si>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</si>
  <si>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</si>
  <si>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</si>
  <si>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</si>
  <si>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</si>
  <si>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</si>
  <si>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</si>
  <si>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</si>
  <si>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</si>
  <si>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</si>
  <si>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</si>
  <si>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</si>
  <si>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</si>
  <si>
    <t>ERROR ERROR ERROR</t>
  </si>
  <si>
    <t>Contactors &amp; Overloads</t>
  </si>
  <si>
    <t>JOB TOTAL</t>
  </si>
  <si>
    <t>REFRESH ME</t>
  </si>
  <si>
    <t>NOTES</t>
  </si>
  <si>
    <t>There are currently no special notes</t>
  </si>
  <si>
    <t>Job</t>
  </si>
  <si>
    <t>Things to include in notes</t>
  </si>
  <si>
    <t>DOL, EC, 0-10V, VSD?</t>
  </si>
  <si>
    <t>Ducted or not?</t>
  </si>
  <si>
    <t>Is this mech elec or not?</t>
  </si>
  <si>
    <r>
      <t>1.</t>
    </r>
    <r>
      <rPr>
        <sz val="7"/>
        <color theme="1"/>
        <rFont val="Times New Roman"/>
        <family val="1"/>
      </rPr>
      <t xml:space="preserve">    </t>
    </r>
    <r>
      <rPr>
        <sz val="11"/>
        <color theme="1"/>
        <rFont val="Tahoma"/>
        <family val="2"/>
      </rPr>
      <t xml:space="preserve">Strip out or demolition works </t>
    </r>
  </si>
  <si>
    <r>
      <t>2.</t>
    </r>
    <r>
      <rPr>
        <sz val="7"/>
        <color theme="1"/>
        <rFont val="Times New Roman"/>
        <family val="1"/>
      </rPr>
      <t xml:space="preserve">    </t>
    </r>
    <r>
      <rPr>
        <sz val="11"/>
        <color theme="1"/>
        <rFont val="Tahoma"/>
        <family val="2"/>
      </rPr>
      <t>Cabling from MSSB's to BMS system</t>
    </r>
  </si>
  <si>
    <r>
      <t>3.</t>
    </r>
    <r>
      <rPr>
        <sz val="7"/>
        <color theme="1"/>
        <rFont val="Times New Roman"/>
        <family val="1"/>
      </rPr>
      <t xml:space="preserve">    </t>
    </r>
    <r>
      <rPr>
        <sz val="11"/>
        <color theme="1"/>
        <rFont val="Tahoma"/>
        <family val="2"/>
      </rPr>
      <t>Cabling from MSB to MSSBs</t>
    </r>
  </si>
  <si>
    <r>
      <t>4.</t>
    </r>
    <r>
      <rPr>
        <sz val="7"/>
        <color theme="1"/>
        <rFont val="Times New Roman"/>
        <family val="1"/>
      </rPr>
      <t xml:space="preserve">    </t>
    </r>
    <r>
      <rPr>
        <sz val="11"/>
        <color theme="1"/>
        <rFont val="Tahoma"/>
        <family val="2"/>
      </rPr>
      <t>Fire cabling from FIP.</t>
    </r>
  </si>
  <si>
    <r>
      <t>5.</t>
    </r>
    <r>
      <rPr>
        <sz val="7"/>
        <color theme="1"/>
        <rFont val="Times New Roman"/>
        <family val="1"/>
      </rPr>
      <t xml:space="preserve">    </t>
    </r>
    <r>
      <rPr>
        <sz val="11"/>
        <color theme="1"/>
        <rFont val="Tahoma"/>
        <family val="2"/>
      </rPr>
      <t>All interfacing controls to BMS (except for BMS terminals in MSSB’s)</t>
    </r>
  </si>
  <si>
    <r>
      <t>6.</t>
    </r>
    <r>
      <rPr>
        <sz val="7"/>
        <color theme="1"/>
        <rFont val="Times New Roman"/>
        <family val="1"/>
      </rPr>
      <t xml:space="preserve">    </t>
    </r>
    <r>
      <rPr>
        <sz val="11"/>
        <color theme="1"/>
        <rFont val="Tahoma"/>
        <family val="2"/>
      </rPr>
      <t xml:space="preserve">Local power supply and isolator for locally powered units. </t>
    </r>
  </si>
  <si>
    <r>
      <t>7.</t>
    </r>
    <r>
      <rPr>
        <sz val="7"/>
        <color theme="1"/>
        <rFont val="Times New Roman"/>
        <family val="1"/>
      </rPr>
      <t xml:space="preserve">    </t>
    </r>
    <r>
      <rPr>
        <sz val="11"/>
        <color theme="1"/>
        <rFont val="Tahoma"/>
        <family val="2"/>
      </rPr>
      <t xml:space="preserve">Proprietary air-conditioning controllers supply and installation. </t>
    </r>
  </si>
  <si>
    <r>
      <t>8.</t>
    </r>
    <r>
      <rPr>
        <sz val="7"/>
        <color theme="1"/>
        <rFont val="Times New Roman"/>
        <family val="1"/>
      </rPr>
      <t xml:space="preserve">    </t>
    </r>
    <r>
      <rPr>
        <sz val="11"/>
        <color theme="1"/>
        <rFont val="Tahoma"/>
        <family val="2"/>
      </rPr>
      <t>Interface card for air-conditioning controllers.</t>
    </r>
  </si>
  <si>
    <t>GENERAL EXCLUSIONS</t>
  </si>
  <si>
    <t>ERVS</t>
  </si>
  <si>
    <t>DOL Exhaust Fans</t>
  </si>
  <si>
    <t>[LOCATION]</t>
  </si>
  <si>
    <t>[CLIENT]</t>
  </si>
  <si>
    <t>[JOB NAME]</t>
  </si>
  <si>
    <t>Travel Calcs</t>
  </si>
  <si>
    <t>Job (in Days)</t>
  </si>
  <si>
    <t>Number of Guys</t>
  </si>
  <si>
    <t>Job Time</t>
  </si>
  <si>
    <t>Travel Cost (per Hour)</t>
  </si>
  <si>
    <t>Accomodation Required?</t>
  </si>
  <si>
    <t>Travel Allowance?</t>
  </si>
  <si>
    <t>LAHA?</t>
  </si>
  <si>
    <t>Accomodation Cost</t>
  </si>
  <si>
    <t>Days Away</t>
  </si>
  <si>
    <t>Accom Cost</t>
  </si>
  <si>
    <t>LAHA Cost</t>
  </si>
  <si>
    <t>&lt;------------</t>
  </si>
  <si>
    <t>Cable Time</t>
  </si>
  <si>
    <t>Cable Cost</t>
  </si>
  <si>
    <t>Cable hr/m</t>
  </si>
  <si>
    <t>Cable Cost/m</t>
  </si>
  <si>
    <t>Cable/m</t>
  </si>
  <si>
    <t>Cable ($)</t>
  </si>
  <si>
    <t>Cable (t)</t>
  </si>
  <si>
    <t>Cable
(t/m)</t>
  </si>
  <si>
    <t>Contactor</t>
  </si>
  <si>
    <t>mssb 2</t>
  </si>
  <si>
    <t>mssb 3</t>
  </si>
  <si>
    <t>Overloads</t>
  </si>
  <si>
    <t>Template Version</t>
  </si>
  <si>
    <t>Unit</t>
  </si>
  <si>
    <t>t [U]</t>
  </si>
  <si>
    <t>$ [U]</t>
  </si>
  <si>
    <t>Cost [$]</t>
  </si>
  <si>
    <t xml:space="preserve">Constant Labour Costs </t>
  </si>
  <si>
    <t>Name</t>
  </si>
  <si>
    <t>Value</t>
  </si>
  <si>
    <t>Local_With_Isolator</t>
  </si>
  <si>
    <t>Local_WithOUT_Isolator</t>
  </si>
  <si>
    <t>C - 2.5mm Twin and Earth</t>
  </si>
  <si>
    <t>C - Switchboard Cable 1mm</t>
  </si>
  <si>
    <t>C - 7030 2 pair TCAS7302P</t>
  </si>
  <si>
    <t>C - 4mm Cable 3 core and Earth</t>
  </si>
  <si>
    <t>C - 6mm Cable 3 core and Earth</t>
  </si>
  <si>
    <t>C - Network cable</t>
  </si>
  <si>
    <t>C - FRC3025+E</t>
  </si>
  <si>
    <t>Run-On Timer</t>
  </si>
  <si>
    <t>KEF [Facet]</t>
  </si>
  <si>
    <t>Run &amp; Fault LEDs [Facet]</t>
  </si>
  <si>
    <t>VSD [Facet]</t>
  </si>
  <si>
    <t>Run Status Light [Facet]</t>
  </si>
  <si>
    <t>Local Switch [Facet]</t>
  </si>
  <si>
    <t>Time Clock [Facet]</t>
  </si>
  <si>
    <t>Run-On Timer [Facet]</t>
  </si>
  <si>
    <t>Mechanical Thermostat [Facet]</t>
  </si>
  <si>
    <t>Reed Switch [Facet]</t>
  </si>
  <si>
    <t>Please don't touch these without updating the template, please</t>
  </si>
  <si>
    <t>TOTALS</t>
  </si>
  <si>
    <t>Ingredients</t>
  </si>
  <si>
    <t>Recipe</t>
  </si>
  <si>
    <t>Sum</t>
  </si>
  <si>
    <t>Fan Count</t>
  </si>
  <si>
    <t>Back end calcs, don't touch</t>
  </si>
  <si>
    <t>KEEP</t>
  </si>
  <si>
    <t>[Unit Name]</t>
  </si>
  <si>
    <t>High Number</t>
  </si>
  <si>
    <t>Indoor_With_Iso</t>
  </si>
  <si>
    <t>Indoor_WithOUT_Iso</t>
  </si>
  <si>
    <t>Push Button [Facet]</t>
  </si>
  <si>
    <t>AC Count</t>
  </si>
  <si>
    <t>Small [Size]</t>
  </si>
  <si>
    <t>Medium [Size]</t>
  </si>
  <si>
    <t>Large [Size]</t>
  </si>
  <si>
    <t>Chiller Count</t>
  </si>
  <si>
    <t>3ph Make Safe &amp; Disconnect</t>
  </si>
  <si>
    <t>1ph Make Safe &amp; Disconnect</t>
  </si>
  <si>
    <t>[Unit ID]</t>
  </si>
  <si>
    <t>Header</t>
  </si>
  <si>
    <t>, BMS Provisions</t>
  </si>
  <si>
    <t>, Reed Switch</t>
  </si>
  <si>
    <t>, Mechanical Thermostat</t>
  </si>
  <si>
    <t>, Run-On Timer</t>
  </si>
  <si>
    <t>, Time Clock</t>
  </si>
  <si>
    <t>, Local Switch</t>
  </si>
  <si>
    <t>, Run Status Light</t>
  </si>
  <si>
    <t>, VSD</t>
  </si>
  <si>
    <t>, Run &amp; Fault LEDs</t>
  </si>
  <si>
    <t>, KEF</t>
  </si>
  <si>
    <t>CONCAT</t>
  </si>
  <si>
    <t>Power</t>
  </si>
  <si>
    <t xml:space="preserve">Power for system includes: </t>
  </si>
  <si>
    <t>Head</t>
  </si>
  <si>
    <t>Out String</t>
  </si>
  <si>
    <t>Indoor unit for Local Isolator (by others)</t>
  </si>
  <si>
    <t>Indoor unit for Local Isolator</t>
  </si>
  <si>
    <t>, Interlock with Local Switch</t>
  </si>
  <si>
    <t>, Interlock with Lighting Circuit</t>
  </si>
  <si>
    <t>, Interlock with Associated Units</t>
  </si>
  <si>
    <t>, Interlock</t>
  </si>
  <si>
    <t>, Fire Shutdown</t>
  </si>
  <si>
    <t>, Push Button</t>
  </si>
  <si>
    <t>MSSB power supply</t>
  </si>
  <si>
    <t>local power supply from local isolator</t>
  </si>
  <si>
    <t>local power supply from local isolator (by others)</t>
  </si>
  <si>
    <t>Package Units</t>
  </si>
  <si>
    <t>Split System</t>
  </si>
  <si>
    <t>Central Controller</t>
  </si>
  <si>
    <t>Outdoor Condenser from Local Isolator</t>
  </si>
  <si>
    <t>Outdoor Condenser from MSSB</t>
  </si>
  <si>
    <t>H</t>
  </si>
  <si>
    <t>, Small VSD</t>
  </si>
  <si>
    <t>, Medium VSD</t>
  </si>
  <si>
    <t>, Large VSD</t>
  </si>
  <si>
    <t>Fire Essential</t>
  </si>
  <si>
    <t>VSD Size</t>
  </si>
  <si>
    <t>make safe &amp; disconnect</t>
  </si>
  <si>
    <t>single</t>
  </si>
  <si>
    <t>AC</t>
  </si>
  <si>
    <t>Motion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</si>
</sst>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 numFmtId="174" formatCode="0.0\ &quot;Hrs&quot;"/>
    <numFmt numFmtId="175" formatCode="#\ &quot;Guys&quot;"/>
    <numFmt numFmtId="176" formatCode="####.0\ &quot;Days&quot;"/>
    <numFmt numFmtId="177" formatCode="&quot;$&quot;####.00&quot;/Day&quot;"/>
    <numFmt numFmtId="178" formatCode="&quot;Rev &quot;0.00"/>
    <numFmt numFmtId="179" formatCode="_-* #,##0.00_-;\-* #,##0.00_-;_-* &quot;-&quot;_-;_-@_-"/>
  </numFmts>
  <fonts count="46"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
      <b/>
      <sz val="15"/>
      <color theme="3"/>
      <name val="Consolas"/>
      <family val="2"/>
    </font>
    <font>
      <b/>
      <sz val="15"/>
      <name val="Consolas"/>
      <family val="2"/>
    </font>
    <font>
      <b/>
      <sz val="11"/>
      <name val="Consolas"/>
      <family val="2"/>
    </font>
    <font>
      <sz val="11"/>
      <name val="Calibri"/>
      <family val="2"/>
      <scheme val="minor"/>
    </font>
    <font>
      <sz val="7"/>
      <color theme="1"/>
      <name val="Times New Roman"/>
      <family val="1"/>
    </font>
  </fonts>
  <fills count="45">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
      <patternFill patternType="solid">
        <fgColor theme="5"/>
      </patternFill>
    </fill>
    <fill>
      <patternFill patternType="solid">
        <fgColor theme="8" tint="0.79998168889431442"/>
        <bgColor indexed="65"/>
      </patternFill>
    </fill>
  </fills>
  <borders count="79">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
      <left/>
      <right/>
      <top/>
      <bottom style="thick">
        <color theme="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style="thin">
        <color rgb="FF3F3F3F"/>
      </left>
      <right/>
      <top/>
      <bottom/>
      <diagonal/>
    </border>
    <border>
      <left/>
      <right style="thin">
        <color rgb="FF3F3F3F"/>
      </right>
      <top/>
      <bottom/>
      <diagonal/>
    </border>
    <border>
      <left/>
      <right style="thin">
        <color rgb="FF7F7F7F"/>
      </right>
      <top style="thin">
        <color rgb="FF7F7F7F"/>
      </top>
      <bottom style="thin">
        <color rgb="FF7F7F7F"/>
      </bottom>
      <diagonal/>
    </border>
  </borders>
  <cellStyleXfs count="21">
    <xf numFmtId="0" fontId="0" fillId="0" borderId="0"/>
    <xf numFmtId="42" fontId="27" fillId="0" borderId="0" applyFont="0" applyFill="0" applyBorder="0" applyAlignment="0" applyProtection="0"/>
    <xf numFmtId="0" fontId="28" fillId="25" borderId="21" applyNumberFormat="0" applyAlignment="0" applyProtection="0"/>
    <xf numFmtId="9" fontId="27" fillId="0" borderId="0" applyFont="0" applyFill="0" applyBorder="0" applyAlignment="0" applyProtection="0"/>
    <xf numFmtId="44" fontId="27" fillId="0" borderId="0" applyFont="0" applyFill="0" applyBorder="0" applyAlignment="0" applyProtection="0"/>
    <xf numFmtId="0" fontId="30" fillId="26" borderId="0" applyNumberFormat="0" applyBorder="0" applyAlignment="0" applyProtection="0"/>
    <xf numFmtId="0" fontId="31" fillId="27" borderId="21" applyNumberFormat="0" applyAlignment="0" applyProtection="0"/>
    <xf numFmtId="0" fontId="32" fillId="25" borderId="22" applyNumberFormat="0" applyAlignment="0" applyProtection="0"/>
    <xf numFmtId="43" fontId="27" fillId="0" borderId="0" applyFont="0" applyFill="0" applyBorder="0" applyAlignment="0" applyProtection="0"/>
    <xf numFmtId="0" fontId="35" fillId="32" borderId="0" applyNumberFormat="0" applyBorder="0" applyAlignment="0" applyProtection="0"/>
    <xf numFmtId="0" fontId="36" fillId="0" borderId="0" applyNumberFormat="0" applyFill="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27" fillId="38" borderId="44" applyNumberFormat="0" applyFont="0" applyAlignment="0" applyProtection="0"/>
    <xf numFmtId="0" fontId="3" fillId="39" borderId="0" applyNumberFormat="0" applyBorder="0" applyAlignment="0" applyProtection="0"/>
    <xf numFmtId="0" fontId="39" fillId="40" borderId="0" applyNumberFormat="0" applyBorder="0" applyAlignment="0" applyProtection="0"/>
    <xf numFmtId="0" fontId="2" fillId="41" borderId="0" applyNumberFormat="0" applyBorder="0" applyAlignment="0" applyProtection="0"/>
    <xf numFmtId="0" fontId="41" fillId="0" borderId="57" applyNumberFormat="0" applyFill="0" applyAlignment="0" applyProtection="0"/>
    <xf numFmtId="41" fontId="27" fillId="0" borderId="0" applyFont="0" applyFill="0" applyBorder="0" applyAlignment="0" applyProtection="0"/>
    <xf numFmtId="0" fontId="30" fillId="43" borderId="0" applyNumberFormat="0" applyBorder="0" applyAlignment="0" applyProtection="0"/>
  </cellStyleXfs>
  <cellXfs count="595">
    <xf numFmtId="0" fontId="0" fillId="0" borderId="0" xfId="0"/>
    <xf numFmtId="0" fontId="0" fillId="2" borderId="0" xfId="0" applyFill="1"/>
    <xf numFmtId="0" fontId="9" fillId="3" borderId="0" xfId="0" applyFont="1" applyFill="1" applyAlignment="1">
      <alignment wrapText="1"/>
    </xf>
    <xf numFmtId="0" fontId="0" fillId="0" borderId="1" xfId="0" applyBorder="1"/>
    <xf numFmtId="0" fontId="10" fillId="4" borderId="2" xfId="0" applyFont="1" applyFill="1" applyBorder="1" applyAlignment="1">
      <alignment vertical="center" wrapText="1"/>
    </xf>
    <xf numFmtId="0" fontId="11" fillId="4" borderId="2" xfId="0" applyFont="1" applyFill="1" applyBorder="1" applyAlignment="1">
      <alignment vertical="center" wrapText="1"/>
    </xf>
    <xf numFmtId="0" fontId="10" fillId="4" borderId="3" xfId="0" applyFont="1" applyFill="1" applyBorder="1" applyAlignment="1">
      <alignment vertical="center" wrapText="1"/>
    </xf>
    <xf numFmtId="0" fontId="11" fillId="4" borderId="3" xfId="0" applyFont="1" applyFill="1" applyBorder="1" applyAlignment="1">
      <alignment vertical="center" wrapText="1"/>
    </xf>
    <xf numFmtId="0" fontId="0" fillId="5" borderId="0" xfId="0" applyFill="1"/>
    <xf numFmtId="0" fontId="9"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8" fillId="6" borderId="1" xfId="0" applyFont="1" applyFill="1" applyBorder="1" applyAlignment="1">
      <alignment wrapText="1"/>
    </xf>
    <xf numFmtId="0" fontId="0" fillId="11" borderId="1" xfId="0" applyFill="1" applyBorder="1"/>
    <xf numFmtId="0" fontId="12" fillId="7" borderId="0" xfId="0" applyFont="1" applyFill="1" applyAlignment="1">
      <alignment wrapText="1"/>
    </xf>
    <xf numFmtId="0" fontId="12" fillId="7" borderId="0" xfId="0" applyFont="1" applyFill="1" applyAlignment="1">
      <alignment vertical="top" wrapText="1"/>
    </xf>
    <xf numFmtId="44" fontId="0" fillId="8" borderId="0" xfId="0" applyNumberFormat="1" applyFill="1" applyBorder="1"/>
    <xf numFmtId="0" fontId="0" fillId="0" borderId="0" xfId="0"/>
    <xf numFmtId="0" fontId="6" fillId="0" borderId="0" xfId="0" applyFont="1"/>
    <xf numFmtId="0" fontId="9" fillId="0" borderId="0" xfId="0" applyFont="1"/>
    <xf numFmtId="0" fontId="7" fillId="0" borderId="0" xfId="0" applyFont="1"/>
    <xf numFmtId="164" fontId="0" fillId="0" borderId="0" xfId="0" applyNumberFormat="1"/>
    <xf numFmtId="0" fontId="9" fillId="0" borderId="1" xfId="0" applyFont="1" applyBorder="1"/>
    <xf numFmtId="0" fontId="0" fillId="0" borderId="1" xfId="0" applyBorder="1"/>
    <xf numFmtId="0" fontId="0" fillId="9" borderId="0" xfId="0" applyFill="1"/>
    <xf numFmtId="0" fontId="6" fillId="9" borderId="0" xfId="0" applyFont="1" applyFill="1"/>
    <xf numFmtId="164" fontId="6"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3" fillId="9" borderId="0" xfId="0" applyFont="1" applyFill="1"/>
    <xf numFmtId="0" fontId="14" fillId="9" borderId="0" xfId="0" applyFont="1" applyFill="1"/>
    <xf numFmtId="164" fontId="14"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9"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9"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5"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9" fillId="19" borderId="1" xfId="0" applyFont="1" applyFill="1" applyBorder="1" applyAlignment="1">
      <alignment wrapText="1"/>
    </xf>
    <xf numFmtId="0" fontId="0" fillId="19" borderId="0" xfId="0" applyFill="1" applyBorder="1"/>
    <xf numFmtId="0" fontId="16" fillId="19" borderId="0" xfId="0" applyFont="1" applyFill="1" applyBorder="1"/>
    <xf numFmtId="0" fontId="8" fillId="6" borderId="5" xfId="0" applyFont="1" applyFill="1" applyBorder="1" applyAlignment="1">
      <alignment wrapText="1"/>
    </xf>
    <xf numFmtId="0" fontId="16" fillId="19" borderId="1" xfId="0" applyFont="1" applyFill="1" applyBorder="1"/>
    <xf numFmtId="0" fontId="0" fillId="21" borderId="0" xfId="0" applyFill="1"/>
    <xf numFmtId="0" fontId="9"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9"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9"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9"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9" fillId="3" borderId="0" xfId="0" applyFont="1" applyFill="1" applyAlignment="1">
      <alignment wrapText="1"/>
    </xf>
    <xf numFmtId="0" fontId="0" fillId="0" borderId="1" xfId="0" applyBorder="1"/>
    <xf numFmtId="0" fontId="9"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8"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9"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9"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5"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9" fillId="19" borderId="1" xfId="0" applyFont="1" applyFill="1" applyBorder="1" applyAlignment="1">
      <alignment wrapText="1"/>
    </xf>
    <xf numFmtId="0" fontId="8" fillId="6" borderId="5" xfId="0" applyFont="1" applyFill="1" applyBorder="1" applyAlignment="1">
      <alignment wrapText="1"/>
    </xf>
    <xf numFmtId="0" fontId="16" fillId="19" borderId="1" xfId="0" applyFont="1" applyFill="1" applyBorder="1"/>
    <xf numFmtId="0" fontId="0" fillId="21" borderId="0" xfId="0" applyFill="1"/>
    <xf numFmtId="0" fontId="9" fillId="21" borderId="0" xfId="0" applyFont="1" applyFill="1" applyAlignment="1">
      <alignment wrapText="1"/>
    </xf>
    <xf numFmtId="0" fontId="0" fillId="6" borderId="1" xfId="0" applyFill="1" applyBorder="1" applyAlignment="1">
      <alignment horizontal="center"/>
    </xf>
    <xf numFmtId="0" fontId="9"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9" fillId="21" borderId="1" xfId="0" applyFont="1" applyFill="1" applyBorder="1" applyAlignment="1">
      <alignment wrapText="1"/>
    </xf>
    <xf numFmtId="164" fontId="15" fillId="0" borderId="6" xfId="0" applyNumberFormat="1" applyFont="1" applyBorder="1"/>
    <xf numFmtId="44" fontId="0" fillId="13" borderId="4" xfId="0" applyNumberFormat="1" applyFill="1" applyBorder="1"/>
    <xf numFmtId="0" fontId="9"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9" fillId="19" borderId="14" xfId="0" applyNumberFormat="1" applyFont="1" applyFill="1" applyBorder="1"/>
    <xf numFmtId="44" fontId="19"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20" fillId="17" borderId="0" xfId="0" applyFont="1" applyFill="1"/>
    <xf numFmtId="0" fontId="21" fillId="13" borderId="0" xfId="0" applyFont="1" applyFill="1"/>
    <xf numFmtId="44" fontId="21" fillId="13" borderId="11" xfId="0" applyNumberFormat="1" applyFont="1" applyFill="1" applyBorder="1"/>
    <xf numFmtId="44" fontId="21" fillId="13" borderId="13" xfId="0" applyNumberFormat="1" applyFont="1" applyFill="1" applyBorder="1"/>
    <xf numFmtId="0" fontId="21" fillId="13" borderId="9" xfId="0" applyFont="1" applyFill="1" applyBorder="1"/>
    <xf numFmtId="0" fontId="21" fillId="13" borderId="15" xfId="0" applyFont="1" applyFill="1" applyBorder="1"/>
    <xf numFmtId="0" fontId="21" fillId="13" borderId="11" xfId="0" applyFont="1" applyFill="1" applyBorder="1"/>
    <xf numFmtId="0" fontId="21" fillId="13" borderId="1" xfId="0" applyFont="1" applyFill="1" applyBorder="1"/>
    <xf numFmtId="0" fontId="20" fillId="0" borderId="0" xfId="0" applyFont="1"/>
    <xf numFmtId="0" fontId="22" fillId="0" borderId="1" xfId="0" applyFont="1" applyBorder="1"/>
    <xf numFmtId="164" fontId="22" fillId="0" borderId="1" xfId="0" applyNumberFormat="1" applyFont="1" applyBorder="1"/>
    <xf numFmtId="0" fontId="22" fillId="3" borderId="0" xfId="0" applyFont="1" applyFill="1" applyAlignment="1">
      <alignment wrapText="1"/>
    </xf>
    <xf numFmtId="0" fontId="20" fillId="8" borderId="0" xfId="0" applyFont="1" applyFill="1"/>
    <xf numFmtId="0" fontId="20" fillId="0" borderId="0" xfId="0" applyFont="1" applyAlignment="1">
      <alignment wrapText="1"/>
    </xf>
    <xf numFmtId="0" fontId="20" fillId="21" borderId="0" xfId="0" applyFont="1" applyFill="1"/>
    <xf numFmtId="0" fontId="20" fillId="12" borderId="0" xfId="0" applyFont="1" applyFill="1"/>
    <xf numFmtId="0" fontId="20" fillId="2" borderId="0" xfId="0" applyFont="1" applyFill="1"/>
    <xf numFmtId="0" fontId="20" fillId="0" borderId="1" xfId="0" applyFont="1" applyBorder="1" applyAlignment="1">
      <alignment wrapText="1"/>
    </xf>
    <xf numFmtId="0" fontId="22" fillId="3" borderId="1" xfId="0" applyFont="1" applyFill="1" applyBorder="1" applyAlignment="1">
      <alignment wrapText="1"/>
    </xf>
    <xf numFmtId="0" fontId="20" fillId="0" borderId="1" xfId="0" applyFont="1" applyBorder="1"/>
    <xf numFmtId="0" fontId="20" fillId="8" borderId="1" xfId="0" applyFont="1" applyFill="1" applyBorder="1"/>
    <xf numFmtId="0" fontId="23" fillId="0" borderId="1" xfId="0" applyFont="1" applyBorder="1"/>
    <xf numFmtId="0" fontId="17" fillId="3" borderId="1" xfId="0" applyFont="1" applyFill="1" applyBorder="1" applyAlignment="1">
      <alignment wrapText="1"/>
    </xf>
    <xf numFmtId="0" fontId="23" fillId="8" borderId="1" xfId="0" applyFont="1" applyFill="1" applyBorder="1"/>
    <xf numFmtId="0" fontId="23" fillId="0" borderId="0" xfId="0" applyFont="1"/>
    <xf numFmtId="0" fontId="17" fillId="0" borderId="1" xfId="0" applyFont="1" applyBorder="1"/>
    <xf numFmtId="10" fontId="17" fillId="0" borderId="1" xfId="0" applyNumberFormat="1" applyFont="1" applyBorder="1"/>
    <xf numFmtId="0" fontId="17" fillId="3" borderId="0" xfId="0" applyFont="1" applyFill="1" applyAlignment="1">
      <alignment wrapText="1"/>
    </xf>
    <xf numFmtId="0" fontId="23" fillId="8" borderId="0" xfId="0" applyFont="1" applyFill="1"/>
    <xf numFmtId="164" fontId="15" fillId="0" borderId="0" xfId="0" applyNumberFormat="1" applyFont="1"/>
    <xf numFmtId="44" fontId="22"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20" fillId="13" borderId="1" xfId="0" applyFont="1" applyFill="1" applyBorder="1"/>
    <xf numFmtId="0" fontId="20" fillId="13" borderId="1" xfId="0" applyFont="1" applyFill="1" applyBorder="1" applyAlignment="1">
      <alignment wrapText="1"/>
    </xf>
    <xf numFmtId="44" fontId="20" fillId="13" borderId="1" xfId="0" applyNumberFormat="1" applyFont="1" applyFill="1" applyBorder="1"/>
    <xf numFmtId="164" fontId="15" fillId="13" borderId="1" xfId="0" applyNumberFormat="1" applyFont="1" applyFill="1" applyBorder="1"/>
    <xf numFmtId="0" fontId="20" fillId="0" borderId="8" xfId="0" applyFont="1" applyBorder="1" applyAlignment="1">
      <alignment wrapText="1"/>
    </xf>
    <xf numFmtId="0" fontId="0" fillId="0" borderId="5" xfId="0" applyBorder="1"/>
    <xf numFmtId="0" fontId="17" fillId="3" borderId="5" xfId="0" applyFont="1" applyFill="1" applyBorder="1" applyAlignment="1">
      <alignment wrapText="1"/>
    </xf>
    <xf numFmtId="0" fontId="20" fillId="7" borderId="1" xfId="0" applyFont="1" applyFill="1" applyBorder="1" applyAlignment="1">
      <alignment wrapText="1"/>
    </xf>
    <xf numFmtId="0" fontId="23" fillId="0" borderId="17" xfId="0" applyFont="1" applyBorder="1"/>
    <xf numFmtId="0" fontId="23" fillId="0" borderId="6" xfId="0" applyFont="1" applyBorder="1"/>
    <xf numFmtId="0" fontId="23" fillId="17" borderId="7" xfId="0" applyFont="1" applyFill="1" applyBorder="1"/>
    <xf numFmtId="0" fontId="20" fillId="0" borderId="6" xfId="0" applyFont="1" applyBorder="1" applyAlignment="1">
      <alignment wrapText="1"/>
    </xf>
    <xf numFmtId="44" fontId="23" fillId="13" borderId="17" xfId="0" applyNumberFormat="1" applyFont="1" applyFill="1" applyBorder="1"/>
    <xf numFmtId="44" fontId="0" fillId="19" borderId="6" xfId="0" applyNumberFormat="1" applyFill="1" applyBorder="1"/>
    <xf numFmtId="44" fontId="23" fillId="13" borderId="18" xfId="0" applyNumberFormat="1" applyFont="1" applyFill="1" applyBorder="1"/>
    <xf numFmtId="44" fontId="23" fillId="13" borderId="19" xfId="0" applyNumberFormat="1" applyFont="1" applyFill="1" applyBorder="1"/>
    <xf numFmtId="44" fontId="0" fillId="21" borderId="6" xfId="0" applyNumberFormat="1" applyFill="1" applyBorder="1"/>
    <xf numFmtId="44" fontId="23" fillId="13" borderId="20" xfId="0" applyNumberFormat="1" applyFont="1" applyFill="1" applyBorder="1"/>
    <xf numFmtId="0" fontId="0" fillId="0" borderId="5" xfId="0" applyBorder="1" applyAlignment="1">
      <alignment wrapText="1"/>
    </xf>
    <xf numFmtId="0" fontId="9" fillId="3" borderId="5" xfId="0" applyFont="1" applyFill="1" applyBorder="1" applyAlignment="1">
      <alignment wrapText="1"/>
    </xf>
    <xf numFmtId="0" fontId="20" fillId="17" borderId="1" xfId="0" applyFont="1" applyFill="1" applyBorder="1"/>
    <xf numFmtId="0" fontId="0" fillId="17" borderId="1" xfId="0" applyFill="1" applyBorder="1"/>
    <xf numFmtId="164" fontId="6" fillId="0" borderId="1" xfId="0" applyNumberFormat="1" applyFont="1" applyBorder="1"/>
    <xf numFmtId="0" fontId="0" fillId="13" borderId="1" xfId="0" applyFill="1" applyBorder="1"/>
    <xf numFmtId="0" fontId="20" fillId="0" borderId="1" xfId="0" applyFont="1" applyBorder="1" applyAlignment="1">
      <alignment horizontal="center" vertical="center"/>
    </xf>
    <xf numFmtId="0" fontId="20" fillId="17" borderId="1" xfId="0" applyFont="1" applyFill="1" applyBorder="1" applyAlignment="1">
      <alignment horizontal="center" vertical="center"/>
    </xf>
    <xf numFmtId="0" fontId="20" fillId="0" borderId="1" xfId="0" applyFont="1" applyBorder="1" applyAlignment="1">
      <alignment horizontal="center" vertical="center" wrapText="1"/>
    </xf>
    <xf numFmtId="0" fontId="18" fillId="22" borderId="1" xfId="0" applyFont="1" applyFill="1" applyBorder="1" applyAlignment="1">
      <alignment horizontal="center" wrapText="1"/>
    </xf>
    <xf numFmtId="0" fontId="25" fillId="0" borderId="1" xfId="0" applyFont="1" applyBorder="1" applyAlignment="1">
      <alignment horizontal="center" vertical="center"/>
    </xf>
    <xf numFmtId="0" fontId="25" fillId="0" borderId="0" xfId="0" applyFont="1" applyAlignment="1">
      <alignment horizontal="center" vertical="center"/>
    </xf>
    <xf numFmtId="0" fontId="25" fillId="8" borderId="0" xfId="0" applyFont="1" applyFill="1" applyAlignment="1">
      <alignment horizontal="center" vertical="center"/>
    </xf>
    <xf numFmtId="0" fontId="0" fillId="24" borderId="0" xfId="0" applyFill="1"/>
    <xf numFmtId="0" fontId="20" fillId="24" borderId="0" xfId="0" applyFont="1" applyFill="1"/>
    <xf numFmtId="0" fontId="9" fillId="24" borderId="0" xfId="0" applyFont="1" applyFill="1" applyAlignment="1">
      <alignment wrapText="1"/>
    </xf>
    <xf numFmtId="0" fontId="12" fillId="24" borderId="0" xfId="0" applyFont="1" applyFill="1"/>
    <xf numFmtId="0" fontId="18" fillId="22" borderId="1" xfId="0" applyFont="1" applyFill="1" applyBorder="1" applyAlignment="1">
      <alignment horizontal="center" vertical="center" wrapText="1"/>
    </xf>
    <xf numFmtId="0" fontId="18" fillId="13" borderId="1" xfId="0" applyFont="1" applyFill="1" applyBorder="1" applyAlignment="1">
      <alignment horizontal="center" vertical="center"/>
    </xf>
    <xf numFmtId="0" fontId="18" fillId="24" borderId="0" xfId="0" applyFont="1" applyFill="1" applyAlignment="1">
      <alignment horizontal="center" vertical="center"/>
    </xf>
    <xf numFmtId="0" fontId="18" fillId="22" borderId="1" xfId="0" quotePrefix="1" applyFont="1" applyFill="1" applyBorder="1" applyAlignment="1">
      <alignment horizontal="center" vertical="center" wrapText="1"/>
    </xf>
    <xf numFmtId="0" fontId="18" fillId="13" borderId="1" xfId="0" quotePrefix="1" applyFont="1" applyFill="1" applyBorder="1" applyAlignment="1">
      <alignment horizontal="center" vertical="center"/>
    </xf>
    <xf numFmtId="0" fontId="18" fillId="17" borderId="1" xfId="0" quotePrefix="1" applyFont="1" applyFill="1" applyBorder="1" applyAlignment="1">
      <alignment horizontal="center" vertical="center"/>
    </xf>
    <xf numFmtId="22" fontId="26"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8" fillId="22" borderId="1" xfId="1" applyFont="1" applyFill="1" applyBorder="1" applyAlignment="1">
      <alignment horizontal="center" wrapText="1"/>
    </xf>
    <xf numFmtId="42" fontId="9" fillId="3" borderId="0" xfId="1" applyFont="1" applyFill="1" applyAlignment="1">
      <alignment wrapText="1"/>
    </xf>
    <xf numFmtId="42" fontId="0" fillId="8" borderId="0" xfId="1" applyFont="1" applyFill="1"/>
    <xf numFmtId="42" fontId="20" fillId="13" borderId="1" xfId="1" applyFont="1" applyFill="1" applyBorder="1"/>
    <xf numFmtId="0" fontId="0" fillId="0" borderId="0" xfId="0" applyAlignment="1">
      <alignment wrapText="1"/>
    </xf>
    <xf numFmtId="0" fontId="0" fillId="8" borderId="0" xfId="0" applyFill="1" applyAlignment="1">
      <alignment wrapText="1"/>
    </xf>
    <xf numFmtId="44" fontId="20" fillId="13" borderId="1" xfId="0" applyNumberFormat="1" applyFont="1" applyFill="1" applyBorder="1" applyAlignment="1">
      <alignment wrapText="1"/>
    </xf>
    <xf numFmtId="0" fontId="17" fillId="3" borderId="1" xfId="0" applyFont="1" applyFill="1" applyBorder="1" applyAlignment="1">
      <alignment horizontal="center" vertical="center" wrapText="1"/>
    </xf>
    <xf numFmtId="0" fontId="28" fillId="25" borderId="21" xfId="2"/>
    <xf numFmtId="10" fontId="28" fillId="25" borderId="21" xfId="2" applyNumberFormat="1"/>
    <xf numFmtId="0" fontId="28" fillId="25" borderId="21" xfId="2" applyAlignment="1">
      <alignment wrapText="1"/>
    </xf>
    <xf numFmtId="0" fontId="28" fillId="25" borderId="21" xfId="2" applyAlignment="1">
      <alignment horizontal="center" wrapText="1"/>
    </xf>
    <xf numFmtId="44" fontId="28" fillId="25" borderId="21" xfId="2" applyNumberFormat="1"/>
    <xf numFmtId="42" fontId="28" fillId="25" borderId="21" xfId="2" applyNumberFormat="1"/>
    <xf numFmtId="42" fontId="0" fillId="0" borderId="0" xfId="0" applyNumberFormat="1"/>
    <xf numFmtId="0" fontId="18" fillId="3" borderId="1" xfId="0" applyFont="1" applyFill="1" applyBorder="1" applyAlignment="1">
      <alignment horizontal="center" vertical="center" wrapText="1"/>
    </xf>
    <xf numFmtId="0" fontId="18"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6"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30" fillId="26" borderId="21" xfId="5" applyBorder="1"/>
    <xf numFmtId="0" fontId="28" fillId="25" borderId="21" xfId="2" applyAlignment="1">
      <alignment horizontal="right"/>
    </xf>
    <xf numFmtId="0" fontId="28" fillId="25" borderId="21" xfId="2" applyAlignment="1">
      <alignment horizontal="center"/>
    </xf>
    <xf numFmtId="0" fontId="33" fillId="25" borderId="22" xfId="7" applyFont="1"/>
    <xf numFmtId="0" fontId="31" fillId="27" borderId="21" xfId="6"/>
    <xf numFmtId="44" fontId="32" fillId="25" borderId="22" xfId="4" applyFont="1" applyFill="1" applyBorder="1"/>
    <xf numFmtId="0" fontId="32" fillId="25" borderId="22" xfId="7" applyAlignment="1">
      <alignment horizontal="right"/>
    </xf>
    <xf numFmtId="0" fontId="33"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4"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6" fillId="0" borderId="28" xfId="0" applyFont="1" applyBorder="1"/>
    <xf numFmtId="0" fontId="6" fillId="0" borderId="18" xfId="0" applyFont="1" applyBorder="1"/>
    <xf numFmtId="0" fontId="6" fillId="0" borderId="29" xfId="0" applyFont="1" applyBorder="1"/>
    <xf numFmtId="0" fontId="0" fillId="36" borderId="0" xfId="0" applyFont="1" applyFill="1"/>
    <xf numFmtId="0" fontId="0" fillId="0" borderId="0" xfId="0" applyFont="1"/>
    <xf numFmtId="0" fontId="36" fillId="0" borderId="0" xfId="10"/>
    <xf numFmtId="0" fontId="36" fillId="0" borderId="0" xfId="10" applyFill="1" applyBorder="1"/>
    <xf numFmtId="0" fontId="35" fillId="32" borderId="0" xfId="9"/>
    <xf numFmtId="0" fontId="0" fillId="37" borderId="0" xfId="0" applyFont="1" applyFill="1"/>
    <xf numFmtId="43" fontId="0" fillId="0" borderId="0" xfId="8" applyFont="1"/>
    <xf numFmtId="0" fontId="4" fillId="33" borderId="0" xfId="11" applyAlignment="1">
      <alignment horizontal="right"/>
    </xf>
    <xf numFmtId="44" fontId="4" fillId="33" borderId="0" xfId="11" applyNumberFormat="1"/>
    <xf numFmtId="0" fontId="4" fillId="33" borderId="0" xfId="11"/>
    <xf numFmtId="170" fontId="4" fillId="33" borderId="0" xfId="11" applyNumberFormat="1"/>
    <xf numFmtId="44" fontId="4" fillId="34" borderId="0" xfId="12" applyNumberFormat="1"/>
    <xf numFmtId="0" fontId="4" fillId="35" borderId="0" xfId="13"/>
    <xf numFmtId="0" fontId="33" fillId="25" borderId="30" xfId="7" applyFont="1" applyBorder="1" applyAlignment="1">
      <alignment horizontal="right"/>
    </xf>
    <xf numFmtId="170" fontId="28" fillId="25" borderId="21" xfId="2" applyNumberFormat="1"/>
    <xf numFmtId="0" fontId="33" fillId="25" borderId="31" xfId="7" applyFont="1" applyBorder="1" applyAlignment="1">
      <alignment horizontal="right"/>
    </xf>
    <xf numFmtId="0" fontId="35" fillId="32" borderId="32" xfId="9" applyBorder="1" applyAlignment="1">
      <alignment horizontal="center" vertical="center"/>
    </xf>
    <xf numFmtId="0" fontId="35" fillId="32" borderId="33" xfId="9" applyBorder="1" applyAlignment="1">
      <alignment horizontal="center" vertical="center"/>
    </xf>
    <xf numFmtId="0" fontId="35" fillId="32" borderId="34" xfId="9" applyBorder="1" applyAlignment="1">
      <alignment horizontal="center" vertical="center"/>
    </xf>
    <xf numFmtId="43" fontId="32" fillId="25" borderId="22" xfId="8" applyFont="1" applyFill="1" applyBorder="1"/>
    <xf numFmtId="43" fontId="4" fillId="34" borderId="0" xfId="8" applyFont="1" applyFill="1"/>
    <xf numFmtId="44" fontId="32" fillId="25" borderId="22" xfId="7" applyNumberFormat="1" applyAlignment="1">
      <alignment horizontal="right"/>
    </xf>
    <xf numFmtId="42" fontId="33" fillId="25" borderId="22" xfId="7" applyNumberFormat="1" applyFont="1" applyAlignment="1">
      <alignment horizontal="right"/>
    </xf>
    <xf numFmtId="43" fontId="33" fillId="25" borderId="22" xfId="8" applyFont="1" applyFill="1" applyBorder="1" applyAlignment="1">
      <alignment horizontal="right"/>
    </xf>
    <xf numFmtId="0" fontId="33" fillId="25" borderId="30" xfId="7" applyFont="1" applyBorder="1" applyAlignment="1">
      <alignment horizontal="center" vertical="center"/>
    </xf>
    <xf numFmtId="43" fontId="33" fillId="25" borderId="22" xfId="7" applyNumberFormat="1" applyFont="1" applyAlignment="1">
      <alignment horizontal="center" vertical="center"/>
    </xf>
    <xf numFmtId="44" fontId="33" fillId="25" borderId="30" xfId="7" applyNumberFormat="1" applyFont="1" applyBorder="1" applyAlignment="1">
      <alignment horizontal="center" vertical="center"/>
    </xf>
    <xf numFmtId="0" fontId="0" fillId="6" borderId="0" xfId="0" applyFill="1"/>
    <xf numFmtId="0" fontId="28" fillId="25" borderId="35" xfId="2" applyBorder="1"/>
    <xf numFmtId="0" fontId="0" fillId="0" borderId="23" xfId="0" applyBorder="1"/>
    <xf numFmtId="0" fontId="0" fillId="0" borderId="25" xfId="0" applyBorder="1"/>
    <xf numFmtId="0" fontId="28" fillId="25" borderId="36" xfId="2" applyBorder="1"/>
    <xf numFmtId="0" fontId="28"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4" fillId="33" borderId="24" xfId="11" applyBorder="1"/>
    <xf numFmtId="0" fontId="4" fillId="33" borderId="27" xfId="11" applyBorder="1"/>
    <xf numFmtId="0" fontId="4" fillId="35" borderId="24" xfId="13" applyBorder="1"/>
    <xf numFmtId="0" fontId="4" fillId="35" borderId="27" xfId="13" applyBorder="1"/>
    <xf numFmtId="0" fontId="4" fillId="34" borderId="24" xfId="12" applyBorder="1"/>
    <xf numFmtId="0" fontId="4" fillId="34" borderId="27" xfId="12" applyBorder="1"/>
    <xf numFmtId="0" fontId="28" fillId="25" borderId="38" xfId="2" applyBorder="1"/>
    <xf numFmtId="164" fontId="28"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4" fillId="33" borderId="42" xfId="11" applyBorder="1"/>
    <xf numFmtId="0" fontId="4" fillId="34" borderId="42" xfId="12" applyBorder="1"/>
    <xf numFmtId="0" fontId="4" fillId="35" borderId="42" xfId="13" applyBorder="1"/>
    <xf numFmtId="164" fontId="0" fillId="0" borderId="42" xfId="0" applyNumberFormat="1" applyBorder="1"/>
    <xf numFmtId="164" fontId="0" fillId="0" borderId="27" xfId="0" applyNumberFormat="1" applyBorder="1"/>
    <xf numFmtId="0" fontId="28" fillId="25" borderId="43" xfId="2" applyBorder="1"/>
    <xf numFmtId="42" fontId="28"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8"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8"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9"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4" fillId="33" borderId="40" xfId="3" applyFont="1" applyFill="1" applyBorder="1"/>
    <xf numFmtId="9" fontId="4" fillId="33" borderId="23" xfId="3" applyFont="1" applyFill="1" applyBorder="1"/>
    <xf numFmtId="9" fontId="4" fillId="33" borderId="25" xfId="3" applyFont="1" applyFill="1" applyBorder="1"/>
    <xf numFmtId="9" fontId="4" fillId="34" borderId="40" xfId="3" applyFont="1" applyFill="1" applyBorder="1"/>
    <xf numFmtId="9" fontId="4" fillId="34" borderId="23" xfId="3" applyFont="1" applyFill="1" applyBorder="1"/>
    <xf numFmtId="9" fontId="4" fillId="34" borderId="25" xfId="3" applyFont="1" applyFill="1" applyBorder="1"/>
    <xf numFmtId="9" fontId="4" fillId="35" borderId="40" xfId="3" applyFont="1" applyFill="1" applyBorder="1"/>
    <xf numFmtId="9" fontId="4" fillId="35" borderId="23" xfId="3" applyFont="1" applyFill="1" applyBorder="1"/>
    <xf numFmtId="9" fontId="4" fillId="35" borderId="25" xfId="3" applyFont="1" applyFill="1" applyBorder="1"/>
    <xf numFmtId="44" fontId="17" fillId="3" borderId="1" xfId="4" applyFont="1" applyFill="1" applyBorder="1" applyAlignment="1">
      <alignment horizontal="center" vertical="center" wrapText="1"/>
    </xf>
    <xf numFmtId="44" fontId="9" fillId="7" borderId="0" xfId="0" applyNumberFormat="1" applyFont="1" applyFill="1" applyAlignment="1">
      <alignment wrapText="1"/>
    </xf>
    <xf numFmtId="0" fontId="0" fillId="0" borderId="0" xfId="0" applyAlignment="1"/>
    <xf numFmtId="0" fontId="6" fillId="0" borderId="0" xfId="0" applyFont="1" applyAlignment="1">
      <alignment horizontal="center" vertical="top"/>
    </xf>
    <xf numFmtId="44" fontId="6" fillId="0" borderId="0" xfId="4" applyFont="1" applyAlignment="1">
      <alignment horizontal="center" vertical="top"/>
    </xf>
    <xf numFmtId="0" fontId="6" fillId="0" borderId="0" xfId="0" applyFont="1" applyAlignment="1">
      <alignment horizontal="center" vertical="top" wrapText="1"/>
    </xf>
    <xf numFmtId="0" fontId="28" fillId="25" borderId="21" xfId="2" applyAlignment="1">
      <alignment horizontal="center" vertical="center" wrapText="1"/>
    </xf>
    <xf numFmtId="0" fontId="28" fillId="25" borderId="21" xfId="2" applyAlignment="1">
      <alignment horizontal="center" vertical="center"/>
    </xf>
    <xf numFmtId="0" fontId="6"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7" fillId="0" borderId="0" xfId="0" applyFont="1" applyAlignment="1">
      <alignment horizontal="center" vertical="top"/>
    </xf>
    <xf numFmtId="44" fontId="37" fillId="0" borderId="0" xfId="4" applyFont="1" applyAlignment="1">
      <alignment horizontal="center" vertical="top"/>
    </xf>
    <xf numFmtId="0" fontId="37" fillId="0" borderId="0" xfId="0" applyFont="1" applyAlignment="1">
      <alignment horizontal="center" vertical="top" wrapText="1"/>
    </xf>
    <xf numFmtId="0" fontId="6" fillId="0" borderId="32" xfId="0" applyFont="1" applyBorder="1" applyAlignment="1">
      <alignment horizontal="center" vertical="center"/>
    </xf>
    <xf numFmtId="0" fontId="38" fillId="0" borderId="0" xfId="0" applyFont="1" applyAlignment="1">
      <alignment horizontal="center"/>
    </xf>
    <xf numFmtId="0" fontId="38" fillId="0" borderId="0" xfId="0" applyFont="1"/>
    <xf numFmtId="44" fontId="38" fillId="0" borderId="0" xfId="4" applyFont="1"/>
    <xf numFmtId="0" fontId="38" fillId="0" borderId="33" xfId="0" applyFont="1" applyBorder="1"/>
    <xf numFmtId="0" fontId="37" fillId="0" borderId="40" xfId="0" applyFont="1" applyBorder="1" applyAlignment="1">
      <alignment horizontal="center" vertical="top" wrapText="1"/>
    </xf>
    <xf numFmtId="0" fontId="37" fillId="0" borderId="42" xfId="0" applyFont="1" applyBorder="1" applyAlignment="1">
      <alignment horizontal="center" vertical="top" wrapText="1"/>
    </xf>
    <xf numFmtId="0" fontId="37" fillId="0" borderId="40" xfId="0" applyFont="1" applyBorder="1" applyAlignment="1">
      <alignment horizontal="center" vertical="top"/>
    </xf>
    <xf numFmtId="0" fontId="37" fillId="0" borderId="42" xfId="0" applyFont="1" applyBorder="1" applyAlignment="1">
      <alignment horizontal="center" vertical="top"/>
    </xf>
    <xf numFmtId="0" fontId="37" fillId="0" borderId="41" xfId="0" applyFont="1" applyBorder="1" applyAlignment="1">
      <alignment horizontal="center" vertical="top" wrapText="1"/>
    </xf>
    <xf numFmtId="0" fontId="38" fillId="0" borderId="23" xfId="0" applyFont="1" applyBorder="1"/>
    <xf numFmtId="0" fontId="38" fillId="0" borderId="24" xfId="0" applyFont="1" applyBorder="1"/>
    <xf numFmtId="0" fontId="0" fillId="0" borderId="0" xfId="0" applyFont="1" applyBorder="1"/>
    <xf numFmtId="0" fontId="0" fillId="0" borderId="0" xfId="0" applyFont="1" applyFill="1" applyBorder="1"/>
    <xf numFmtId="44" fontId="6" fillId="0" borderId="0" xfId="4" applyFont="1"/>
    <xf numFmtId="0" fontId="3" fillId="39" borderId="0" xfId="15"/>
    <xf numFmtId="43" fontId="0" fillId="0" borderId="0" xfId="0" applyNumberFormat="1"/>
    <xf numFmtId="170" fontId="28" fillId="25" borderId="38" xfId="2" applyNumberFormat="1" applyBorder="1"/>
    <xf numFmtId="0" fontId="0" fillId="0" borderId="0" xfId="0" applyFill="1" applyBorder="1"/>
    <xf numFmtId="0" fontId="28" fillId="25" borderId="40" xfId="2" applyBorder="1"/>
    <xf numFmtId="44" fontId="0" fillId="0" borderId="40" xfId="0" applyNumberFormat="1" applyBorder="1"/>
    <xf numFmtId="44" fontId="0" fillId="0" borderId="23" xfId="0" applyNumberFormat="1" applyBorder="1"/>
    <xf numFmtId="0" fontId="28" fillId="25" borderId="37" xfId="2" applyBorder="1" applyAlignment="1">
      <alignment horizontal="right"/>
    </xf>
    <xf numFmtId="0" fontId="39" fillId="40" borderId="0" xfId="16"/>
    <xf numFmtId="0" fontId="0" fillId="0" borderId="34" xfId="0" applyBorder="1"/>
    <xf numFmtId="0" fontId="0" fillId="0" borderId="53" xfId="0" applyBorder="1"/>
    <xf numFmtId="44" fontId="28" fillId="25" borderId="43" xfId="2" applyNumberFormat="1" applyBorder="1" applyAlignment="1">
      <alignment horizontal="right"/>
    </xf>
    <xf numFmtId="170" fontId="6" fillId="0" borderId="41" xfId="0" applyNumberFormat="1" applyFont="1" applyBorder="1"/>
    <xf numFmtId="0" fontId="28" fillId="25" borderId="42" xfId="2" applyBorder="1" applyAlignment="1">
      <alignment horizontal="right"/>
    </xf>
    <xf numFmtId="0" fontId="0" fillId="0" borderId="33" xfId="0" applyFill="1" applyBorder="1"/>
    <xf numFmtId="0" fontId="2" fillId="41" borderId="0" xfId="17" applyAlignment="1">
      <alignment horizontal="center"/>
    </xf>
    <xf numFmtId="0" fontId="2" fillId="35" borderId="0" xfId="13" applyFont="1"/>
    <xf numFmtId="171" fontId="6" fillId="0" borderId="40" xfId="0" applyNumberFormat="1" applyFont="1" applyBorder="1"/>
    <xf numFmtId="171" fontId="6" fillId="0" borderId="42" xfId="0" applyNumberFormat="1" applyFont="1" applyBorder="1"/>
    <xf numFmtId="171" fontId="0" fillId="0" borderId="24" xfId="0" applyNumberFormat="1" applyBorder="1"/>
    <xf numFmtId="171" fontId="0" fillId="0" borderId="25" xfId="0" applyNumberFormat="1" applyBorder="1"/>
    <xf numFmtId="9" fontId="39"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8" fillId="25" borderId="39" xfId="2" applyNumberFormat="1" applyBorder="1"/>
    <xf numFmtId="0" fontId="39" fillId="40" borderId="53" xfId="16" applyBorder="1" applyAlignment="1">
      <alignment horizontal="center" vertical="center"/>
    </xf>
    <xf numFmtId="173" fontId="0" fillId="0" borderId="0" xfId="8" applyNumberFormat="1" applyFont="1"/>
    <xf numFmtId="0" fontId="28" fillId="25" borderId="56" xfId="2" applyBorder="1"/>
    <xf numFmtId="0" fontId="40" fillId="0" borderId="29" xfId="0" applyFont="1" applyBorder="1"/>
    <xf numFmtId="9" fontId="40" fillId="0" borderId="34" xfId="3" applyFont="1" applyBorder="1" applyAlignment="1">
      <alignment horizontal="center" vertical="center"/>
    </xf>
    <xf numFmtId="0" fontId="40" fillId="0" borderId="53" xfId="0" applyFont="1" applyBorder="1" applyAlignment="1">
      <alignment horizontal="center" vertical="center"/>
    </xf>
    <xf numFmtId="0" fontId="40" fillId="0" borderId="34" xfId="0" applyFont="1" applyBorder="1" applyAlignment="1">
      <alignment horizontal="center" vertical="center"/>
    </xf>
    <xf numFmtId="0" fontId="6" fillId="42" borderId="0" xfId="0" applyFont="1" applyFill="1"/>
    <xf numFmtId="0" fontId="0" fillId="0" borderId="0" xfId="0" quotePrefix="1"/>
    <xf numFmtId="171" fontId="0" fillId="0" borderId="23" xfId="0" applyNumberFormat="1" applyBorder="1" applyAlignment="1">
      <alignment wrapText="1"/>
    </xf>
    <xf numFmtId="0" fontId="43" fillId="13" borderId="36" xfId="2" applyFont="1" applyFill="1" applyBorder="1"/>
    <xf numFmtId="0" fontId="43" fillId="13" borderId="37" xfId="2" applyFont="1" applyFill="1" applyBorder="1" applyAlignment="1">
      <alignment wrapText="1"/>
    </xf>
    <xf numFmtId="0" fontId="44" fillId="13" borderId="15" xfId="0" applyFont="1" applyFill="1" applyBorder="1"/>
    <xf numFmtId="0" fontId="44" fillId="13" borderId="16" xfId="0" applyFont="1" applyFill="1" applyBorder="1" applyAlignment="1">
      <alignment wrapText="1"/>
    </xf>
    <xf numFmtId="0" fontId="44" fillId="13" borderId="16" xfId="0" applyFont="1" applyFill="1" applyBorder="1"/>
    <xf numFmtId="0" fontId="44" fillId="13" borderId="11" xfId="0" applyFont="1" applyFill="1" applyBorder="1"/>
    <xf numFmtId="0" fontId="44" fillId="13" borderId="12" xfId="0" applyFont="1" applyFill="1" applyBorder="1"/>
    <xf numFmtId="0" fontId="43" fillId="13" borderId="37" xfId="2" applyFont="1" applyFill="1" applyBorder="1"/>
    <xf numFmtId="167" fontId="28" fillId="25" borderId="21" xfId="2" applyNumberFormat="1" applyAlignment="1">
      <alignment horizontal="center" vertical="center"/>
    </xf>
    <xf numFmtId="1" fontId="28" fillId="25" borderId="21" xfId="2" applyNumberFormat="1" applyAlignment="1">
      <alignment horizontal="center" vertical="center"/>
    </xf>
    <xf numFmtId="174" fontId="43" fillId="13" borderId="38" xfId="2" applyNumberFormat="1" applyFont="1" applyFill="1" applyBorder="1" applyAlignment="1">
      <alignment horizontal="center" vertical="center"/>
    </xf>
    <xf numFmtId="1" fontId="43" fillId="13" borderId="38" xfId="2" applyNumberFormat="1" applyFont="1" applyFill="1" applyBorder="1" applyAlignment="1">
      <alignment horizontal="center" vertical="center"/>
    </xf>
    <xf numFmtId="174" fontId="44" fillId="13" borderId="1" xfId="0" applyNumberFormat="1" applyFont="1" applyFill="1" applyBorder="1" applyAlignment="1">
      <alignment horizontal="center" vertical="center"/>
    </xf>
    <xf numFmtId="1" fontId="44" fillId="13" borderId="1" xfId="0" applyNumberFormat="1" applyFont="1" applyFill="1" applyBorder="1" applyAlignment="1">
      <alignment horizontal="center" vertical="center"/>
    </xf>
    <xf numFmtId="174" fontId="44" fillId="13" borderId="58" xfId="0" applyNumberFormat="1" applyFont="1" applyFill="1" applyBorder="1" applyAlignment="1">
      <alignment horizontal="center" vertical="center"/>
    </xf>
    <xf numFmtId="1" fontId="44" fillId="13" borderId="58" xfId="0" applyNumberFormat="1" applyFont="1" applyFill="1" applyBorder="1" applyAlignment="1">
      <alignment horizontal="center" vertical="center"/>
    </xf>
    <xf numFmtId="0" fontId="44" fillId="13" borderId="1" xfId="0" applyFont="1" applyFill="1" applyBorder="1" applyAlignment="1">
      <alignment horizontal="center" vertical="center"/>
    </xf>
    <xf numFmtId="0" fontId="44" fillId="13" borderId="58" xfId="0" applyFont="1" applyFill="1" applyBorder="1" applyAlignment="1">
      <alignment horizontal="center" vertical="center"/>
    </xf>
    <xf numFmtId="0" fontId="40" fillId="0" borderId="25" xfId="0" applyFont="1" applyBorder="1" applyAlignment="1">
      <alignment horizontal="left" vertical="center" indent="2"/>
    </xf>
    <xf numFmtId="0" fontId="40" fillId="0" borderId="59" xfId="0" applyFont="1" applyBorder="1" applyAlignment="1">
      <alignment horizontal="left" vertical="center" indent="2"/>
    </xf>
    <xf numFmtId="0" fontId="0" fillId="0" borderId="60" xfId="0" applyBorder="1"/>
    <xf numFmtId="0" fontId="0" fillId="0" borderId="61" xfId="0" applyBorder="1"/>
    <xf numFmtId="0" fontId="44" fillId="13" borderId="65" xfId="0" applyFont="1" applyFill="1" applyBorder="1"/>
    <xf numFmtId="174" fontId="44" fillId="13" borderId="4" xfId="0" applyNumberFormat="1" applyFont="1" applyFill="1" applyBorder="1" applyAlignment="1">
      <alignment horizontal="center" vertical="center"/>
    </xf>
    <xf numFmtId="0" fontId="44" fillId="13" borderId="4" xfId="0" applyFont="1" applyFill="1" applyBorder="1" applyAlignment="1">
      <alignment horizontal="center" vertical="center"/>
    </xf>
    <xf numFmtId="0" fontId="44" fillId="13" borderId="66" xfId="0" applyFont="1" applyFill="1" applyBorder="1"/>
    <xf numFmtId="1" fontId="28" fillId="25" borderId="21" xfId="2" applyNumberFormat="1" applyAlignment="1">
      <alignment horizontal="center"/>
    </xf>
    <xf numFmtId="0" fontId="28" fillId="25" borderId="21" xfId="2" applyAlignment="1">
      <alignment horizontal="left" vertical="top" wrapText="1"/>
    </xf>
    <xf numFmtId="0" fontId="43" fillId="13" borderId="37" xfId="2" applyFont="1" applyFill="1" applyBorder="1" applyAlignment="1">
      <alignment horizontal="left" vertical="top" wrapText="1"/>
    </xf>
    <xf numFmtId="0" fontId="44" fillId="13" borderId="16" xfId="0" applyFont="1" applyFill="1" applyBorder="1" applyAlignment="1">
      <alignment horizontal="left" vertical="top" wrapText="1"/>
    </xf>
    <xf numFmtId="0" fontId="43" fillId="13" borderId="37" xfId="2" applyFont="1" applyFill="1" applyBorder="1" applyAlignment="1">
      <alignment horizontal="left" vertical="top"/>
    </xf>
    <xf numFmtId="0" fontId="0" fillId="0" borderId="67" xfId="0" applyBorder="1"/>
    <xf numFmtId="176" fontId="0" fillId="0" borderId="42" xfId="0" applyNumberFormat="1" applyBorder="1"/>
    <xf numFmtId="176" fontId="0" fillId="0" borderId="27" xfId="0" applyNumberFormat="1" applyBorder="1"/>
    <xf numFmtId="168" fontId="0" fillId="0" borderId="24" xfId="0" applyNumberFormat="1" applyBorder="1"/>
    <xf numFmtId="44" fontId="0" fillId="0" borderId="27" xfId="4" applyFont="1" applyBorder="1"/>
    <xf numFmtId="177" fontId="0" fillId="0" borderId="42" xfId="0" applyNumberFormat="1" applyBorder="1"/>
    <xf numFmtId="177" fontId="0" fillId="0" borderId="24" xfId="0" applyNumberFormat="1" applyBorder="1"/>
    <xf numFmtId="175" fontId="31" fillId="27" borderId="21" xfId="6" applyNumberFormat="1"/>
    <xf numFmtId="170" fontId="31" fillId="27" borderId="21" xfId="6" applyNumberFormat="1"/>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6" fillId="0" borderId="42"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Border="1" applyAlignment="1">
      <alignment horizontal="center" vertical="top" wrapText="1"/>
    </xf>
    <xf numFmtId="0" fontId="38" fillId="0" borderId="0" xfId="0" applyFont="1" applyBorder="1"/>
    <xf numFmtId="0" fontId="37" fillId="0" borderId="0" xfId="0" applyFont="1" applyBorder="1" applyAlignment="1">
      <alignment horizontal="center" vertical="top"/>
    </xf>
    <xf numFmtId="0" fontId="0" fillId="24" borderId="0" xfId="0" applyFont="1" applyFill="1"/>
    <xf numFmtId="0" fontId="6" fillId="24" borderId="0" xfId="0" applyFont="1" applyFill="1" applyAlignment="1">
      <alignment horizontal="center" vertical="center"/>
    </xf>
    <xf numFmtId="178" fontId="0" fillId="0" borderId="0" xfId="0" applyNumberFormat="1" applyAlignment="1">
      <alignment horizontal="center"/>
    </xf>
    <xf numFmtId="0" fontId="6" fillId="0" borderId="0" xfId="0" applyFont="1" applyBorder="1"/>
    <xf numFmtId="0" fontId="4" fillId="35" borderId="0" xfId="13" applyBorder="1" applyAlignment="1">
      <alignment horizontal="center"/>
    </xf>
    <xf numFmtId="44" fontId="0" fillId="0" borderId="0" xfId="4" applyFont="1" applyBorder="1"/>
    <xf numFmtId="44" fontId="1" fillId="44" borderId="0" xfId="4" applyFont="1" applyFill="1" applyBorder="1" applyAlignment="1">
      <alignment horizontal="center"/>
    </xf>
    <xf numFmtId="44" fontId="4" fillId="34" borderId="0" xfId="4" applyFont="1" applyFill="1" applyBorder="1" applyAlignment="1">
      <alignment horizontal="center"/>
    </xf>
    <xf numFmtId="0" fontId="0" fillId="0" borderId="0" xfId="0" applyBorder="1" applyAlignment="1">
      <alignment horizontal="center"/>
    </xf>
    <xf numFmtId="44" fontId="0" fillId="0" borderId="0" xfId="4" applyFont="1" applyBorder="1" applyAlignment="1">
      <alignment horizontal="center"/>
    </xf>
    <xf numFmtId="0" fontId="6" fillId="0" borderId="0" xfId="0" applyFont="1" applyBorder="1" applyAlignment="1">
      <alignment horizontal="center"/>
    </xf>
    <xf numFmtId="44" fontId="6" fillId="0" borderId="0" xfId="4" applyFont="1" applyBorder="1" applyAlignment="1">
      <alignment horizontal="center"/>
    </xf>
    <xf numFmtId="0" fontId="32" fillId="25" borderId="22" xfId="7" applyAlignment="1">
      <alignment horizontal="center"/>
    </xf>
    <xf numFmtId="0" fontId="32" fillId="25" borderId="22" xfId="7"/>
    <xf numFmtId="0" fontId="0" fillId="0" borderId="0" xfId="0" applyBorder="1" applyAlignment="1">
      <alignment horizontal="left"/>
    </xf>
    <xf numFmtId="0" fontId="6" fillId="0" borderId="0" xfId="0" applyFont="1" applyBorder="1" applyAlignment="1">
      <alignment horizontal="left"/>
    </xf>
    <xf numFmtId="179" fontId="0" fillId="0" borderId="0" xfId="19" applyNumberFormat="1" applyFont="1" applyBorder="1"/>
    <xf numFmtId="0" fontId="41" fillId="0" borderId="57" xfId="18"/>
    <xf numFmtId="0" fontId="28" fillId="25" borderId="78" xfId="2" applyBorder="1"/>
    <xf numFmtId="0" fontId="0" fillId="0" borderId="32" xfId="0" applyBorder="1" applyAlignment="1">
      <alignment horizontal="left"/>
    </xf>
    <xf numFmtId="0" fontId="0" fillId="0" borderId="33" xfId="0" applyBorder="1" applyAlignment="1">
      <alignment horizontal="left"/>
    </xf>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0" fontId="42" fillId="13" borderId="0" xfId="18" applyFont="1" applyFill="1" applyBorder="1" applyAlignment="1">
      <alignment horizontal="center"/>
    </xf>
    <xf numFmtId="0" fontId="44" fillId="13" borderId="11" xfId="0" applyFont="1" applyFill="1" applyBorder="1" applyAlignment="1">
      <alignment horizontal="center" vertical="top" wrapText="1"/>
    </xf>
    <xf numFmtId="0" fontId="44" fillId="13" borderId="58" xfId="0" applyFont="1" applyFill="1" applyBorder="1" applyAlignment="1">
      <alignment horizontal="center" vertical="top" wrapText="1"/>
    </xf>
    <xf numFmtId="0" fontId="44" fillId="13" borderId="12" xfId="0" applyFont="1" applyFill="1" applyBorder="1" applyAlignment="1">
      <alignment horizontal="center" vertical="top" wrapText="1"/>
    </xf>
    <xf numFmtId="0" fontId="43" fillId="13" borderId="62" xfId="2" applyFont="1" applyFill="1" applyBorder="1" applyAlignment="1">
      <alignment horizontal="left"/>
    </xf>
    <xf numFmtId="0" fontId="43" fillId="13" borderId="63" xfId="2" applyFont="1" applyFill="1" applyBorder="1" applyAlignment="1">
      <alignment horizontal="left"/>
    </xf>
    <xf numFmtId="0" fontId="43" fillId="13" borderId="64" xfId="2" applyFont="1" applyFill="1" applyBorder="1" applyAlignment="1">
      <alignment horizontal="left"/>
    </xf>
    <xf numFmtId="0" fontId="41" fillId="0" borderId="57" xfId="18" applyAlignment="1">
      <alignment horizontal="center"/>
    </xf>
    <xf numFmtId="0" fontId="44" fillId="13" borderId="68" xfId="0" applyFont="1" applyFill="1" applyBorder="1" applyAlignment="1">
      <alignment horizontal="center"/>
    </xf>
    <xf numFmtId="0" fontId="44" fillId="13" borderId="18" xfId="0" applyFont="1" applyFill="1" applyBorder="1" applyAlignment="1">
      <alignment horizontal="center"/>
    </xf>
    <xf numFmtId="0" fontId="44" fillId="13" borderId="69" xfId="0" applyFont="1" applyFill="1" applyBorder="1" applyAlignment="1">
      <alignment horizontal="center"/>
    </xf>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9" fillId="3" borderId="1" xfId="0" applyFont="1" applyFill="1" applyBorder="1" applyAlignment="1">
      <alignment horizontal="center" wrapText="1"/>
    </xf>
    <xf numFmtId="0" fontId="9"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8" fillId="0" borderId="1" xfId="0" applyFont="1" applyBorder="1" applyAlignment="1">
      <alignment horizontal="center"/>
    </xf>
    <xf numFmtId="0" fontId="17" fillId="0" borderId="1" xfId="0" applyFont="1" applyBorder="1" applyAlignment="1">
      <alignment horizontal="center"/>
    </xf>
    <xf numFmtId="14" fontId="24" fillId="0" borderId="1" xfId="0" applyNumberFormat="1" applyFont="1" applyBorder="1" applyAlignment="1">
      <alignment horizontal="center"/>
    </xf>
    <xf numFmtId="0" fontId="24" fillId="0" borderId="1" xfId="0" applyFont="1" applyBorder="1" applyAlignment="1">
      <alignment horizontal="center" vertical="center"/>
    </xf>
    <xf numFmtId="0" fontId="20" fillId="0" borderId="0" xfId="0" applyFont="1" applyAlignment="1">
      <alignment horizontal="center"/>
    </xf>
    <xf numFmtId="0" fontId="18" fillId="0" borderId="1" xfId="0" applyFont="1" applyBorder="1" applyAlignment="1">
      <alignment horizontal="center" vertical="center"/>
    </xf>
    <xf numFmtId="0" fontId="24" fillId="0" borderId="1" xfId="0" applyFont="1" applyBorder="1" applyAlignment="1">
      <alignment horizontal="center"/>
    </xf>
    <xf numFmtId="0" fontId="30" fillId="43" borderId="70" xfId="20" applyBorder="1" applyAlignment="1">
      <alignment horizontal="center" vertical="center"/>
    </xf>
    <xf numFmtId="0" fontId="30" fillId="43" borderId="71" xfId="20" applyBorder="1" applyAlignment="1">
      <alignment horizontal="center" vertical="center"/>
    </xf>
    <xf numFmtId="0" fontId="30" fillId="43" borderId="72" xfId="20" applyBorder="1" applyAlignment="1">
      <alignment horizontal="center" vertical="center"/>
    </xf>
    <xf numFmtId="0" fontId="30" fillId="43" borderId="73" xfId="20" applyBorder="1" applyAlignment="1">
      <alignment horizontal="center" vertical="center"/>
    </xf>
    <xf numFmtId="0" fontId="30" fillId="43" borderId="74" xfId="20" applyBorder="1" applyAlignment="1">
      <alignment horizontal="center" vertical="center"/>
    </xf>
    <xf numFmtId="0" fontId="30" fillId="43" borderId="75" xfId="20" applyBorder="1" applyAlignment="1">
      <alignment horizontal="center" vertical="center"/>
    </xf>
    <xf numFmtId="0" fontId="30" fillId="43" borderId="76" xfId="20" applyBorder="1" applyAlignment="1">
      <alignment horizontal="center" vertical="center" wrapText="1"/>
    </xf>
    <xf numFmtId="0" fontId="30" fillId="43" borderId="0" xfId="20" applyBorder="1" applyAlignment="1">
      <alignment horizontal="center" vertical="center" wrapText="1"/>
    </xf>
    <xf numFmtId="0" fontId="30" fillId="43" borderId="77" xfId="20" applyBorder="1" applyAlignment="1">
      <alignment horizontal="center" vertical="center" wrapText="1"/>
    </xf>
    <xf numFmtId="0" fontId="33" fillId="25" borderId="54" xfId="7" applyFont="1" applyBorder="1" applyAlignment="1">
      <alignment horizontal="center"/>
    </xf>
    <xf numFmtId="0" fontId="33" fillId="25" borderId="55" xfId="7" applyFont="1" applyBorder="1" applyAlignment="1">
      <alignment horizontal="center"/>
    </xf>
    <xf numFmtId="0" fontId="33" fillId="25" borderId="31" xfId="7" applyFont="1" applyBorder="1" applyAlignment="1">
      <alignment horizontal="center"/>
    </xf>
  </cellXfs>
  <cellStyles count="21">
    <cellStyle name="20% - Accent1" xfId="11" builtinId="30"/>
    <cellStyle name="20% - Accent2" xfId="12" builtinId="34"/>
    <cellStyle name="20% - Accent3" xfId="13" builtinId="38"/>
    <cellStyle name="20% - Accent6" xfId="15" builtinId="50"/>
    <cellStyle name="60% - Accent2" xfId="17" builtinId="36"/>
    <cellStyle name="Accent2" xfId="20" builtinId="33"/>
    <cellStyle name="Accent5" xfId="5" builtinId="45"/>
    <cellStyle name="Bad" xfId="9" builtinId="27"/>
    <cellStyle name="Calculation" xfId="2" builtinId="22"/>
    <cellStyle name="Comma" xfId="8" builtinId="3"/>
    <cellStyle name="Comma [0]" xfId="19" builtinId="6"/>
    <cellStyle name="Currency" xfId="4" builtinId="4"/>
    <cellStyle name="Currency [0]" xfId="1" builtinId="7"/>
    <cellStyle name="Explanatory Text" xfId="10" builtinId="53"/>
    <cellStyle name="Good" xfId="16" builtinId="26"/>
    <cellStyle name="Heading 1" xfId="18" builtinId="16"/>
    <cellStyle name="Input" xfId="6" builtinId="20"/>
    <cellStyle name="Normal" xfId="0" builtinId="0"/>
    <cellStyle name="Note" xfId="14" builtinId="10"/>
    <cellStyle name="Output" xfId="7" builtinId="21"/>
    <cellStyle name="Percent" xfId="3" builtinId="5"/>
  </cellStyles>
  <dxfs count="865">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font>
        <b/>
        <i/>
        <color theme="5" tint="-0.499984740745262"/>
      </font>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openxmlformats.org/officeDocument/2006/relationships/externalLink" Target="externalLinks/externalLink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Travel/Accommodation</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Summary'!$D$9:$D$15</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Summary'!$O$9:$O$15</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14-4003-91EC-FDCD6C2A54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14-4003-91EC-FDCD6C2A54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369933</xdr:colOff>
      <xdr:row>23</xdr:row>
      <xdr:rowOff>100252</xdr:rowOff>
    </xdr:from>
    <xdr:to>
      <xdr:col>20</xdr:col>
      <xdr:colOff>586343</xdr:colOff>
      <xdr:row>41</xdr:row>
      <xdr:rowOff>110749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333110</xdr:colOff>
      <xdr:row>23</xdr:row>
      <xdr:rowOff>151693</xdr:rowOff>
    </xdr:from>
    <xdr:to>
      <xdr:col>34</xdr:col>
      <xdr:colOff>117118</xdr:colOff>
      <xdr:row>41</xdr:row>
      <xdr:rowOff>162190</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358710</xdr:colOff>
      <xdr:row>1</xdr:row>
      <xdr:rowOff>146586</xdr:rowOff>
    </xdr:from>
    <xdr:to>
      <xdr:col>34</xdr:col>
      <xdr:colOff>1236</xdr:colOff>
      <xdr:row>19</xdr:row>
      <xdr:rowOff>88358</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ogle%20Drive/3.%20Clients/2.%20Tenders/18-0266%20-%20Beenliegh%20Aquatic%20Center/Section%200%20-%20Tender%20Documentation/Tender%20Markup/18-0266%20-%20Beenleigh%20Aquatic%20Center%20-%20MechElec%20-%202.3r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amuel\Desktop\18-0010%20-%20Gallipoli%20Barracks%20-%20MechElec%20-%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MechElec%20-%201.0_S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AC%20Summary"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Controls"/>
      <sheetName val="IGOC_Parts"/>
      <sheetName val="MJS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MSSB"/>
      <sheetName val="_MSSB"/>
      <sheetName val="@Fan"/>
      <sheetName val="_Fan"/>
      <sheetName val="@VRF"/>
      <sheetName val="_VRF"/>
      <sheetName val="@Chiller"/>
      <sheetName val="_Chiller"/>
      <sheetName val="@Other"/>
      <sheetName val="_Other"/>
      <sheetName val="@Car Park"/>
      <sheetName val="Part List"/>
      <sheetName val="IGOC_Parts"/>
      <sheetName val="MJS Contro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Summary"/>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181"/>
  <sheetViews>
    <sheetView zoomScale="85" zoomScaleNormal="85" workbookViewId="0">
      <selection activeCell="N25" sqref="N25"/>
    </sheetView>
  </sheetViews>
  <sheetFormatPr defaultColWidth="9.3046875" defaultRowHeight="14.6" x14ac:dyDescent="0.4"/>
  <cols>
    <col min="1" max="1" width="25.3046875" style="114" bestFit="1" customWidth="1"/>
    <col min="2" max="3" width="13.69140625" style="114" customWidth="1"/>
    <col min="4" max="4" width="22.69140625" style="114" customWidth="1"/>
    <col min="5" max="5" width="16.3046875" style="114" customWidth="1"/>
    <col min="6" max="6" width="12.69140625" style="114" customWidth="1"/>
    <col min="7" max="7" width="15.07421875" style="114" customWidth="1"/>
    <col min="8" max="8" width="10.3046875" style="114" customWidth="1"/>
    <col min="9" max="9" width="12.3046875" style="114" customWidth="1"/>
    <col min="10" max="13" width="10.3046875" style="114" customWidth="1"/>
    <col min="14" max="14" width="14.07421875" style="114" customWidth="1"/>
    <col min="15" max="15" width="12.3046875" style="114" customWidth="1"/>
    <col min="16" max="17" width="9.3046875" style="114"/>
    <col min="18" max="18" width="21.69140625" style="114" customWidth="1"/>
    <col min="19" max="21" width="9.3046875" style="114"/>
    <col min="22" max="26" width="9.3046875" style="114" hidden="1" customWidth="1"/>
    <col min="27" max="33" width="9.3046875" style="114" customWidth="1"/>
    <col min="34" max="16384" width="9.3046875" style="114"/>
  </cols>
  <sheetData>
    <row r="1" spans="1:24" ht="17.600000000000001" thickBot="1" x14ac:dyDescent="0.75">
      <c r="A1" s="385" t="s">
        <v>721</v>
      </c>
      <c r="B1" s="399">
        <f>B13*(1+B4+B5)</f>
        <v>0</v>
      </c>
      <c r="C1" s="473">
        <f>B1</f>
        <v>0</v>
      </c>
      <c r="D1" s="304" t="s">
        <v>1393</v>
      </c>
      <c r="E1" s="531">
        <v>3</v>
      </c>
      <c r="G1" s="529" t="s">
        <v>683</v>
      </c>
      <c r="H1" s="530"/>
      <c r="K1" s="479" t="s">
        <v>1284</v>
      </c>
      <c r="L1" s="474" t="s">
        <v>1256</v>
      </c>
      <c r="M1" s="475"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N1" s="479" t="s">
        <v>1284</v>
      </c>
      <c r="O1" s="415"/>
      <c r="Q1" s="550" t="s">
        <v>929</v>
      </c>
      <c r="R1" s="551"/>
      <c r="S1" s="551"/>
      <c r="T1" s="551"/>
      <c r="U1" s="552"/>
      <c r="W1" s="114" t="s">
        <v>1256</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738</v>
      </c>
      <c r="B2" s="400">
        <f>B13*B5</f>
        <v>0</v>
      </c>
      <c r="D2" s="304" t="s">
        <v>781</v>
      </c>
      <c r="E2" s="114" t="s">
        <v>1365</v>
      </c>
      <c r="G2" s="529" t="s">
        <v>682</v>
      </c>
      <c r="H2" s="530"/>
      <c r="K2" s="479" t="s">
        <v>1284</v>
      </c>
      <c r="L2" s="479" t="s">
        <v>1284</v>
      </c>
      <c r="M2" s="479" t="s">
        <v>1284</v>
      </c>
      <c r="N2" s="479" t="s">
        <v>1284</v>
      </c>
      <c r="O2" s="415"/>
      <c r="Q2" s="553"/>
      <c r="R2" s="554"/>
      <c r="S2" s="554"/>
      <c r="T2" s="554"/>
      <c r="U2" s="555"/>
    </row>
    <row r="3" spans="1:24" x14ac:dyDescent="0.4">
      <c r="A3" s="355" t="s">
        <v>737</v>
      </c>
      <c r="B3" s="401">
        <f>B13*B4</f>
        <v>0</v>
      </c>
      <c r="D3" s="304" t="s">
        <v>783</v>
      </c>
      <c r="E3" s="114" t="s">
        <v>1366</v>
      </c>
      <c r="G3" s="415"/>
      <c r="H3" s="415"/>
      <c r="I3" s="415"/>
      <c r="J3" s="415"/>
      <c r="K3" s="415"/>
      <c r="N3" s="415"/>
      <c r="O3" s="415"/>
      <c r="Q3" s="556"/>
      <c r="R3" s="557"/>
      <c r="S3" s="557"/>
      <c r="T3" s="557"/>
      <c r="U3" s="558"/>
      <c r="W3" s="114" t="s">
        <v>678</v>
      </c>
      <c r="X3" s="114" t="str">
        <f>_xlfn.CONCAT('@MSSB'!Q:Q)</f>
        <v/>
      </c>
    </row>
    <row r="4" spans="1:24" x14ac:dyDescent="0.4">
      <c r="A4" s="355" t="s">
        <v>722</v>
      </c>
      <c r="B4" s="402">
        <v>0.25</v>
      </c>
      <c r="D4" s="304" t="s">
        <v>1349</v>
      </c>
      <c r="E4" s="114" t="s">
        <v>1367</v>
      </c>
      <c r="Q4" s="556"/>
      <c r="R4" s="557"/>
      <c r="S4" s="557"/>
      <c r="T4" s="557"/>
      <c r="U4" s="558"/>
      <c r="W4" s="114" t="s">
        <v>493</v>
      </c>
      <c r="X4" s="114" t="str">
        <f>_xlfn.CONCAT('@Fan'!BC:BC)</f>
        <v/>
      </c>
    </row>
    <row r="5" spans="1:24" ht="15" thickBot="1" x14ac:dyDescent="0.45">
      <c r="A5" s="356" t="s">
        <v>723</v>
      </c>
      <c r="B5" s="403">
        <v>0.03</v>
      </c>
      <c r="Q5" s="556"/>
      <c r="R5" s="557"/>
      <c r="S5" s="557"/>
      <c r="T5" s="557"/>
      <c r="U5" s="558"/>
      <c r="W5" s="114" t="s">
        <v>1328</v>
      </c>
      <c r="X5" s="114" t="str">
        <f>_xlfn.CONCAT('@VRF'!AJ:AJ)</f>
        <v/>
      </c>
    </row>
    <row r="6" spans="1:24" ht="19.75" thickBot="1" x14ac:dyDescent="0.55000000000000004">
      <c r="B6" s="295"/>
      <c r="D6" s="566" t="str">
        <f>_xlfn.CONCAT("SCROLL DOWN FOR ", A46)</f>
        <v>SCROLL DOWN FOR SUMMARY OF MECH/ELEC WORKS: [JOB NAME]</v>
      </c>
      <c r="E6" s="566"/>
      <c r="F6" s="566"/>
      <c r="G6" s="566"/>
      <c r="H6" s="566"/>
      <c r="I6" s="566"/>
      <c r="J6" s="566"/>
      <c r="K6" s="566"/>
      <c r="L6" s="566"/>
      <c r="M6" s="566"/>
      <c r="N6" s="566"/>
      <c r="O6" s="566"/>
      <c r="Q6" s="556"/>
      <c r="R6" s="557"/>
      <c r="S6" s="557"/>
      <c r="T6" s="557"/>
      <c r="U6" s="558"/>
      <c r="W6" s="114" t="s">
        <v>1329</v>
      </c>
      <c r="X6" s="114" t="str">
        <f>_xlfn.CONCAT('@Chiller'!V:V)</f>
        <v/>
      </c>
    </row>
    <row r="7" spans="1:24" ht="15.45" thickTop="1" thickBot="1" x14ac:dyDescent="0.45">
      <c r="A7" s="385" t="s">
        <v>724</v>
      </c>
      <c r="B7" s="395">
        <f>SUM(B8:B11)</f>
        <v>0</v>
      </c>
      <c r="Q7" s="556"/>
      <c r="R7" s="557"/>
      <c r="S7" s="557"/>
      <c r="T7" s="557"/>
      <c r="U7" s="558"/>
      <c r="W7" s="114" t="s">
        <v>680</v>
      </c>
      <c r="X7" s="114" t="str">
        <f>_xlfn.CONCAT('@Other'!N:N)</f>
        <v/>
      </c>
    </row>
    <row r="8" spans="1:24" ht="15" thickBot="1" x14ac:dyDescent="0.45">
      <c r="A8" s="376" t="s">
        <v>716</v>
      </c>
      <c r="B8" s="396">
        <f>SUM(B14:B17)</f>
        <v>0</v>
      </c>
      <c r="D8" s="357" t="s">
        <v>725</v>
      </c>
      <c r="E8" s="445">
        <f>SUM(E9:E15)</f>
        <v>0</v>
      </c>
      <c r="F8" s="374" t="s">
        <v>726</v>
      </c>
      <c r="G8" s="358" t="s">
        <v>782</v>
      </c>
      <c r="H8" s="357" t="s">
        <v>913</v>
      </c>
      <c r="I8" s="358" t="s">
        <v>914</v>
      </c>
      <c r="J8" s="357" t="s">
        <v>915</v>
      </c>
      <c r="K8" s="358" t="s">
        <v>916</v>
      </c>
      <c r="L8" s="357" t="s">
        <v>917</v>
      </c>
      <c r="M8" s="358" t="s">
        <v>716</v>
      </c>
      <c r="N8" s="357" t="s">
        <v>918</v>
      </c>
      <c r="O8" s="358" t="s">
        <v>919</v>
      </c>
      <c r="Q8" s="556"/>
      <c r="R8" s="557"/>
      <c r="S8" s="557"/>
      <c r="T8" s="557"/>
      <c r="U8" s="558"/>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717</v>
      </c>
      <c r="B9" s="397">
        <f>SUM(B19:B23)+B25</f>
        <v>0</v>
      </c>
      <c r="D9" s="376" t="s">
        <v>727</v>
      </c>
      <c r="E9" s="377">
        <f>F19+'@Car Park'!I7</f>
        <v>0</v>
      </c>
      <c r="F9" s="378">
        <v>80</v>
      </c>
      <c r="G9" s="379" t="e">
        <f>E9/E8</f>
        <v>#DIV/0!</v>
      </c>
      <c r="H9" s="404"/>
      <c r="I9" s="380">
        <f>E9*H9</f>
        <v>0</v>
      </c>
      <c r="J9" s="407"/>
      <c r="K9" s="381">
        <f>J9*E9</f>
        <v>0</v>
      </c>
      <c r="L9" s="410"/>
      <c r="M9" s="382">
        <f>L9*E9</f>
        <v>0</v>
      </c>
      <c r="N9" s="377">
        <f>E9+I9+K9+M9</f>
        <v>0</v>
      </c>
      <c r="O9" s="383">
        <f>N9*F9</f>
        <v>0</v>
      </c>
      <c r="Q9" s="556"/>
      <c r="R9" s="557"/>
      <c r="S9" s="557"/>
      <c r="T9" s="557"/>
      <c r="U9" s="558"/>
    </row>
    <row r="10" spans="1:24" x14ac:dyDescent="0.4">
      <c r="A10" s="355" t="s">
        <v>921</v>
      </c>
      <c r="B10" s="397">
        <f>SUM(B35)</f>
        <v>0</v>
      </c>
      <c r="D10" s="355" t="s">
        <v>728</v>
      </c>
      <c r="E10" s="359">
        <f>$E$9*G10</f>
        <v>0</v>
      </c>
      <c r="F10" s="360">
        <v>100</v>
      </c>
      <c r="G10" s="361">
        <v>0.02</v>
      </c>
      <c r="H10" s="405"/>
      <c r="I10" s="368">
        <f t="shared" ref="I10:I15" si="0">E10*H10</f>
        <v>0</v>
      </c>
      <c r="J10" s="408"/>
      <c r="K10" s="372">
        <f t="shared" ref="K10:K15" si="1">J10*E10</f>
        <v>0</v>
      </c>
      <c r="L10" s="411"/>
      <c r="M10" s="370">
        <f t="shared" ref="M10:M15" si="2">L10*E10</f>
        <v>0</v>
      </c>
      <c r="N10" s="359">
        <f t="shared" ref="N10:N15" si="3">E10+I10+K10+M10</f>
        <v>0</v>
      </c>
      <c r="O10" s="367">
        <f t="shared" ref="O10:O15" si="4">N10*F10</f>
        <v>0</v>
      </c>
      <c r="Q10" s="556"/>
      <c r="R10" s="557"/>
      <c r="S10" s="557"/>
      <c r="T10" s="557"/>
      <c r="U10" s="558"/>
    </row>
    <row r="11" spans="1:24" ht="15" thickBot="1" x14ac:dyDescent="0.45">
      <c r="A11" s="356" t="s">
        <v>730</v>
      </c>
      <c r="B11" s="398">
        <v>0</v>
      </c>
      <c r="D11" s="355" t="s">
        <v>729</v>
      </c>
      <c r="E11" s="359">
        <f>$E$9*G11</f>
        <v>0</v>
      </c>
      <c r="F11" s="360">
        <v>85</v>
      </c>
      <c r="G11" s="361">
        <v>0.12</v>
      </c>
      <c r="H11" s="405"/>
      <c r="I11" s="368">
        <f t="shared" si="0"/>
        <v>0</v>
      </c>
      <c r="J11" s="408"/>
      <c r="K11" s="372">
        <f t="shared" si="1"/>
        <v>0</v>
      </c>
      <c r="L11" s="411"/>
      <c r="M11" s="370">
        <f t="shared" si="2"/>
        <v>0</v>
      </c>
      <c r="N11" s="359">
        <f t="shared" si="3"/>
        <v>0</v>
      </c>
      <c r="O11" s="367">
        <f t="shared" si="4"/>
        <v>0</v>
      </c>
      <c r="Q11" s="556"/>
      <c r="R11" s="557"/>
      <c r="S11" s="557"/>
      <c r="T11" s="557"/>
      <c r="U11" s="558"/>
    </row>
    <row r="12" spans="1:24" x14ac:dyDescent="0.4">
      <c r="D12" s="355" t="s">
        <v>731</v>
      </c>
      <c r="E12" s="359">
        <f>$E$9*G12</f>
        <v>0</v>
      </c>
      <c r="F12" s="360">
        <v>80</v>
      </c>
      <c r="G12" s="361">
        <v>0.06</v>
      </c>
      <c r="H12" s="405"/>
      <c r="I12" s="368">
        <f t="shared" si="0"/>
        <v>0</v>
      </c>
      <c r="J12" s="408"/>
      <c r="K12" s="372">
        <f t="shared" si="1"/>
        <v>0</v>
      </c>
      <c r="L12" s="411"/>
      <c r="M12" s="370">
        <f t="shared" si="2"/>
        <v>0</v>
      </c>
      <c r="N12" s="359">
        <f t="shared" si="3"/>
        <v>0</v>
      </c>
      <c r="O12" s="367">
        <f t="shared" si="4"/>
        <v>0</v>
      </c>
      <c r="Q12" s="556"/>
      <c r="R12" s="557"/>
      <c r="S12" s="557"/>
      <c r="T12" s="557"/>
      <c r="U12" s="558"/>
    </row>
    <row r="13" spans="1:24" ht="15" thickBot="1" x14ac:dyDescent="0.45">
      <c r="A13" s="385" t="s">
        <v>732</v>
      </c>
      <c r="B13" s="386">
        <f>SUM(B14:B25)+B35</f>
        <v>0</v>
      </c>
      <c r="D13" s="355" t="s">
        <v>904</v>
      </c>
      <c r="E13" s="359">
        <f>'@Car Park'!C27</f>
        <v>0</v>
      </c>
      <c r="F13" s="360">
        <f>'@Car Park'!D27</f>
        <v>110</v>
      </c>
      <c r="G13" s="361" t="e">
        <f>E13/E8</f>
        <v>#DIV/0!</v>
      </c>
      <c r="H13" s="405"/>
      <c r="I13" s="368">
        <f t="shared" si="0"/>
        <v>0</v>
      </c>
      <c r="J13" s="408"/>
      <c r="K13" s="372">
        <f t="shared" si="1"/>
        <v>0</v>
      </c>
      <c r="L13" s="411"/>
      <c r="M13" s="370">
        <f t="shared" si="2"/>
        <v>0</v>
      </c>
      <c r="N13" s="359">
        <f t="shared" si="3"/>
        <v>0</v>
      </c>
      <c r="O13" s="367">
        <f t="shared" si="4"/>
        <v>0</v>
      </c>
      <c r="Q13" s="556"/>
      <c r="R13" s="557"/>
      <c r="S13" s="557"/>
      <c r="T13" s="557"/>
      <c r="U13" s="558"/>
    </row>
    <row r="14" spans="1:24" x14ac:dyDescent="0.4">
      <c r="A14" s="376" t="s">
        <v>733</v>
      </c>
      <c r="B14" s="396">
        <f>E9*F9+B32+E13*F13</f>
        <v>0</v>
      </c>
      <c r="D14" s="355" t="s">
        <v>897</v>
      </c>
      <c r="E14" s="359">
        <v>0</v>
      </c>
      <c r="F14" s="360">
        <v>0</v>
      </c>
      <c r="G14" s="361" t="e">
        <f>E14/E8</f>
        <v>#DIV/0!</v>
      </c>
      <c r="H14" s="405"/>
      <c r="I14" s="368">
        <f t="shared" si="0"/>
        <v>0</v>
      </c>
      <c r="J14" s="408"/>
      <c r="K14" s="372">
        <f t="shared" si="1"/>
        <v>0</v>
      </c>
      <c r="L14" s="411"/>
      <c r="M14" s="370">
        <f t="shared" si="2"/>
        <v>0</v>
      </c>
      <c r="N14" s="359">
        <f t="shared" si="3"/>
        <v>0</v>
      </c>
      <c r="O14" s="367">
        <f t="shared" si="4"/>
        <v>0</v>
      </c>
      <c r="Q14" s="556"/>
      <c r="R14" s="557"/>
      <c r="S14" s="557"/>
      <c r="T14" s="557"/>
      <c r="U14" s="558"/>
    </row>
    <row r="15" spans="1:24" ht="15" thickBot="1" x14ac:dyDescent="0.45">
      <c r="A15" s="355" t="s">
        <v>734</v>
      </c>
      <c r="B15" s="397">
        <f>E10*F10</f>
        <v>0</v>
      </c>
      <c r="D15" s="356" t="s">
        <v>680</v>
      </c>
      <c r="E15" s="364">
        <v>0</v>
      </c>
      <c r="F15" s="365">
        <v>0</v>
      </c>
      <c r="G15" s="366" t="e">
        <f>E15/E8</f>
        <v>#DIV/0!</v>
      </c>
      <c r="H15" s="406"/>
      <c r="I15" s="369">
        <f t="shared" si="0"/>
        <v>0</v>
      </c>
      <c r="J15" s="409"/>
      <c r="K15" s="373">
        <f t="shared" si="1"/>
        <v>0</v>
      </c>
      <c r="L15" s="412"/>
      <c r="M15" s="371">
        <f t="shared" si="2"/>
        <v>0</v>
      </c>
      <c r="N15" s="364">
        <f t="shared" si="3"/>
        <v>0</v>
      </c>
      <c r="O15" s="384">
        <f t="shared" si="4"/>
        <v>0</v>
      </c>
    </row>
    <row r="16" spans="1:24" ht="15" thickBot="1" x14ac:dyDescent="0.45">
      <c r="A16" s="355" t="s">
        <v>735</v>
      </c>
      <c r="B16" s="397">
        <f>E11*F11</f>
        <v>0</v>
      </c>
      <c r="N16" s="471">
        <f>SUM(N9:N15)</f>
        <v>0</v>
      </c>
      <c r="O16" s="375">
        <f>SUM(O9:O15)</f>
        <v>0</v>
      </c>
      <c r="R16" s="286" t="s">
        <v>1285</v>
      </c>
      <c r="S16" s="286"/>
    </row>
    <row r="17" spans="1:19" ht="15" thickBot="1" x14ac:dyDescent="0.45">
      <c r="A17" s="356" t="s">
        <v>736</v>
      </c>
      <c r="B17" s="398">
        <f>E12*F12</f>
        <v>0</v>
      </c>
      <c r="R17" s="477" t="s">
        <v>1286</v>
      </c>
      <c r="S17" s="476" t="e">
        <f>G20/(G19+B27)</f>
        <v>#DIV/0!</v>
      </c>
    </row>
    <row r="18" spans="1:19" ht="15" thickBot="1" x14ac:dyDescent="0.45">
      <c r="D18" s="472" t="s">
        <v>1244</v>
      </c>
      <c r="E18" s="456" t="s">
        <v>1241</v>
      </c>
      <c r="F18" s="450" t="s">
        <v>933</v>
      </c>
      <c r="G18" s="450" t="s">
        <v>353</v>
      </c>
      <c r="I18" s="451"/>
      <c r="J18" s="451"/>
      <c r="K18" s="451"/>
      <c r="L18" s="451"/>
      <c r="M18" s="451"/>
      <c r="N18" s="451"/>
      <c r="R18" s="478" t="s">
        <v>493</v>
      </c>
      <c r="S18" s="476" t="e">
        <f>G21/(G19+B27)</f>
        <v>#DIV/0!</v>
      </c>
    </row>
    <row r="19" spans="1:19" ht="15" thickBot="1" x14ac:dyDescent="0.45">
      <c r="A19" s="376" t="str">
        <f t="shared" ref="A19:B23" si="5">D20</f>
        <v>MSSB</v>
      </c>
      <c r="B19" s="396">
        <f t="shared" si="5"/>
        <v>0</v>
      </c>
      <c r="D19" s="447" t="s">
        <v>893</v>
      </c>
      <c r="E19" s="454">
        <f>SUM(E20:E24)</f>
        <v>0</v>
      </c>
      <c r="F19" s="454">
        <f t="shared" ref="F19:G19" si="6">SUM(F20:F24)</f>
        <v>0</v>
      </c>
      <c r="G19" s="454">
        <f t="shared" si="6"/>
        <v>0</v>
      </c>
      <c r="I19" s="451"/>
      <c r="J19" s="453"/>
      <c r="K19" s="324" t="str">
        <f>E18</f>
        <v>Material</v>
      </c>
      <c r="L19" s="324" t="str">
        <f>F18</f>
        <v>Hours</v>
      </c>
      <c r="M19" s="325" t="str">
        <f>G18</f>
        <v>Cost</v>
      </c>
      <c r="N19" s="451"/>
      <c r="R19" s="478" t="s">
        <v>1243</v>
      </c>
      <c r="S19" s="476" t="e">
        <f>G22/(G19+B27)</f>
        <v>#DIV/0!</v>
      </c>
    </row>
    <row r="20" spans="1:19" ht="15" thickBot="1" x14ac:dyDescent="0.45">
      <c r="A20" s="355" t="str">
        <f t="shared" si="5"/>
        <v>Fan</v>
      </c>
      <c r="B20" s="397">
        <f t="shared" si="5"/>
        <v>0</v>
      </c>
      <c r="D20" s="457" t="s">
        <v>678</v>
      </c>
      <c r="E20" s="448">
        <f>SUM('@MSSB'!C2:C500)</f>
        <v>0</v>
      </c>
      <c r="F20" s="377">
        <f>SUM('@MSSB'!D2:D500)</f>
        <v>0</v>
      </c>
      <c r="G20" s="383">
        <f t="shared" ref="G20:G21" si="7">F20*80+E20</f>
        <v>0</v>
      </c>
      <c r="I20" s="451"/>
      <c r="J20" s="424" t="s">
        <v>1245</v>
      </c>
      <c r="K20" s="460">
        <f>K22-K21</f>
        <v>0</v>
      </c>
      <c r="L20" s="455">
        <f t="shared" ref="L20:M20" si="8">L22-L21</f>
        <v>0</v>
      </c>
      <c r="M20" s="461">
        <f t="shared" si="8"/>
        <v>0</v>
      </c>
      <c r="N20" s="464" t="e">
        <f>M20/M21</f>
        <v>#DIV/0!</v>
      </c>
      <c r="R20" s="478" t="str">
        <f>D23</f>
        <v>Chiller</v>
      </c>
      <c r="S20" s="476" t="e">
        <f>G23/(G19+B27)</f>
        <v>#DIV/0!</v>
      </c>
    </row>
    <row r="21" spans="1:19" ht="15" thickBot="1" x14ac:dyDescent="0.45">
      <c r="A21" s="355" t="str">
        <f t="shared" si="5"/>
        <v>VRF</v>
      </c>
      <c r="B21" s="397">
        <f t="shared" si="5"/>
        <v>0</v>
      </c>
      <c r="D21" s="457" t="s">
        <v>1242</v>
      </c>
      <c r="E21" s="449">
        <f>SUM('@Fan'!C2:C500)</f>
        <v>0</v>
      </c>
      <c r="F21" s="359">
        <f>SUM('@Fan'!D2:D500)</f>
        <v>0</v>
      </c>
      <c r="G21" s="367">
        <f t="shared" si="7"/>
        <v>0</v>
      </c>
      <c r="I21" s="451"/>
      <c r="J21" s="424" t="s">
        <v>1246</v>
      </c>
      <c r="K21" s="481"/>
      <c r="L21" s="359"/>
      <c r="M21" s="462"/>
      <c r="N21" s="451"/>
      <c r="R21" s="478" t="str">
        <f>D24</f>
        <v>Other</v>
      </c>
      <c r="S21" s="476" t="e">
        <f>G24/(G19+B27)</f>
        <v>#DIV/0!</v>
      </c>
    </row>
    <row r="22" spans="1:19" ht="15" thickBot="1" x14ac:dyDescent="0.45">
      <c r="A22" s="355" t="str">
        <f t="shared" si="5"/>
        <v>Chiller</v>
      </c>
      <c r="B22" s="397">
        <f t="shared" si="5"/>
        <v>0</v>
      </c>
      <c r="D22" s="457" t="s">
        <v>1243</v>
      </c>
      <c r="E22" s="449">
        <f>SUM('@VRF'!C2:C498)</f>
        <v>0</v>
      </c>
      <c r="F22" s="359">
        <f>SUM('@VRF'!D2:D498)</f>
        <v>0</v>
      </c>
      <c r="G22" s="367">
        <f>F22*80+E22</f>
        <v>0</v>
      </c>
      <c r="I22" s="451"/>
      <c r="J22" s="452" t="s">
        <v>1247</v>
      </c>
      <c r="K22" s="463">
        <f>B9</f>
        <v>0</v>
      </c>
      <c r="L22" s="364">
        <f>E8</f>
        <v>0</v>
      </c>
      <c r="M22" s="465">
        <f>B1</f>
        <v>0</v>
      </c>
      <c r="N22" s="451"/>
      <c r="R22" s="478" t="s">
        <v>1276</v>
      </c>
      <c r="S22" s="476" t="e">
        <f>B27/(G19+B27)</f>
        <v>#DIV/0!</v>
      </c>
    </row>
    <row r="23" spans="1:19" ht="15" thickBot="1" x14ac:dyDescent="0.45">
      <c r="A23" s="356" t="str">
        <f t="shared" si="5"/>
        <v>Other</v>
      </c>
      <c r="B23" s="398">
        <f>Takeoffs!K2118+E24</f>
        <v>0</v>
      </c>
      <c r="D23" s="457" t="s">
        <v>1342</v>
      </c>
      <c r="E23" s="449">
        <f>SUM('@Chiller'!C:C)</f>
        <v>0</v>
      </c>
      <c r="F23" s="359">
        <f>SUM('@Chiller'!D:D)</f>
        <v>0</v>
      </c>
      <c r="G23" s="367">
        <f t="shared" ref="G23:G24" si="9">F23*80+E23</f>
        <v>0</v>
      </c>
      <c r="I23" s="451"/>
      <c r="J23" s="451"/>
      <c r="K23" s="451"/>
      <c r="L23" s="451"/>
      <c r="M23" s="451"/>
      <c r="N23" s="451"/>
    </row>
    <row r="24" spans="1:19" ht="15" thickBot="1" x14ac:dyDescent="0.45">
      <c r="D24" s="457" t="s">
        <v>680</v>
      </c>
      <c r="E24" s="449">
        <f>SUM('@Other'!C:C)</f>
        <v>0</v>
      </c>
      <c r="F24" s="359">
        <f>SUM('@Other'!D:D)</f>
        <v>0</v>
      </c>
      <c r="G24" s="367">
        <f t="shared" si="9"/>
        <v>0</v>
      </c>
    </row>
    <row r="25" spans="1:19" ht="15" thickBot="1" x14ac:dyDescent="0.45">
      <c r="A25" s="466" t="s">
        <v>902</v>
      </c>
      <c r="B25" s="467">
        <f>B29+B33</f>
        <v>0</v>
      </c>
      <c r="D25" s="468" t="s">
        <v>891</v>
      </c>
      <c r="E25" s="469"/>
      <c r="F25" s="364">
        <f>E9-F19</f>
        <v>0</v>
      </c>
      <c r="G25" s="470"/>
    </row>
    <row r="27" spans="1:19" ht="15" thickBot="1" x14ac:dyDescent="0.45">
      <c r="A27" s="385" t="s">
        <v>920</v>
      </c>
      <c r="B27" s="386">
        <f>SUM(B28:B29)</f>
        <v>0</v>
      </c>
      <c r="C27" s="292"/>
      <c r="D27" s="385" t="s">
        <v>1368</v>
      </c>
      <c r="E27" s="385"/>
      <c r="F27" s="385"/>
      <c r="G27" s="385"/>
    </row>
    <row r="28" spans="1:19" x14ac:dyDescent="0.4">
      <c r="A28" s="393" t="s">
        <v>911</v>
      </c>
      <c r="B28" s="394">
        <f>'@Car Park'!I7*F9+E13*F13</f>
        <v>0</v>
      </c>
      <c r="D28" s="393" t="s">
        <v>1369</v>
      </c>
      <c r="E28" s="514">
        <f>ROUNDUP(E9/8,0)</f>
        <v>0</v>
      </c>
      <c r="F28" s="393" t="s">
        <v>1371</v>
      </c>
      <c r="G28" s="514">
        <f>ROUNDUP(E28/E29,0)</f>
        <v>0</v>
      </c>
    </row>
    <row r="29" spans="1:19" ht="15" thickBot="1" x14ac:dyDescent="0.45">
      <c r="A29" s="356" t="s">
        <v>910</v>
      </c>
      <c r="B29" s="392">
        <f>'@Car Park'!E3</f>
        <v>0</v>
      </c>
      <c r="D29" s="363" t="s">
        <v>1370</v>
      </c>
      <c r="E29" s="520">
        <v>2</v>
      </c>
      <c r="F29" s="356" t="s">
        <v>1377</v>
      </c>
      <c r="G29" s="515">
        <f>ROUNDUP(G28*(3/5),0)</f>
        <v>0</v>
      </c>
    </row>
    <row r="30" spans="1:19" x14ac:dyDescent="0.4">
      <c r="D30" s="393" t="s">
        <v>793</v>
      </c>
      <c r="E30" s="521">
        <v>1.5</v>
      </c>
      <c r="F30" s="355" t="s">
        <v>1376</v>
      </c>
      <c r="G30" s="519">
        <v>110</v>
      </c>
    </row>
    <row r="31" spans="1:19" ht="15" thickBot="1" x14ac:dyDescent="0.45">
      <c r="A31" s="354" t="s">
        <v>803</v>
      </c>
      <c r="B31" s="390">
        <f>SUM(B32:B33)</f>
        <v>0</v>
      </c>
      <c r="D31" s="362" t="s">
        <v>1372</v>
      </c>
      <c r="E31" s="516">
        <v>70</v>
      </c>
      <c r="F31" s="356" t="s">
        <v>1378</v>
      </c>
      <c r="G31" s="517">
        <f>G30*G29</f>
        <v>0</v>
      </c>
    </row>
    <row r="32" spans="1:19" ht="15" thickBot="1" x14ac:dyDescent="0.45">
      <c r="A32" s="376" t="s">
        <v>901</v>
      </c>
      <c r="B32" s="391">
        <f>'@Car Park'!E82</f>
        <v>0</v>
      </c>
      <c r="D32" s="363" t="s">
        <v>794</v>
      </c>
      <c r="E32" s="517">
        <f>E30*E31*2*E28</f>
        <v>0</v>
      </c>
      <c r="F32" s="376" t="s">
        <v>811</v>
      </c>
      <c r="G32" s="518">
        <v>70</v>
      </c>
    </row>
    <row r="33" spans="1:7" ht="15" thickBot="1" x14ac:dyDescent="0.45">
      <c r="A33" s="356" t="s">
        <v>905</v>
      </c>
      <c r="B33" s="392">
        <f>'@Car Park'!I12</f>
        <v>0</v>
      </c>
      <c r="F33" s="356" t="s">
        <v>1379</v>
      </c>
      <c r="G33" s="517">
        <f>G32*G29</f>
        <v>0</v>
      </c>
    </row>
    <row r="35" spans="1:7" ht="15" thickBot="1" x14ac:dyDescent="0.45">
      <c r="A35" s="354" t="s">
        <v>921</v>
      </c>
      <c r="B35" s="390">
        <f>SUM(B36:B40)</f>
        <v>0</v>
      </c>
    </row>
    <row r="36" spans="1:7" x14ac:dyDescent="0.4">
      <c r="A36" s="376" t="s">
        <v>922</v>
      </c>
      <c r="B36" s="387">
        <f>IF(E36="Yes",G31,0)</f>
        <v>0</v>
      </c>
      <c r="C36" s="33" t="s">
        <v>1380</v>
      </c>
      <c r="D36" s="286" t="s">
        <v>1373</v>
      </c>
      <c r="E36" s="307" t="s">
        <v>886</v>
      </c>
    </row>
    <row r="37" spans="1:7" x14ac:dyDescent="0.4">
      <c r="A37" s="362" t="s">
        <v>923</v>
      </c>
      <c r="B37" s="388">
        <f>IF(E37="Yes",E32,0)</f>
        <v>0</v>
      </c>
      <c r="C37" s="33" t="s">
        <v>1380</v>
      </c>
      <c r="D37" s="286" t="s">
        <v>1374</v>
      </c>
      <c r="E37" s="307" t="s">
        <v>886</v>
      </c>
    </row>
    <row r="38" spans="1:7" x14ac:dyDescent="0.4">
      <c r="A38" s="362" t="s">
        <v>924</v>
      </c>
      <c r="B38" s="388">
        <v>0</v>
      </c>
    </row>
    <row r="39" spans="1:7" x14ac:dyDescent="0.4">
      <c r="A39" s="362" t="s">
        <v>811</v>
      </c>
      <c r="B39" s="388">
        <f>IF(E39="Yes",G33,0)</f>
        <v>0</v>
      </c>
      <c r="C39" s="33" t="s">
        <v>1380</v>
      </c>
      <c r="D39" s="286" t="s">
        <v>1375</v>
      </c>
      <c r="E39" s="307" t="s">
        <v>886</v>
      </c>
    </row>
    <row r="40" spans="1:7" ht="15" thickBot="1" x14ac:dyDescent="0.45">
      <c r="A40" s="363" t="s">
        <v>925</v>
      </c>
      <c r="B40" s="389">
        <v>0</v>
      </c>
    </row>
    <row r="42" spans="1:7" x14ac:dyDescent="0.4">
      <c r="A42" s="33" t="s">
        <v>1350</v>
      </c>
      <c r="B42" s="114" t="s">
        <v>1353</v>
      </c>
    </row>
    <row r="43" spans="1:7" x14ac:dyDescent="0.4">
      <c r="A43" s="114" t="s">
        <v>1351</v>
      </c>
      <c r="B43" s="114" t="s">
        <v>1352</v>
      </c>
    </row>
    <row r="46" spans="1:7" ht="19.3" x14ac:dyDescent="0.5">
      <c r="A46" s="559" t="str">
        <f>_xlfn.CONCAT("SUMMARY OF MECH/ELEC WORKS: ",E4)</f>
        <v>SUMMARY OF MECH/ELEC WORKS: [JOB NAME]</v>
      </c>
      <c r="B46" s="559"/>
      <c r="C46" s="559"/>
      <c r="D46" s="559"/>
      <c r="E46" s="559"/>
    </row>
    <row r="47" spans="1:7" x14ac:dyDescent="0.4">
      <c r="A47" s="420" t="s">
        <v>1346</v>
      </c>
      <c r="B47" s="305" t="str">
        <f>'@MSSB'!D1</f>
        <v>Hours</v>
      </c>
      <c r="C47" s="508" t="str">
        <f>'@MSSB'!E1</f>
        <v>Qty</v>
      </c>
      <c r="D47" s="288" t="s">
        <v>931</v>
      </c>
      <c r="E47" s="509" t="s">
        <v>929</v>
      </c>
    </row>
    <row r="48" spans="1:7" ht="15" thickBot="1" x14ac:dyDescent="0.45">
      <c r="A48" s="286" t="s">
        <v>1345</v>
      </c>
      <c r="B48" s="490">
        <f>B49+B72+B95+B119+B142+B165</f>
        <v>0</v>
      </c>
      <c r="C48" s="491"/>
      <c r="D48" s="288"/>
      <c r="E48" s="509"/>
    </row>
    <row r="49" spans="1:7" hidden="1" x14ac:dyDescent="0.4">
      <c r="A49" s="482" t="str">
        <f>IF(C49&gt;0, "MSSB TOTAL", "INVALID")</f>
        <v>INVALID</v>
      </c>
      <c r="B49" s="492">
        <f>SUM(B50:B70)</f>
        <v>0</v>
      </c>
      <c r="C49" s="493">
        <f>SUM(C50:C70)</f>
        <v>0</v>
      </c>
      <c r="D49" s="483"/>
      <c r="E49" s="510"/>
    </row>
    <row r="50" spans="1:7" hidden="1" x14ac:dyDescent="0.4">
      <c r="A50" s="484" t="str">
        <f t="shared" ref="A50:A115" si="10">IF(C50&gt;0, "", "INVALID")</f>
        <v>INVALID</v>
      </c>
      <c r="B50" s="494">
        <f>'@MSSB'!D2</f>
        <v>0</v>
      </c>
      <c r="C50" s="495">
        <f>'@MSSB'!E2</f>
        <v>0</v>
      </c>
      <c r="D50" s="485" t="str">
        <f>'@MSSB'!Z2</f>
        <v>0 Pole MSSB</v>
      </c>
      <c r="E50" s="511"/>
    </row>
    <row r="51" spans="1:7" hidden="1" x14ac:dyDescent="0.4">
      <c r="A51" s="484" t="str">
        <f t="shared" si="10"/>
        <v>INVALID</v>
      </c>
      <c r="B51" s="494">
        <f>'@MSSB'!D3</f>
        <v>0</v>
      </c>
      <c r="C51" s="495">
        <f>'@MSSB'!E3</f>
        <v>0</v>
      </c>
      <c r="D51" s="486" t="str">
        <f>'@MSSB'!Z3</f>
        <v>0 Pole MSSB</v>
      </c>
      <c r="E51" s="486"/>
      <c r="G51" s="114" t="s">
        <v>375</v>
      </c>
    </row>
    <row r="52" spans="1:7" hidden="1" x14ac:dyDescent="0.4">
      <c r="A52" s="484" t="str">
        <f t="shared" si="10"/>
        <v>INVALID</v>
      </c>
      <c r="B52" s="494">
        <f>'@MSSB'!D4</f>
        <v>0</v>
      </c>
      <c r="C52" s="495">
        <f>'@MSSB'!E4</f>
        <v>0</v>
      </c>
      <c r="D52" s="486" t="str">
        <f>'@MSSB'!Z4</f>
        <v>0 Pole MSSB</v>
      </c>
      <c r="E52" s="486"/>
    </row>
    <row r="53" spans="1:7" hidden="1" x14ac:dyDescent="0.4">
      <c r="A53" s="484" t="str">
        <f t="shared" si="10"/>
        <v>INVALID</v>
      </c>
      <c r="B53" s="494">
        <f>'@MSSB'!D5</f>
        <v>0</v>
      </c>
      <c r="C53" s="495">
        <f>'@MSSB'!E5</f>
        <v>0</v>
      </c>
      <c r="D53" s="486" t="str">
        <f>'@MSSB'!Z5</f>
        <v>0 Pole MSSB</v>
      </c>
      <c r="E53" s="486"/>
    </row>
    <row r="54" spans="1:7" hidden="1" x14ac:dyDescent="0.4">
      <c r="A54" s="484" t="str">
        <f t="shared" si="10"/>
        <v>INVALID</v>
      </c>
      <c r="B54" s="494">
        <f>'@MSSB'!D6</f>
        <v>0</v>
      </c>
      <c r="C54" s="495">
        <f>'@MSSB'!E6</f>
        <v>0</v>
      </c>
      <c r="D54" s="486" t="str">
        <f>'@MSSB'!Z6</f>
        <v>0 Pole MSSB</v>
      </c>
      <c r="E54" s="486"/>
    </row>
    <row r="55" spans="1:7" hidden="1" x14ac:dyDescent="0.4">
      <c r="A55" s="484" t="str">
        <f t="shared" si="10"/>
        <v>INVALID</v>
      </c>
      <c r="B55" s="494">
        <f>'@MSSB'!D7</f>
        <v>0</v>
      </c>
      <c r="C55" s="495">
        <f>'@MSSB'!E7</f>
        <v>0</v>
      </c>
      <c r="D55" s="486" t="str">
        <f>'@MSSB'!Z7</f>
        <v>0 Pole MSSB</v>
      </c>
      <c r="E55" s="486"/>
    </row>
    <row r="56" spans="1:7" hidden="1" x14ac:dyDescent="0.4">
      <c r="A56" s="484" t="str">
        <f t="shared" si="10"/>
        <v>INVALID</v>
      </c>
      <c r="B56" s="494">
        <f>'@MSSB'!D8</f>
        <v>0</v>
      </c>
      <c r="C56" s="495">
        <f>'@MSSB'!E8</f>
        <v>0</v>
      </c>
      <c r="D56" s="486" t="str">
        <f>'@MSSB'!Z8</f>
        <v>0 Pole MSSB</v>
      </c>
      <c r="E56" s="486"/>
    </row>
    <row r="57" spans="1:7" hidden="1" x14ac:dyDescent="0.4">
      <c r="A57" s="484" t="str">
        <f t="shared" si="10"/>
        <v>INVALID</v>
      </c>
      <c r="B57" s="494">
        <f>'@MSSB'!D9</f>
        <v>0</v>
      </c>
      <c r="C57" s="495">
        <f>'@MSSB'!E9</f>
        <v>0</v>
      </c>
      <c r="D57" s="486" t="str">
        <f>'@MSSB'!Z9</f>
        <v>0 Pole MSSB</v>
      </c>
      <c r="E57" s="486"/>
    </row>
    <row r="58" spans="1:7" hidden="1" x14ac:dyDescent="0.4">
      <c r="A58" s="484" t="str">
        <f t="shared" si="10"/>
        <v>INVALID</v>
      </c>
      <c r="B58" s="494">
        <f>'@MSSB'!D10</f>
        <v>0</v>
      </c>
      <c r="C58" s="495">
        <f>'@MSSB'!E10</f>
        <v>0</v>
      </c>
      <c r="D58" s="486" t="str">
        <f>'@MSSB'!Z10</f>
        <v>0 Pole MSSB</v>
      </c>
      <c r="E58" s="486"/>
    </row>
    <row r="59" spans="1:7" hidden="1" x14ac:dyDescent="0.4">
      <c r="A59" s="484" t="str">
        <f t="shared" si="10"/>
        <v>INVALID</v>
      </c>
      <c r="B59" s="494">
        <f>'@MSSB'!D11</f>
        <v>0</v>
      </c>
      <c r="C59" s="495">
        <f>'@MSSB'!E11</f>
        <v>0</v>
      </c>
      <c r="D59" s="486" t="str">
        <f>'@MSSB'!Z11</f>
        <v>0 Pole MSSB</v>
      </c>
      <c r="E59" s="486"/>
    </row>
    <row r="60" spans="1:7" hidden="1" x14ac:dyDescent="0.4">
      <c r="A60" s="484" t="str">
        <f t="shared" si="10"/>
        <v>INVALID</v>
      </c>
      <c r="B60" s="494">
        <f>'@MSSB'!D12</f>
        <v>0</v>
      </c>
      <c r="C60" s="495">
        <f>'@MSSB'!E12</f>
        <v>0</v>
      </c>
      <c r="D60" s="486" t="str">
        <f>'@MSSB'!Z12</f>
        <v>0 Pole MSSB</v>
      </c>
      <c r="E60" s="486"/>
    </row>
    <row r="61" spans="1:7" hidden="1" x14ac:dyDescent="0.4">
      <c r="A61" s="484" t="str">
        <f t="shared" si="10"/>
        <v>INVALID</v>
      </c>
      <c r="B61" s="494">
        <f>'@MSSB'!D13</f>
        <v>0</v>
      </c>
      <c r="C61" s="495">
        <f>'@MSSB'!E13</f>
        <v>0</v>
      </c>
      <c r="D61" s="486" t="str">
        <f>'@MSSB'!Z13</f>
        <v>0 Pole MSSB</v>
      </c>
      <c r="E61" s="486"/>
    </row>
    <row r="62" spans="1:7" hidden="1" x14ac:dyDescent="0.4">
      <c r="A62" s="484" t="str">
        <f t="shared" si="10"/>
        <v>INVALID</v>
      </c>
      <c r="B62" s="494">
        <f>'@MSSB'!D14</f>
        <v>0</v>
      </c>
      <c r="C62" s="495">
        <f>'@MSSB'!E14</f>
        <v>0</v>
      </c>
      <c r="D62" s="486" t="str">
        <f>'@MSSB'!Z14</f>
        <v>0 Pole MSSB</v>
      </c>
      <c r="E62" s="486"/>
    </row>
    <row r="63" spans="1:7" hidden="1" x14ac:dyDescent="0.4">
      <c r="A63" s="484" t="str">
        <f t="shared" si="10"/>
        <v>INVALID</v>
      </c>
      <c r="B63" s="494">
        <f>'@MSSB'!D15</f>
        <v>0</v>
      </c>
      <c r="C63" s="495">
        <f>'@MSSB'!E15</f>
        <v>0</v>
      </c>
      <c r="D63" s="486" t="str">
        <f>'@MSSB'!Z15</f>
        <v>0 Pole MSSB</v>
      </c>
      <c r="E63" s="486"/>
    </row>
    <row r="64" spans="1:7" hidden="1" x14ac:dyDescent="0.4">
      <c r="A64" s="484" t="str">
        <f t="shared" si="10"/>
        <v>INVALID</v>
      </c>
      <c r="B64" s="494">
        <f>'@MSSB'!D16</f>
        <v>0</v>
      </c>
      <c r="C64" s="495">
        <f>'@MSSB'!E16</f>
        <v>0</v>
      </c>
      <c r="D64" s="486" t="str">
        <f>'@MSSB'!Z16</f>
        <v>0 Pole MSSB</v>
      </c>
      <c r="E64" s="486"/>
    </row>
    <row r="65" spans="1:6" hidden="1" x14ac:dyDescent="0.4">
      <c r="A65" s="484" t="str">
        <f t="shared" si="10"/>
        <v>INVALID</v>
      </c>
      <c r="B65" s="494">
        <f>'@MSSB'!D17</f>
        <v>0</v>
      </c>
      <c r="C65" s="495">
        <f>'@MSSB'!E17</f>
        <v>0</v>
      </c>
      <c r="D65" s="486" t="str">
        <f>'@MSSB'!Z17</f>
        <v>0 Pole MSSB</v>
      </c>
      <c r="E65" s="486"/>
    </row>
    <row r="66" spans="1:6" hidden="1" x14ac:dyDescent="0.4">
      <c r="A66" s="484" t="str">
        <f t="shared" si="10"/>
        <v>INVALID</v>
      </c>
      <c r="B66" s="494">
        <f>'@MSSB'!D18</f>
        <v>0</v>
      </c>
      <c r="C66" s="495">
        <f>'@MSSB'!E18</f>
        <v>0</v>
      </c>
      <c r="D66" s="486" t="str">
        <f>'@MSSB'!Z18</f>
        <v>0 Pole MSSB</v>
      </c>
      <c r="E66" s="486"/>
    </row>
    <row r="67" spans="1:6" hidden="1" x14ac:dyDescent="0.4">
      <c r="A67" s="484" t="str">
        <f t="shared" si="10"/>
        <v>INVALID</v>
      </c>
      <c r="B67" s="494">
        <f>'@MSSB'!D19</f>
        <v>0</v>
      </c>
      <c r="C67" s="495">
        <f>'@MSSB'!E19</f>
        <v>0</v>
      </c>
      <c r="D67" s="486" t="str">
        <f>'@MSSB'!Z19</f>
        <v>0 Pole MSSB</v>
      </c>
      <c r="E67" s="486"/>
    </row>
    <row r="68" spans="1:6" hidden="1" x14ac:dyDescent="0.4">
      <c r="A68" s="484" t="str">
        <f t="shared" si="10"/>
        <v>INVALID</v>
      </c>
      <c r="B68" s="494">
        <f>'@MSSB'!D20</f>
        <v>0</v>
      </c>
      <c r="C68" s="495">
        <f>'@MSSB'!E20</f>
        <v>0</v>
      </c>
      <c r="D68" s="486" t="str">
        <f>'@MSSB'!Z20</f>
        <v>0 Pole MSSB</v>
      </c>
      <c r="E68" s="486"/>
    </row>
    <row r="69" spans="1:6" hidden="1" x14ac:dyDescent="0.4">
      <c r="A69" s="484" t="str">
        <f t="shared" si="10"/>
        <v>INVALID</v>
      </c>
      <c r="B69" s="494">
        <f>'@MSSB'!D21</f>
        <v>0</v>
      </c>
      <c r="C69" s="495">
        <f>'@MSSB'!E21</f>
        <v>0</v>
      </c>
      <c r="D69" s="486" t="str">
        <f>'@MSSB'!Z21</f>
        <v>0 Pole MSSB</v>
      </c>
      <c r="E69" s="486"/>
    </row>
    <row r="70" spans="1:6" ht="15" hidden="1" thickBot="1" x14ac:dyDescent="0.45">
      <c r="A70" s="487" t="str">
        <f t="shared" si="10"/>
        <v>INVALID</v>
      </c>
      <c r="B70" s="496">
        <f>'@MSSB'!D22</f>
        <v>0</v>
      </c>
      <c r="C70" s="497">
        <f>'@MSSB'!E22</f>
        <v>0</v>
      </c>
      <c r="D70" s="488" t="str">
        <f>'@MSSB'!Z22</f>
        <v>0 Pole MSSB</v>
      </c>
      <c r="E70" s="488"/>
    </row>
    <row r="71" spans="1:6" ht="15" hidden="1" thickBot="1" x14ac:dyDescent="0.45">
      <c r="A71" s="567" t="str">
        <f>IF(A72="INVALID","INVALID","")</f>
        <v>INVALID</v>
      </c>
      <c r="B71" s="568"/>
      <c r="C71" s="568"/>
      <c r="D71" s="568"/>
      <c r="E71" s="569"/>
      <c r="F71" s="513"/>
    </row>
    <row r="72" spans="1:6" hidden="1" x14ac:dyDescent="0.4">
      <c r="A72" s="482" t="str">
        <f>IF(C72&gt;0, "FAN TOTAL", "INVALID")</f>
        <v>INVALID</v>
      </c>
      <c r="B72" s="492">
        <f>SUM(B73:B93)</f>
        <v>0</v>
      </c>
      <c r="C72" s="493">
        <f>SUM(C73:C93)</f>
        <v>0</v>
      </c>
      <c r="D72" s="483"/>
      <c r="E72" s="510"/>
    </row>
    <row r="73" spans="1:6" hidden="1" x14ac:dyDescent="0.4">
      <c r="A73" s="484" t="str">
        <f t="shared" si="10"/>
        <v>INVALID</v>
      </c>
      <c r="B73" s="494">
        <f>'@Fan'!D2</f>
        <v>0</v>
      </c>
      <c r="C73" s="498">
        <f>'@Fan'!E2</f>
        <v>0</v>
      </c>
      <c r="D73" s="485">
        <f>'@Fan'!BP2</f>
        <v>0</v>
      </c>
      <c r="E73" s="511" t="s">
        <v>1363</v>
      </c>
    </row>
    <row r="74" spans="1:6" hidden="1" x14ac:dyDescent="0.4">
      <c r="A74" s="484" t="str">
        <f t="shared" si="10"/>
        <v>INVALID</v>
      </c>
      <c r="B74" s="494">
        <f>'@Fan'!D3</f>
        <v>0</v>
      </c>
      <c r="C74" s="498">
        <f>'@Fan'!E3</f>
        <v>0</v>
      </c>
      <c r="D74" s="485">
        <f>'@Fan'!BP3</f>
        <v>0</v>
      </c>
      <c r="E74" s="511" t="s">
        <v>1364</v>
      </c>
    </row>
    <row r="75" spans="1:6" hidden="1" x14ac:dyDescent="0.4">
      <c r="A75" s="484" t="str">
        <f t="shared" si="10"/>
        <v>INVALID</v>
      </c>
      <c r="B75" s="494">
        <f>'@Fan'!D4</f>
        <v>0</v>
      </c>
      <c r="C75" s="498">
        <f>'@Fan'!E4</f>
        <v>0</v>
      </c>
      <c r="D75" s="486">
        <f>'@Fan'!BP4</f>
        <v>0</v>
      </c>
      <c r="E75" s="486"/>
    </row>
    <row r="76" spans="1:6" hidden="1" x14ac:dyDescent="0.4">
      <c r="A76" s="484" t="str">
        <f t="shared" si="10"/>
        <v>INVALID</v>
      </c>
      <c r="B76" s="494">
        <f>'@Fan'!D5</f>
        <v>0</v>
      </c>
      <c r="C76" s="498">
        <f>'@Fan'!E5</f>
        <v>0</v>
      </c>
      <c r="D76" s="486">
        <f>'@Fan'!BP5</f>
        <v>0</v>
      </c>
      <c r="E76" s="486"/>
    </row>
    <row r="77" spans="1:6" hidden="1" x14ac:dyDescent="0.4">
      <c r="A77" s="484" t="str">
        <f t="shared" si="10"/>
        <v>INVALID</v>
      </c>
      <c r="B77" s="494">
        <f>'@Fan'!D6</f>
        <v>0</v>
      </c>
      <c r="C77" s="498">
        <f>'@Fan'!E6</f>
        <v>0</v>
      </c>
      <c r="D77" s="486">
        <f>'@Fan'!BP6</f>
        <v>0</v>
      </c>
      <c r="E77" s="486"/>
    </row>
    <row r="78" spans="1:6" hidden="1" x14ac:dyDescent="0.4">
      <c r="A78" s="484" t="str">
        <f t="shared" si="10"/>
        <v>INVALID</v>
      </c>
      <c r="B78" s="494">
        <f>'@Fan'!D7</f>
        <v>0</v>
      </c>
      <c r="C78" s="498">
        <f>'@Fan'!E7</f>
        <v>0</v>
      </c>
      <c r="D78" s="486">
        <f>'@Fan'!BP7</f>
        <v>0</v>
      </c>
      <c r="E78" s="486"/>
    </row>
    <row r="79" spans="1:6" hidden="1" x14ac:dyDescent="0.4">
      <c r="A79" s="484" t="str">
        <f t="shared" si="10"/>
        <v>INVALID</v>
      </c>
      <c r="B79" s="494">
        <f>'@Fan'!D8</f>
        <v>0</v>
      </c>
      <c r="C79" s="498">
        <f>'@Fan'!E8</f>
        <v>0</v>
      </c>
      <c r="D79" s="486">
        <f>'@Fan'!BP8</f>
        <v>0</v>
      </c>
      <c r="E79" s="486"/>
    </row>
    <row r="80" spans="1:6" hidden="1" x14ac:dyDescent="0.4">
      <c r="A80" s="484" t="str">
        <f t="shared" si="10"/>
        <v>INVALID</v>
      </c>
      <c r="B80" s="494">
        <f>'@Fan'!D9</f>
        <v>0</v>
      </c>
      <c r="C80" s="498">
        <f>'@Fan'!E9</f>
        <v>0</v>
      </c>
      <c r="D80" s="486">
        <f>'@Fan'!BP9</f>
        <v>0</v>
      </c>
      <c r="E80" s="486"/>
    </row>
    <row r="81" spans="1:6" hidden="1" x14ac:dyDescent="0.4">
      <c r="A81" s="484" t="str">
        <f t="shared" si="10"/>
        <v>INVALID</v>
      </c>
      <c r="B81" s="494">
        <f>'@Fan'!D10</f>
        <v>0</v>
      </c>
      <c r="C81" s="498">
        <f>'@Fan'!E10</f>
        <v>0</v>
      </c>
      <c r="D81" s="486">
        <f>'@Fan'!BP10</f>
        <v>0</v>
      </c>
      <c r="E81" s="486"/>
    </row>
    <row r="82" spans="1:6" hidden="1" x14ac:dyDescent="0.4">
      <c r="A82" s="484" t="str">
        <f t="shared" si="10"/>
        <v>INVALID</v>
      </c>
      <c r="B82" s="494">
        <f>'@Fan'!D11</f>
        <v>0</v>
      </c>
      <c r="C82" s="498">
        <f>'@Fan'!E11</f>
        <v>0</v>
      </c>
      <c r="D82" s="486">
        <f>'@Fan'!BP11</f>
        <v>0</v>
      </c>
      <c r="E82" s="486"/>
    </row>
    <row r="83" spans="1:6" hidden="1" x14ac:dyDescent="0.4">
      <c r="A83" s="484" t="str">
        <f t="shared" si="10"/>
        <v>INVALID</v>
      </c>
      <c r="B83" s="494">
        <f>'@Fan'!D12</f>
        <v>0</v>
      </c>
      <c r="C83" s="498">
        <f>'@Fan'!E12</f>
        <v>0</v>
      </c>
      <c r="D83" s="486">
        <f>'@Fan'!BP12</f>
        <v>0</v>
      </c>
      <c r="E83" s="486"/>
    </row>
    <row r="84" spans="1:6" hidden="1" x14ac:dyDescent="0.4">
      <c r="A84" s="484" t="str">
        <f t="shared" si="10"/>
        <v>INVALID</v>
      </c>
      <c r="B84" s="494">
        <f>'@Fan'!D13</f>
        <v>0</v>
      </c>
      <c r="C84" s="498">
        <f>'@Fan'!E13</f>
        <v>0</v>
      </c>
      <c r="D84" s="486">
        <f>'@Fan'!BP13</f>
        <v>0</v>
      </c>
      <c r="E84" s="486"/>
    </row>
    <row r="85" spans="1:6" hidden="1" x14ac:dyDescent="0.4">
      <c r="A85" s="484" t="str">
        <f t="shared" si="10"/>
        <v>INVALID</v>
      </c>
      <c r="B85" s="494">
        <f>'@Fan'!D14</f>
        <v>0</v>
      </c>
      <c r="C85" s="498">
        <f>'@Fan'!E14</f>
        <v>0</v>
      </c>
      <c r="D85" s="486">
        <f>'@Fan'!BP14</f>
        <v>0</v>
      </c>
      <c r="E85" s="486"/>
    </row>
    <row r="86" spans="1:6" hidden="1" x14ac:dyDescent="0.4">
      <c r="A86" s="484" t="str">
        <f t="shared" si="10"/>
        <v>INVALID</v>
      </c>
      <c r="B86" s="494">
        <f>'@Fan'!D15</f>
        <v>0</v>
      </c>
      <c r="C86" s="498">
        <f>'@Fan'!E15</f>
        <v>0</v>
      </c>
      <c r="D86" s="486">
        <f>'@Fan'!BP15</f>
        <v>0</v>
      </c>
      <c r="E86" s="486"/>
    </row>
    <row r="87" spans="1:6" hidden="1" x14ac:dyDescent="0.4">
      <c r="A87" s="484" t="str">
        <f t="shared" si="10"/>
        <v>INVALID</v>
      </c>
      <c r="B87" s="494">
        <f>'@Fan'!D16</f>
        <v>0</v>
      </c>
      <c r="C87" s="498">
        <f>'@Fan'!E16</f>
        <v>0</v>
      </c>
      <c r="D87" s="486">
        <f>'@Fan'!BP16</f>
        <v>0</v>
      </c>
      <c r="E87" s="486"/>
    </row>
    <row r="88" spans="1:6" hidden="1" x14ac:dyDescent="0.4">
      <c r="A88" s="484" t="str">
        <f t="shared" si="10"/>
        <v>INVALID</v>
      </c>
      <c r="B88" s="494">
        <f>'@Fan'!D17</f>
        <v>0</v>
      </c>
      <c r="C88" s="498">
        <f>'@Fan'!E17</f>
        <v>0</v>
      </c>
      <c r="D88" s="486">
        <f>'@Fan'!BP17</f>
        <v>0</v>
      </c>
      <c r="E88" s="486"/>
    </row>
    <row r="89" spans="1:6" hidden="1" x14ac:dyDescent="0.4">
      <c r="A89" s="484" t="str">
        <f t="shared" si="10"/>
        <v>INVALID</v>
      </c>
      <c r="B89" s="494">
        <f>'@Fan'!D18</f>
        <v>0</v>
      </c>
      <c r="C89" s="498">
        <f>'@Fan'!E18</f>
        <v>0</v>
      </c>
      <c r="D89" s="486">
        <f>'@Fan'!BP18</f>
        <v>0</v>
      </c>
      <c r="E89" s="486"/>
    </row>
    <row r="90" spans="1:6" hidden="1" x14ac:dyDescent="0.4">
      <c r="A90" s="484" t="str">
        <f t="shared" si="10"/>
        <v>INVALID</v>
      </c>
      <c r="B90" s="494">
        <f>'@Fan'!D19</f>
        <v>0</v>
      </c>
      <c r="C90" s="498">
        <f>'@Fan'!E19</f>
        <v>0</v>
      </c>
      <c r="D90" s="486">
        <f>'@Fan'!BP19</f>
        <v>0</v>
      </c>
      <c r="E90" s="486"/>
    </row>
    <row r="91" spans="1:6" hidden="1" x14ac:dyDescent="0.4">
      <c r="A91" s="484" t="str">
        <f t="shared" si="10"/>
        <v>INVALID</v>
      </c>
      <c r="B91" s="494">
        <f>'@Fan'!D20</f>
        <v>0</v>
      </c>
      <c r="C91" s="498">
        <f>'@Fan'!E20</f>
        <v>0</v>
      </c>
      <c r="D91" s="486">
        <f>'@Fan'!BP20</f>
        <v>0</v>
      </c>
      <c r="E91" s="486"/>
    </row>
    <row r="92" spans="1:6" hidden="1" x14ac:dyDescent="0.4">
      <c r="A92" s="484" t="str">
        <f t="shared" si="10"/>
        <v>INVALID</v>
      </c>
      <c r="B92" s="494">
        <f>'@Fan'!D21</f>
        <v>0</v>
      </c>
      <c r="C92" s="498">
        <f>'@Fan'!E21</f>
        <v>0</v>
      </c>
      <c r="D92" s="486">
        <f>'@Fan'!BP21</f>
        <v>0</v>
      </c>
      <c r="E92" s="486"/>
    </row>
    <row r="93" spans="1:6" ht="15" hidden="1" thickBot="1" x14ac:dyDescent="0.45">
      <c r="A93" s="487" t="str">
        <f t="shared" si="10"/>
        <v>INVALID</v>
      </c>
      <c r="B93" s="496">
        <f>'@Fan'!D22</f>
        <v>0</v>
      </c>
      <c r="C93" s="499">
        <f>'@Fan'!E22</f>
        <v>0</v>
      </c>
      <c r="D93" s="488">
        <f>'@Fan'!BP22</f>
        <v>0</v>
      </c>
      <c r="E93" s="488"/>
    </row>
    <row r="94" spans="1:6" ht="15" hidden="1" thickBot="1" x14ac:dyDescent="0.45">
      <c r="A94" s="567" t="str">
        <f>IF(A95="INVALID","INVALID","")</f>
        <v>INVALID</v>
      </c>
      <c r="B94" s="568"/>
      <c r="C94" s="568"/>
      <c r="D94" s="568"/>
      <c r="E94" s="569"/>
      <c r="F94" s="513"/>
    </row>
    <row r="95" spans="1:6" hidden="1" x14ac:dyDescent="0.4">
      <c r="A95" s="482" t="str">
        <f>IF(C95&gt;0, "VRF TOTAL", "INVALID")</f>
        <v>INVALID</v>
      </c>
      <c r="B95" s="492">
        <f>SUM(B96:B117)</f>
        <v>0</v>
      </c>
      <c r="C95" s="493">
        <f>SUM(C96:C117)</f>
        <v>0</v>
      </c>
      <c r="D95" s="489"/>
      <c r="E95" s="512"/>
    </row>
    <row r="96" spans="1:6" hidden="1" x14ac:dyDescent="0.4">
      <c r="A96" s="484" t="str">
        <f t="shared" si="10"/>
        <v>INVALID</v>
      </c>
      <c r="B96" s="494">
        <f>'@VRF'!D2</f>
        <v>0</v>
      </c>
      <c r="C96" s="498">
        <f>'@VRF'!E2</f>
        <v>0</v>
      </c>
      <c r="D96" s="485">
        <f>'@VRF'!BQ2</f>
        <v>0</v>
      </c>
      <c r="E96" s="511"/>
    </row>
    <row r="97" spans="1:5" hidden="1" x14ac:dyDescent="0.4">
      <c r="A97" s="484" t="str">
        <f t="shared" si="10"/>
        <v>INVALID</v>
      </c>
      <c r="B97" s="494">
        <f>'@VRF'!D3</f>
        <v>0</v>
      </c>
      <c r="C97" s="498">
        <f>'@VRF'!E3</f>
        <v>0</v>
      </c>
      <c r="D97" s="485">
        <f>'@VRF'!BQ3</f>
        <v>0</v>
      </c>
      <c r="E97" s="511"/>
    </row>
    <row r="98" spans="1:5" hidden="1" x14ac:dyDescent="0.4">
      <c r="A98" s="484" t="str">
        <f t="shared" si="10"/>
        <v>INVALID</v>
      </c>
      <c r="B98" s="494">
        <f>'@VRF'!D4</f>
        <v>0</v>
      </c>
      <c r="C98" s="498">
        <f>'@VRF'!E4</f>
        <v>0</v>
      </c>
      <c r="D98" s="485">
        <f>'@VRF'!BQ4</f>
        <v>0</v>
      </c>
      <c r="E98" s="511"/>
    </row>
    <row r="99" spans="1:5" hidden="1" x14ac:dyDescent="0.4">
      <c r="A99" s="484" t="str">
        <f t="shared" si="10"/>
        <v>INVALID</v>
      </c>
      <c r="B99" s="494">
        <f>'@VRF'!D5</f>
        <v>0</v>
      </c>
      <c r="C99" s="498">
        <f>'@VRF'!E5</f>
        <v>0</v>
      </c>
      <c r="D99" s="485">
        <f>'@VRF'!BQ5</f>
        <v>0</v>
      </c>
      <c r="E99" s="511"/>
    </row>
    <row r="100" spans="1:5" hidden="1" x14ac:dyDescent="0.4">
      <c r="A100" s="484" t="str">
        <f t="shared" si="10"/>
        <v>INVALID</v>
      </c>
      <c r="B100" s="494">
        <f>'@VRF'!D6</f>
        <v>0</v>
      </c>
      <c r="C100" s="498">
        <f>'@VRF'!E6</f>
        <v>0</v>
      </c>
      <c r="D100" s="486">
        <f>'@VRF'!BQ6</f>
        <v>0</v>
      </c>
      <c r="E100" s="486"/>
    </row>
    <row r="101" spans="1:5" hidden="1" x14ac:dyDescent="0.4">
      <c r="A101" s="484" t="str">
        <f t="shared" si="10"/>
        <v>INVALID</v>
      </c>
      <c r="B101" s="494">
        <f>'@VRF'!D7</f>
        <v>0</v>
      </c>
      <c r="C101" s="498">
        <f>'@VRF'!E7</f>
        <v>0</v>
      </c>
      <c r="D101" s="486">
        <f>'@VRF'!BQ7</f>
        <v>0</v>
      </c>
      <c r="E101" s="486"/>
    </row>
    <row r="102" spans="1:5" hidden="1" x14ac:dyDescent="0.4">
      <c r="A102" s="484" t="str">
        <f t="shared" si="10"/>
        <v>INVALID</v>
      </c>
      <c r="B102" s="494">
        <f>'@VRF'!D8</f>
        <v>0</v>
      </c>
      <c r="C102" s="498">
        <f>'@VRF'!E8</f>
        <v>0</v>
      </c>
      <c r="D102" s="486">
        <f>'@VRF'!BQ8</f>
        <v>0</v>
      </c>
      <c r="E102" s="486"/>
    </row>
    <row r="103" spans="1:5" hidden="1" x14ac:dyDescent="0.4">
      <c r="A103" s="484" t="str">
        <f t="shared" si="10"/>
        <v>INVALID</v>
      </c>
      <c r="B103" s="494">
        <f>'@VRF'!D9</f>
        <v>0</v>
      </c>
      <c r="C103" s="498">
        <f>'@VRF'!E9</f>
        <v>0</v>
      </c>
      <c r="D103" s="486">
        <f>'@VRF'!BQ9</f>
        <v>0</v>
      </c>
      <c r="E103" s="486"/>
    </row>
    <row r="104" spans="1:5" hidden="1" x14ac:dyDescent="0.4">
      <c r="A104" s="484" t="str">
        <f t="shared" si="10"/>
        <v>INVALID</v>
      </c>
      <c r="B104" s="494">
        <f>'@VRF'!D10</f>
        <v>0</v>
      </c>
      <c r="C104" s="498">
        <f>'@VRF'!E10</f>
        <v>0</v>
      </c>
      <c r="D104" s="486">
        <f>'@VRF'!BQ10</f>
        <v>0</v>
      </c>
      <c r="E104" s="486"/>
    </row>
    <row r="105" spans="1:5" hidden="1" x14ac:dyDescent="0.4">
      <c r="A105" s="484" t="str">
        <f t="shared" si="10"/>
        <v>INVALID</v>
      </c>
      <c r="B105" s="494">
        <f>'@VRF'!D11</f>
        <v>0</v>
      </c>
      <c r="C105" s="498">
        <f>'@VRF'!E11</f>
        <v>0</v>
      </c>
      <c r="D105" s="486">
        <f>'@VRF'!BQ11</f>
        <v>0</v>
      </c>
      <c r="E105" s="486"/>
    </row>
    <row r="106" spans="1:5" hidden="1" x14ac:dyDescent="0.4">
      <c r="A106" s="484" t="str">
        <f t="shared" si="10"/>
        <v>INVALID</v>
      </c>
      <c r="B106" s="494">
        <f>'@VRF'!D12</f>
        <v>0</v>
      </c>
      <c r="C106" s="498">
        <f>'@VRF'!E12</f>
        <v>0</v>
      </c>
      <c r="D106" s="486">
        <f>'@VRF'!BQ12</f>
        <v>0</v>
      </c>
      <c r="E106" s="486"/>
    </row>
    <row r="107" spans="1:5" hidden="1" x14ac:dyDescent="0.4">
      <c r="A107" s="484" t="str">
        <f t="shared" si="10"/>
        <v>INVALID</v>
      </c>
      <c r="B107" s="494">
        <f>'@VRF'!D13</f>
        <v>0</v>
      </c>
      <c r="C107" s="498">
        <f>'@VRF'!E13</f>
        <v>0</v>
      </c>
      <c r="D107" s="486">
        <f>'@VRF'!BQ13</f>
        <v>0</v>
      </c>
      <c r="E107" s="486"/>
    </row>
    <row r="108" spans="1:5" hidden="1" x14ac:dyDescent="0.4">
      <c r="A108" s="484" t="str">
        <f t="shared" si="10"/>
        <v>INVALID</v>
      </c>
      <c r="B108" s="494">
        <f>'@VRF'!D14</f>
        <v>0</v>
      </c>
      <c r="C108" s="498">
        <f>'@VRF'!E14</f>
        <v>0</v>
      </c>
      <c r="D108" s="486">
        <f>'@VRF'!BQ14</f>
        <v>0</v>
      </c>
      <c r="E108" s="486"/>
    </row>
    <row r="109" spans="1:5" hidden="1" x14ac:dyDescent="0.4">
      <c r="A109" s="484" t="str">
        <f t="shared" si="10"/>
        <v>INVALID</v>
      </c>
      <c r="B109" s="494">
        <f>'@VRF'!D15</f>
        <v>0</v>
      </c>
      <c r="C109" s="498">
        <f>'@VRF'!E15</f>
        <v>0</v>
      </c>
      <c r="D109" s="486">
        <f>'@VRF'!BQ15</f>
        <v>0</v>
      </c>
      <c r="E109" s="486"/>
    </row>
    <row r="110" spans="1:5" hidden="1" x14ac:dyDescent="0.4">
      <c r="A110" s="484" t="str">
        <f t="shared" si="10"/>
        <v>INVALID</v>
      </c>
      <c r="B110" s="494">
        <f>'@VRF'!D16</f>
        <v>0</v>
      </c>
      <c r="C110" s="498">
        <f>'@VRF'!E16</f>
        <v>0</v>
      </c>
      <c r="D110" s="486" t="str">
        <f>'@VRF'!BQ16</f>
        <v xml:space="preserve"> </v>
      </c>
      <c r="E110" s="486"/>
    </row>
    <row r="111" spans="1:5" hidden="1" x14ac:dyDescent="0.4">
      <c r="A111" s="484" t="str">
        <f t="shared" si="10"/>
        <v>INVALID</v>
      </c>
      <c r="B111" s="494">
        <f>'@VRF'!D17</f>
        <v>0</v>
      </c>
      <c r="C111" s="498">
        <f>'@VRF'!E17</f>
        <v>0</v>
      </c>
      <c r="D111" s="486" t="str">
        <f>'@VRF'!BQ17</f>
        <v xml:space="preserve"> </v>
      </c>
      <c r="E111" s="486"/>
    </row>
    <row r="112" spans="1:5" hidden="1" x14ac:dyDescent="0.4">
      <c r="A112" s="484" t="str">
        <f t="shared" si="10"/>
        <v>INVALID</v>
      </c>
      <c r="B112" s="494">
        <f>'@VRF'!D18</f>
        <v>0</v>
      </c>
      <c r="C112" s="498">
        <f>'@VRF'!E18</f>
        <v>0</v>
      </c>
      <c r="D112" s="486" t="str">
        <f>'@VRF'!BQ18</f>
        <v xml:space="preserve"> </v>
      </c>
      <c r="E112" s="486"/>
    </row>
    <row r="113" spans="1:6" hidden="1" x14ac:dyDescent="0.4">
      <c r="A113" s="484" t="str">
        <f t="shared" si="10"/>
        <v>INVALID</v>
      </c>
      <c r="B113" s="494">
        <f>'@VRF'!D19</f>
        <v>0</v>
      </c>
      <c r="C113" s="498">
        <f>'@VRF'!E19</f>
        <v>0</v>
      </c>
      <c r="D113" s="486" t="str">
        <f>'@VRF'!BQ19</f>
        <v xml:space="preserve"> </v>
      </c>
      <c r="E113" s="486"/>
    </row>
    <row r="114" spans="1:6" hidden="1" x14ac:dyDescent="0.4">
      <c r="A114" s="484" t="str">
        <f t="shared" si="10"/>
        <v>INVALID</v>
      </c>
      <c r="B114" s="494">
        <f>'@VRF'!D20</f>
        <v>0</v>
      </c>
      <c r="C114" s="498">
        <f>'@VRF'!E20</f>
        <v>0</v>
      </c>
      <c r="D114" s="486" t="str">
        <f>'@VRF'!BQ20</f>
        <v xml:space="preserve"> </v>
      </c>
      <c r="E114" s="486"/>
    </row>
    <row r="115" spans="1:6" hidden="1" x14ac:dyDescent="0.4">
      <c r="A115" s="484" t="str">
        <f t="shared" si="10"/>
        <v>INVALID</v>
      </c>
      <c r="B115" s="494">
        <f>'@VRF'!D21</f>
        <v>0</v>
      </c>
      <c r="C115" s="498">
        <f>'@VRF'!E21</f>
        <v>0</v>
      </c>
      <c r="D115" s="486" t="str">
        <f>'@VRF'!BQ21</f>
        <v xml:space="preserve"> </v>
      </c>
      <c r="E115" s="486"/>
    </row>
    <row r="116" spans="1:6" hidden="1" x14ac:dyDescent="0.4">
      <c r="A116" s="484" t="str">
        <f t="shared" ref="A116:A168" si="11">IF(C116&gt;0, "", "INVALID")</f>
        <v>INVALID</v>
      </c>
      <c r="B116" s="494">
        <f>'@VRF'!D22</f>
        <v>0</v>
      </c>
      <c r="C116" s="498">
        <f>'@VRF'!E22</f>
        <v>0</v>
      </c>
      <c r="D116" s="486" t="str">
        <f>'@VRF'!BQ22</f>
        <v xml:space="preserve"> </v>
      </c>
      <c r="E116" s="486"/>
    </row>
    <row r="117" spans="1:6" ht="15" hidden="1" thickBot="1" x14ac:dyDescent="0.45">
      <c r="A117" s="487" t="str">
        <f t="shared" si="11"/>
        <v>INVALID</v>
      </c>
      <c r="B117" s="496">
        <f>'@VRF'!D23</f>
        <v>0</v>
      </c>
      <c r="C117" s="499">
        <f>'@VRF'!E23</f>
        <v>0</v>
      </c>
      <c r="D117" s="488" t="str">
        <f>'@VRF'!BQ23</f>
        <v/>
      </c>
      <c r="E117" s="488"/>
    </row>
    <row r="118" spans="1:6" ht="15" hidden="1" thickBot="1" x14ac:dyDescent="0.45">
      <c r="A118" s="567" t="str">
        <f>IF(A119="INVALID","INVALID","")</f>
        <v>INVALID</v>
      </c>
      <c r="B118" s="568"/>
      <c r="C118" s="568"/>
      <c r="D118" s="568"/>
      <c r="E118" s="569"/>
      <c r="F118" s="513"/>
    </row>
    <row r="119" spans="1:6" hidden="1" x14ac:dyDescent="0.4">
      <c r="A119" s="482" t="str">
        <f>IF(C119&gt;0, "CHILLER TOTAL", "INVALID")</f>
        <v>INVALID</v>
      </c>
      <c r="B119" s="492">
        <f>SUM(B120:B140)</f>
        <v>0</v>
      </c>
      <c r="C119" s="493">
        <f>SUM(C120:C140)</f>
        <v>0</v>
      </c>
      <c r="D119" s="489"/>
      <c r="E119" s="489"/>
    </row>
    <row r="120" spans="1:6" hidden="1" x14ac:dyDescent="0.4">
      <c r="A120" s="484" t="str">
        <f t="shared" si="11"/>
        <v>INVALID</v>
      </c>
      <c r="B120" s="494">
        <f>'@Chiller'!D2</f>
        <v>0</v>
      </c>
      <c r="C120" s="498">
        <f>'@Chiller'!E2</f>
        <v>0</v>
      </c>
      <c r="D120" s="486" t="e">
        <f>'@Chiller'!AS2</f>
        <v>#N/A</v>
      </c>
      <c r="E120" s="486"/>
    </row>
    <row r="121" spans="1:6" hidden="1" x14ac:dyDescent="0.4">
      <c r="A121" s="484" t="str">
        <f t="shared" si="11"/>
        <v>INVALID</v>
      </c>
      <c r="B121" s="494">
        <f>'@Chiller'!D3</f>
        <v>0</v>
      </c>
      <c r="C121" s="498">
        <f>'@Chiller'!E3</f>
        <v>0</v>
      </c>
      <c r="D121" s="486" t="e">
        <f>'@Chiller'!AS3</f>
        <v>#N/A</v>
      </c>
      <c r="E121" s="486"/>
    </row>
    <row r="122" spans="1:6" hidden="1" x14ac:dyDescent="0.4">
      <c r="A122" s="484" t="str">
        <f t="shared" si="11"/>
        <v>INVALID</v>
      </c>
      <c r="B122" s="494">
        <f>'@Chiller'!D4</f>
        <v>0</v>
      </c>
      <c r="C122" s="498">
        <f>'@Chiller'!E4</f>
        <v>0</v>
      </c>
      <c r="D122" s="486" t="e">
        <f>'@Chiller'!AS4</f>
        <v>#N/A</v>
      </c>
      <c r="E122" s="486"/>
    </row>
    <row r="123" spans="1:6" hidden="1" x14ac:dyDescent="0.4">
      <c r="A123" s="484" t="str">
        <f t="shared" si="11"/>
        <v>INVALID</v>
      </c>
      <c r="B123" s="494">
        <f>'@Chiller'!D5</f>
        <v>0</v>
      </c>
      <c r="C123" s="498">
        <f>'@Chiller'!E5</f>
        <v>0</v>
      </c>
      <c r="D123" s="486" t="e">
        <f>'@Chiller'!AS5</f>
        <v>#N/A</v>
      </c>
      <c r="E123" s="486"/>
    </row>
    <row r="124" spans="1:6" hidden="1" x14ac:dyDescent="0.4">
      <c r="A124" s="484" t="str">
        <f t="shared" si="11"/>
        <v>INVALID</v>
      </c>
      <c r="B124" s="494">
        <f>'@Chiller'!D6</f>
        <v>0</v>
      </c>
      <c r="C124" s="498">
        <f>'@Chiller'!E6</f>
        <v>0</v>
      </c>
      <c r="D124" s="486" t="e">
        <f>'@Chiller'!AS6</f>
        <v>#N/A</v>
      </c>
      <c r="E124" s="486"/>
    </row>
    <row r="125" spans="1:6" hidden="1" x14ac:dyDescent="0.4">
      <c r="A125" s="484" t="str">
        <f t="shared" si="11"/>
        <v>INVALID</v>
      </c>
      <c r="B125" s="494">
        <f>'@Chiller'!D7</f>
        <v>0</v>
      </c>
      <c r="C125" s="498">
        <f>'@Chiller'!E7</f>
        <v>0</v>
      </c>
      <c r="D125" s="486" t="e">
        <f>'@Chiller'!AS7</f>
        <v>#N/A</v>
      </c>
      <c r="E125" s="486"/>
    </row>
    <row r="126" spans="1:6" hidden="1" x14ac:dyDescent="0.4">
      <c r="A126" s="484" t="str">
        <f t="shared" si="11"/>
        <v>INVALID</v>
      </c>
      <c r="B126" s="494">
        <f>'@Chiller'!D8</f>
        <v>0</v>
      </c>
      <c r="C126" s="498">
        <f>'@Chiller'!E8</f>
        <v>0</v>
      </c>
      <c r="D126" s="486" t="e">
        <f>'@Chiller'!AS8</f>
        <v>#N/A</v>
      </c>
      <c r="E126" s="486"/>
    </row>
    <row r="127" spans="1:6" hidden="1" x14ac:dyDescent="0.4">
      <c r="A127" s="484" t="str">
        <f t="shared" si="11"/>
        <v>INVALID</v>
      </c>
      <c r="B127" s="494">
        <f>'@Chiller'!D9</f>
        <v>0</v>
      </c>
      <c r="C127" s="498">
        <f>'@Chiller'!E9</f>
        <v>0</v>
      </c>
      <c r="D127" s="486" t="e">
        <f>'@Chiller'!AS9</f>
        <v>#N/A</v>
      </c>
      <c r="E127" s="486"/>
    </row>
    <row r="128" spans="1:6" hidden="1" x14ac:dyDescent="0.4">
      <c r="A128" s="484" t="str">
        <f t="shared" si="11"/>
        <v>INVALID</v>
      </c>
      <c r="B128" s="494">
        <f>'@Chiller'!D10</f>
        <v>0</v>
      </c>
      <c r="C128" s="498">
        <f>'@Chiller'!E10</f>
        <v>0</v>
      </c>
      <c r="D128" s="486" t="e">
        <f>'@Chiller'!AS10</f>
        <v>#N/A</v>
      </c>
      <c r="E128" s="486"/>
    </row>
    <row r="129" spans="1:6" hidden="1" x14ac:dyDescent="0.4">
      <c r="A129" s="484" t="str">
        <f t="shared" si="11"/>
        <v>INVALID</v>
      </c>
      <c r="B129" s="494">
        <f>'@Chiller'!D11</f>
        <v>0</v>
      </c>
      <c r="C129" s="498">
        <f>'@Chiller'!E11</f>
        <v>0</v>
      </c>
      <c r="D129" s="486" t="e">
        <f>'@Chiller'!AS11</f>
        <v>#N/A</v>
      </c>
      <c r="E129" s="486"/>
    </row>
    <row r="130" spans="1:6" hidden="1" x14ac:dyDescent="0.4">
      <c r="A130" s="484" t="str">
        <f t="shared" si="11"/>
        <v>INVALID</v>
      </c>
      <c r="B130" s="494">
        <f>'@Chiller'!D12</f>
        <v>0</v>
      </c>
      <c r="C130" s="498">
        <f>'@Chiller'!E12</f>
        <v>0</v>
      </c>
      <c r="D130" s="486" t="e">
        <f>'@Chiller'!AS12</f>
        <v>#N/A</v>
      </c>
      <c r="E130" s="486"/>
    </row>
    <row r="131" spans="1:6" hidden="1" x14ac:dyDescent="0.4">
      <c r="A131" s="484" t="str">
        <f t="shared" si="11"/>
        <v>INVALID</v>
      </c>
      <c r="B131" s="494">
        <f>'@Chiller'!D13</f>
        <v>0</v>
      </c>
      <c r="C131" s="498">
        <f>'@Chiller'!E13</f>
        <v>0</v>
      </c>
      <c r="D131" s="486" t="e">
        <f>'@Chiller'!AS13</f>
        <v>#N/A</v>
      </c>
      <c r="E131" s="486"/>
    </row>
    <row r="132" spans="1:6" hidden="1" x14ac:dyDescent="0.4">
      <c r="A132" s="484" t="str">
        <f t="shared" si="11"/>
        <v>INVALID</v>
      </c>
      <c r="B132" s="494">
        <f>'@Chiller'!D14</f>
        <v>0</v>
      </c>
      <c r="C132" s="498">
        <f>'@Chiller'!E14</f>
        <v>0</v>
      </c>
      <c r="D132" s="486" t="e">
        <f>'@Chiller'!AS14</f>
        <v>#N/A</v>
      </c>
      <c r="E132" s="486"/>
    </row>
    <row r="133" spans="1:6" hidden="1" x14ac:dyDescent="0.4">
      <c r="A133" s="484" t="str">
        <f t="shared" si="11"/>
        <v>INVALID</v>
      </c>
      <c r="B133" s="494">
        <f>'@Chiller'!D15</f>
        <v>0</v>
      </c>
      <c r="C133" s="498">
        <f>'@Chiller'!E15</f>
        <v>0</v>
      </c>
      <c r="D133" s="486" t="e">
        <f>'@Chiller'!AS15</f>
        <v>#N/A</v>
      </c>
      <c r="E133" s="486"/>
    </row>
    <row r="134" spans="1:6" hidden="1" x14ac:dyDescent="0.4">
      <c r="A134" s="484" t="str">
        <f t="shared" si="11"/>
        <v>INVALID</v>
      </c>
      <c r="B134" s="494">
        <f>'@Chiller'!D16</f>
        <v>0</v>
      </c>
      <c r="C134" s="498">
        <f>'@Chiller'!E16</f>
        <v>0</v>
      </c>
      <c r="D134" s="486" t="e">
        <f>'@Chiller'!AS16</f>
        <v>#N/A</v>
      </c>
      <c r="E134" s="486"/>
    </row>
    <row r="135" spans="1:6" hidden="1" x14ac:dyDescent="0.4">
      <c r="A135" s="484" t="str">
        <f t="shared" si="11"/>
        <v>INVALID</v>
      </c>
      <c r="B135" s="494">
        <f>'@Chiller'!D17</f>
        <v>0</v>
      </c>
      <c r="C135" s="498">
        <f>'@Chiller'!E17</f>
        <v>0</v>
      </c>
      <c r="D135" s="486" t="e">
        <f>'@Chiller'!AS17</f>
        <v>#N/A</v>
      </c>
      <c r="E135" s="486"/>
    </row>
    <row r="136" spans="1:6" hidden="1" x14ac:dyDescent="0.4">
      <c r="A136" s="484" t="str">
        <f t="shared" si="11"/>
        <v>INVALID</v>
      </c>
      <c r="B136" s="494">
        <f>'@Chiller'!D18</f>
        <v>0</v>
      </c>
      <c r="C136" s="498">
        <f>'@Chiller'!E18</f>
        <v>0</v>
      </c>
      <c r="D136" s="486" t="e">
        <f>'@Chiller'!AS18</f>
        <v>#N/A</v>
      </c>
      <c r="E136" s="486"/>
    </row>
    <row r="137" spans="1:6" hidden="1" x14ac:dyDescent="0.4">
      <c r="A137" s="484" t="str">
        <f t="shared" si="11"/>
        <v>INVALID</v>
      </c>
      <c r="B137" s="494">
        <f>'@Chiller'!D19</f>
        <v>0</v>
      </c>
      <c r="C137" s="498">
        <f>'@Chiller'!E19</f>
        <v>0</v>
      </c>
      <c r="D137" s="486" t="e">
        <f>'@Chiller'!AS19</f>
        <v>#N/A</v>
      </c>
      <c r="E137" s="486"/>
    </row>
    <row r="138" spans="1:6" hidden="1" x14ac:dyDescent="0.4">
      <c r="A138" s="484" t="str">
        <f t="shared" si="11"/>
        <v>INVALID</v>
      </c>
      <c r="B138" s="494">
        <f>'@Chiller'!D20</f>
        <v>0</v>
      </c>
      <c r="C138" s="498">
        <f>'@Chiller'!E20</f>
        <v>0</v>
      </c>
      <c r="D138" s="486" t="e">
        <f>'@Chiller'!AS20</f>
        <v>#N/A</v>
      </c>
      <c r="E138" s="486"/>
    </row>
    <row r="139" spans="1:6" hidden="1" x14ac:dyDescent="0.4">
      <c r="A139" s="484" t="str">
        <f t="shared" si="11"/>
        <v>INVALID</v>
      </c>
      <c r="B139" s="494">
        <f>'@Chiller'!D21</f>
        <v>0</v>
      </c>
      <c r="C139" s="498">
        <f>'@Chiller'!E21</f>
        <v>0</v>
      </c>
      <c r="D139" s="486" t="e">
        <f>'@Chiller'!AS21</f>
        <v>#N/A</v>
      </c>
      <c r="E139" s="486"/>
    </row>
    <row r="140" spans="1:6" ht="15" hidden="1" thickBot="1" x14ac:dyDescent="0.45">
      <c r="A140" s="487" t="str">
        <f t="shared" si="11"/>
        <v>INVALID</v>
      </c>
      <c r="B140" s="496">
        <f>'@Chiller'!D22</f>
        <v>0</v>
      </c>
      <c r="C140" s="499">
        <f>'@Chiller'!E22</f>
        <v>0</v>
      </c>
      <c r="D140" s="488" t="e">
        <f>'@Chiller'!AS22</f>
        <v>#N/A</v>
      </c>
      <c r="E140" s="488"/>
    </row>
    <row r="141" spans="1:6" ht="15" hidden="1" thickBot="1" x14ac:dyDescent="0.45">
      <c r="A141" s="567" t="str">
        <f>IF(A142="INVALID","INVALID","")</f>
        <v>INVALID</v>
      </c>
      <c r="B141" s="568"/>
      <c r="C141" s="568"/>
      <c r="D141" s="568"/>
      <c r="E141" s="569"/>
      <c r="F141" s="513"/>
    </row>
    <row r="142" spans="1:6" hidden="1" x14ac:dyDescent="0.4">
      <c r="A142" s="482" t="str">
        <f>IF(C142&gt;0, "OTHER TOTAL", "INVALID")</f>
        <v>INVALID</v>
      </c>
      <c r="B142" s="492">
        <f>SUM(B143:B163)</f>
        <v>0</v>
      </c>
      <c r="C142" s="493">
        <f>SUM(C143:C163)</f>
        <v>0</v>
      </c>
      <c r="D142" s="489"/>
      <c r="E142" s="489"/>
    </row>
    <row r="143" spans="1:6" hidden="1" x14ac:dyDescent="0.4">
      <c r="A143" s="484" t="str">
        <f t="shared" si="11"/>
        <v>INVALID</v>
      </c>
      <c r="B143" s="494">
        <f>'@Other'!D2</f>
        <v>0</v>
      </c>
      <c r="C143" s="498">
        <f>'@Other'!E2</f>
        <v>0</v>
      </c>
      <c r="D143" s="486" t="str">
        <f>'@Other'!AE2</f>
        <v xml:space="preserve">FALSE with: </v>
      </c>
      <c r="E143" s="486"/>
    </row>
    <row r="144" spans="1:6" hidden="1" x14ac:dyDescent="0.4">
      <c r="A144" s="484" t="str">
        <f t="shared" si="11"/>
        <v>INVALID</v>
      </c>
      <c r="B144" s="494">
        <f>'@Other'!D3</f>
        <v>0</v>
      </c>
      <c r="C144" s="498">
        <f>'@Other'!E3</f>
        <v>0</v>
      </c>
      <c r="D144" s="486" t="str">
        <f>'@Other'!AE3</f>
        <v xml:space="preserve">FALSE with: </v>
      </c>
      <c r="E144" s="486"/>
    </row>
    <row r="145" spans="1:5" hidden="1" x14ac:dyDescent="0.4">
      <c r="A145" s="484" t="str">
        <f t="shared" si="11"/>
        <v>INVALID</v>
      </c>
      <c r="B145" s="494">
        <f>'@Other'!D4</f>
        <v>0</v>
      </c>
      <c r="C145" s="498">
        <f>'@Other'!E4</f>
        <v>0</v>
      </c>
      <c r="D145" s="486" t="str">
        <f>'@Other'!AE4</f>
        <v xml:space="preserve">FALSE with: </v>
      </c>
      <c r="E145" s="486"/>
    </row>
    <row r="146" spans="1:5" hidden="1" x14ac:dyDescent="0.4">
      <c r="A146" s="484" t="str">
        <f t="shared" si="11"/>
        <v>INVALID</v>
      </c>
      <c r="B146" s="494">
        <f>'@Other'!D5</f>
        <v>0</v>
      </c>
      <c r="C146" s="498">
        <f>'@Other'!E5</f>
        <v>0</v>
      </c>
      <c r="D146" s="486" t="str">
        <f>'@Other'!AE5</f>
        <v xml:space="preserve">FALSE with: </v>
      </c>
      <c r="E146" s="486"/>
    </row>
    <row r="147" spans="1:5" hidden="1" x14ac:dyDescent="0.4">
      <c r="A147" s="484" t="str">
        <f t="shared" si="11"/>
        <v>INVALID</v>
      </c>
      <c r="B147" s="494">
        <f>'@Other'!D6</f>
        <v>0</v>
      </c>
      <c r="C147" s="498">
        <f>'@Other'!E6</f>
        <v>0</v>
      </c>
      <c r="D147" s="486" t="str">
        <f>'@Other'!AE6</f>
        <v xml:space="preserve">FALSE with: </v>
      </c>
      <c r="E147" s="486"/>
    </row>
    <row r="148" spans="1:5" hidden="1" x14ac:dyDescent="0.4">
      <c r="A148" s="484" t="str">
        <f t="shared" si="11"/>
        <v>INVALID</v>
      </c>
      <c r="B148" s="494">
        <f>'@Other'!D7</f>
        <v>0</v>
      </c>
      <c r="C148" s="498">
        <f>'@Other'!E7</f>
        <v>0</v>
      </c>
      <c r="D148" s="486" t="str">
        <f>'@Other'!AE7</f>
        <v xml:space="preserve">FALSE with: </v>
      </c>
      <c r="E148" s="486"/>
    </row>
    <row r="149" spans="1:5" hidden="1" x14ac:dyDescent="0.4">
      <c r="A149" s="484" t="str">
        <f t="shared" si="11"/>
        <v>INVALID</v>
      </c>
      <c r="B149" s="494">
        <f>'@Other'!D8</f>
        <v>0</v>
      </c>
      <c r="C149" s="498">
        <f>'@Other'!E8</f>
        <v>0</v>
      </c>
      <c r="D149" s="486" t="str">
        <f>'@Other'!AE8</f>
        <v xml:space="preserve">FALSE with: </v>
      </c>
      <c r="E149" s="486"/>
    </row>
    <row r="150" spans="1:5" hidden="1" x14ac:dyDescent="0.4">
      <c r="A150" s="484" t="str">
        <f t="shared" si="11"/>
        <v>INVALID</v>
      </c>
      <c r="B150" s="494">
        <f>'@Other'!D9</f>
        <v>0</v>
      </c>
      <c r="C150" s="498">
        <f>'@Other'!E9</f>
        <v>0</v>
      </c>
      <c r="D150" s="486" t="str">
        <f>'@Other'!AE9</f>
        <v xml:space="preserve">FALSE with: </v>
      </c>
      <c r="E150" s="486"/>
    </row>
    <row r="151" spans="1:5" hidden="1" x14ac:dyDescent="0.4">
      <c r="A151" s="484" t="str">
        <f t="shared" si="11"/>
        <v>INVALID</v>
      </c>
      <c r="B151" s="494">
        <f>'@Other'!D10</f>
        <v>0</v>
      </c>
      <c r="C151" s="498">
        <f>'@Other'!E10</f>
        <v>0</v>
      </c>
      <c r="D151" s="486" t="str">
        <f>'@Other'!AE10</f>
        <v xml:space="preserve">FALSE with: </v>
      </c>
      <c r="E151" s="486"/>
    </row>
    <row r="152" spans="1:5" hidden="1" x14ac:dyDescent="0.4">
      <c r="A152" s="484" t="str">
        <f t="shared" si="11"/>
        <v>INVALID</v>
      </c>
      <c r="B152" s="494">
        <f>'@Other'!D11</f>
        <v>0</v>
      </c>
      <c r="C152" s="498">
        <f>'@Other'!E11</f>
        <v>0</v>
      </c>
      <c r="D152" s="486" t="str">
        <f>'@Other'!AE11</f>
        <v xml:space="preserve">FALSE with: </v>
      </c>
      <c r="E152" s="486"/>
    </row>
    <row r="153" spans="1:5" hidden="1" x14ac:dyDescent="0.4">
      <c r="A153" s="484" t="str">
        <f t="shared" si="11"/>
        <v>INVALID</v>
      </c>
      <c r="B153" s="494">
        <f>'@Other'!D12</f>
        <v>0</v>
      </c>
      <c r="C153" s="498">
        <f>'@Other'!E12</f>
        <v>0</v>
      </c>
      <c r="D153" s="486" t="str">
        <f>'@Other'!AE12</f>
        <v xml:space="preserve">FALSE with: </v>
      </c>
      <c r="E153" s="486"/>
    </row>
    <row r="154" spans="1:5" hidden="1" x14ac:dyDescent="0.4">
      <c r="A154" s="484" t="str">
        <f t="shared" si="11"/>
        <v>INVALID</v>
      </c>
      <c r="B154" s="494">
        <f>'@Other'!D13</f>
        <v>0</v>
      </c>
      <c r="C154" s="498">
        <f>'@Other'!E13</f>
        <v>0</v>
      </c>
      <c r="D154" s="486" t="str">
        <f>'@Other'!AE13</f>
        <v xml:space="preserve">FALSE with: </v>
      </c>
      <c r="E154" s="486"/>
    </row>
    <row r="155" spans="1:5" hidden="1" x14ac:dyDescent="0.4">
      <c r="A155" s="484" t="str">
        <f t="shared" si="11"/>
        <v>INVALID</v>
      </c>
      <c r="B155" s="494">
        <f>'@Other'!D14</f>
        <v>0</v>
      </c>
      <c r="C155" s="498">
        <f>'@Other'!E14</f>
        <v>0</v>
      </c>
      <c r="D155" s="486" t="str">
        <f>'@Other'!AE14</f>
        <v xml:space="preserve">FALSE with: </v>
      </c>
      <c r="E155" s="486"/>
    </row>
    <row r="156" spans="1:5" hidden="1" x14ac:dyDescent="0.4">
      <c r="A156" s="484" t="str">
        <f t="shared" si="11"/>
        <v>INVALID</v>
      </c>
      <c r="B156" s="494">
        <f>'@Other'!D15</f>
        <v>0</v>
      </c>
      <c r="C156" s="498">
        <f>'@Other'!E15</f>
        <v>0</v>
      </c>
      <c r="D156" s="486" t="str">
        <f>'@Other'!AE15</f>
        <v xml:space="preserve">FALSE with: </v>
      </c>
      <c r="E156" s="486"/>
    </row>
    <row r="157" spans="1:5" hidden="1" x14ac:dyDescent="0.4">
      <c r="A157" s="484" t="str">
        <f t="shared" si="11"/>
        <v>INVALID</v>
      </c>
      <c r="B157" s="494">
        <f>'@Other'!D16</f>
        <v>0</v>
      </c>
      <c r="C157" s="498">
        <f>'@Other'!E16</f>
        <v>0</v>
      </c>
      <c r="D157" s="486" t="str">
        <f>'@Other'!AE16</f>
        <v xml:space="preserve">FALSE with: </v>
      </c>
      <c r="E157" s="486"/>
    </row>
    <row r="158" spans="1:5" hidden="1" x14ac:dyDescent="0.4">
      <c r="A158" s="484" t="str">
        <f t="shared" si="11"/>
        <v>INVALID</v>
      </c>
      <c r="B158" s="494">
        <f>'@Other'!D17</f>
        <v>0</v>
      </c>
      <c r="C158" s="498">
        <f>'@Other'!E17</f>
        <v>0</v>
      </c>
      <c r="D158" s="486" t="str">
        <f>'@Other'!AE17</f>
        <v xml:space="preserve">FALSE with: </v>
      </c>
      <c r="E158" s="486"/>
    </row>
    <row r="159" spans="1:5" hidden="1" x14ac:dyDescent="0.4">
      <c r="A159" s="484" t="str">
        <f t="shared" si="11"/>
        <v>INVALID</v>
      </c>
      <c r="B159" s="494">
        <f>'@Other'!D18</f>
        <v>0</v>
      </c>
      <c r="C159" s="498">
        <f>'@Other'!E18</f>
        <v>0</v>
      </c>
      <c r="D159" s="486" t="str">
        <f>'@Other'!AE18</f>
        <v xml:space="preserve">FALSE with: </v>
      </c>
      <c r="E159" s="486"/>
    </row>
    <row r="160" spans="1:5" hidden="1" x14ac:dyDescent="0.4">
      <c r="A160" s="484" t="str">
        <f t="shared" si="11"/>
        <v>INVALID</v>
      </c>
      <c r="B160" s="494">
        <f>'@Other'!D19</f>
        <v>0</v>
      </c>
      <c r="C160" s="498">
        <f>'@Other'!E19</f>
        <v>0</v>
      </c>
      <c r="D160" s="486" t="str">
        <f>'@Other'!AE19</f>
        <v xml:space="preserve">FALSE with: </v>
      </c>
      <c r="E160" s="486"/>
    </row>
    <row r="161" spans="1:6" hidden="1" x14ac:dyDescent="0.4">
      <c r="A161" s="484" t="str">
        <f t="shared" si="11"/>
        <v>INVALID</v>
      </c>
      <c r="B161" s="494">
        <f>'@Other'!D20</f>
        <v>0</v>
      </c>
      <c r="C161" s="498">
        <f>'@Other'!E20</f>
        <v>0</v>
      </c>
      <c r="D161" s="486" t="str">
        <f>'@Other'!AE20</f>
        <v xml:space="preserve">FALSE with: </v>
      </c>
      <c r="E161" s="486"/>
    </row>
    <row r="162" spans="1:6" hidden="1" x14ac:dyDescent="0.4">
      <c r="A162" s="484" t="str">
        <f t="shared" si="11"/>
        <v>INVALID</v>
      </c>
      <c r="B162" s="494">
        <f>'@Other'!D21</f>
        <v>0</v>
      </c>
      <c r="C162" s="498">
        <f>'@Other'!E21</f>
        <v>0</v>
      </c>
      <c r="D162" s="486" t="str">
        <f>'@Other'!AE21</f>
        <v xml:space="preserve">FALSE with: </v>
      </c>
      <c r="E162" s="486"/>
    </row>
    <row r="163" spans="1:6" ht="15" hidden="1" thickBot="1" x14ac:dyDescent="0.45">
      <c r="A163" s="487" t="str">
        <f t="shared" si="11"/>
        <v>INVALID</v>
      </c>
      <c r="B163" s="496">
        <f>'@Other'!D22</f>
        <v>0</v>
      </c>
      <c r="C163" s="499">
        <f>'@Other'!E22</f>
        <v>0</v>
      </c>
      <c r="D163" s="488" t="str">
        <f>'@Other'!AE22</f>
        <v xml:space="preserve">FALSE with: </v>
      </c>
      <c r="E163" s="488"/>
    </row>
    <row r="164" spans="1:6" ht="15" hidden="1" thickBot="1" x14ac:dyDescent="0.45">
      <c r="A164" s="567" t="str">
        <f>IF(A165="INVALID","INVALID","")</f>
        <v>INVALID</v>
      </c>
      <c r="B164" s="568"/>
      <c r="C164" s="568"/>
      <c r="D164" s="568"/>
      <c r="E164" s="569"/>
      <c r="F164" s="513"/>
    </row>
    <row r="165" spans="1:6" hidden="1" x14ac:dyDescent="0.4">
      <c r="A165" s="482" t="str">
        <f>IF(C165&gt;0, "CAR PARK TOTAL", "INVALID")</f>
        <v>INVALID</v>
      </c>
      <c r="B165" s="492">
        <f>SUM(B166:B168)</f>
        <v>0</v>
      </c>
      <c r="C165" s="493">
        <f>SUM(C166:C168)</f>
        <v>0</v>
      </c>
      <c r="D165" s="489"/>
      <c r="E165" s="489"/>
    </row>
    <row r="166" spans="1:6" hidden="1" x14ac:dyDescent="0.4">
      <c r="A166" s="484" t="str">
        <f t="shared" si="11"/>
        <v>INVALID</v>
      </c>
      <c r="B166" s="494">
        <f>'@Car Park'!C30</f>
        <v>0</v>
      </c>
      <c r="C166" s="498">
        <f>'@Car Park'!C1</f>
        <v>0</v>
      </c>
      <c r="D166" s="486" t="str">
        <f>'@Car Park'!B1</f>
        <v>CO Sensors</v>
      </c>
      <c r="E166" s="486"/>
    </row>
    <row r="167" spans="1:6" hidden="1" x14ac:dyDescent="0.4">
      <c r="A167" s="484" t="str">
        <f t="shared" si="11"/>
        <v>INVALID</v>
      </c>
      <c r="B167" s="494">
        <f>'@Car Park'!C26-'@Car Park'!C30</f>
        <v>0</v>
      </c>
      <c r="C167" s="498">
        <f>'@Car Park'!C2</f>
        <v>0</v>
      </c>
      <c r="D167" s="486" t="str">
        <f>'@Car Park'!B2</f>
        <v>Carpark Fans</v>
      </c>
      <c r="E167" s="486"/>
    </row>
    <row r="168" spans="1:6" ht="15" hidden="1" thickBot="1" x14ac:dyDescent="0.45">
      <c r="A168" s="504" t="str">
        <f t="shared" si="11"/>
        <v>INVALID</v>
      </c>
      <c r="B168" s="505">
        <f>'@Car Park'!C63</f>
        <v>0</v>
      </c>
      <c r="C168" s="506">
        <f>'@Car Park'!C4</f>
        <v>0</v>
      </c>
      <c r="D168" s="507" t="str">
        <f>'@Car Park'!B4</f>
        <v>Pump Fans</v>
      </c>
      <c r="E168" s="507"/>
    </row>
    <row r="169" spans="1:6" ht="15" thickBot="1" x14ac:dyDescent="0.45">
      <c r="A169" s="567" t="str">
        <f>IF(A170="INVALID","INVALID","")</f>
        <v/>
      </c>
      <c r="B169" s="568"/>
      <c r="C169" s="568"/>
      <c r="D169" s="568"/>
      <c r="E169" s="569"/>
      <c r="F169" s="513"/>
    </row>
    <row r="170" spans="1:6" x14ac:dyDescent="0.4">
      <c r="A170" s="563" t="s">
        <v>1347</v>
      </c>
      <c r="B170" s="564"/>
      <c r="C170" s="564"/>
      <c r="D170" s="564"/>
      <c r="E170" s="565"/>
    </row>
    <row r="171" spans="1:6" ht="94.4" customHeight="1" thickBot="1" x14ac:dyDescent="0.45">
      <c r="A171" s="560" t="s">
        <v>1348</v>
      </c>
      <c r="B171" s="561"/>
      <c r="C171" s="561"/>
      <c r="D171" s="561"/>
      <c r="E171" s="562"/>
    </row>
    <row r="172" spans="1:6" ht="15.45" customHeight="1" thickBot="1" x14ac:dyDescent="0.45">
      <c r="A172" s="567" t="str">
        <f>IF(A173="INVALID","INVALID","")</f>
        <v/>
      </c>
      <c r="B172" s="568"/>
      <c r="C172" s="568"/>
      <c r="D172" s="568"/>
      <c r="E172" s="569"/>
      <c r="F172" s="513"/>
    </row>
    <row r="173" spans="1:6" x14ac:dyDescent="0.4">
      <c r="A173" s="563" t="s">
        <v>1362</v>
      </c>
      <c r="B173" s="564"/>
      <c r="C173" s="564"/>
      <c r="D173" s="564"/>
      <c r="E173" s="565"/>
    </row>
    <row r="174" spans="1:6" x14ac:dyDescent="0.4">
      <c r="A174" s="501" t="s">
        <v>1354</v>
      </c>
      <c r="B174" s="502"/>
      <c r="C174" s="502"/>
      <c r="D174" s="502"/>
      <c r="E174" s="503"/>
    </row>
    <row r="175" spans="1:6" x14ac:dyDescent="0.4">
      <c r="A175" s="501" t="s">
        <v>1355</v>
      </c>
      <c r="B175" s="502"/>
      <c r="C175" s="502"/>
      <c r="D175" s="502"/>
      <c r="E175" s="503"/>
    </row>
    <row r="176" spans="1:6" x14ac:dyDescent="0.4">
      <c r="A176" s="501" t="s">
        <v>1356</v>
      </c>
      <c r="B176" s="502"/>
      <c r="C176" s="502"/>
      <c r="D176" s="502"/>
      <c r="E176" s="503"/>
    </row>
    <row r="177" spans="1:5" x14ac:dyDescent="0.4">
      <c r="A177" s="501" t="s">
        <v>1357</v>
      </c>
      <c r="B177" s="502"/>
      <c r="C177" s="502"/>
      <c r="D177" s="502"/>
      <c r="E177" s="503"/>
    </row>
    <row r="178" spans="1:5" x14ac:dyDescent="0.4">
      <c r="A178" s="501" t="s">
        <v>1358</v>
      </c>
      <c r="B178" s="502"/>
      <c r="C178" s="502"/>
      <c r="D178" s="502"/>
      <c r="E178" s="503"/>
    </row>
    <row r="179" spans="1:5" x14ac:dyDescent="0.4">
      <c r="A179" s="501" t="s">
        <v>1359</v>
      </c>
      <c r="B179" s="502"/>
      <c r="C179" s="502"/>
      <c r="D179" s="502"/>
      <c r="E179" s="503"/>
    </row>
    <row r="180" spans="1:5" x14ac:dyDescent="0.4">
      <c r="A180" s="501" t="s">
        <v>1360</v>
      </c>
      <c r="B180" s="502"/>
      <c r="C180" s="502"/>
      <c r="D180" s="502"/>
      <c r="E180" s="503"/>
    </row>
    <row r="181" spans="1:5" ht="15" thickBot="1" x14ac:dyDescent="0.45">
      <c r="A181" s="500" t="s">
        <v>1361</v>
      </c>
      <c r="B181" s="321"/>
      <c r="C181" s="321"/>
      <c r="D181" s="321"/>
      <c r="E181" s="322"/>
    </row>
  </sheetData>
  <autoFilter ref="A47:D181" xr:uid="{00000000-0009-0000-0000-000000000000}">
    <filterColumn colId="0">
      <filters blank="1">
        <filter val="1.    Strip out or demolition works"/>
        <filter val="2.    Cabling from MSSB's to BMS system"/>
        <filter val="3.    Cabling from MSB to MSSBs"/>
        <filter val="4.    Fire cabling from FIP."/>
        <filter val="5.    All interfacing controls to BMS (except for BMS terminals in MSSB’s)"/>
        <filter val="6.    Local power supply and isolator for locally powered units."/>
        <filter val="7.    Proprietary air-conditioning controllers supply and installation."/>
        <filter val="8.    Interface card for air-conditioning controllers."/>
        <filter val="FAN TOTAL"/>
        <filter val="GENERAL EXCLUSIONS"/>
        <filter val="JOB TOTAL"/>
        <filter val="MSSB TOTAL"/>
        <filter val="NOTES"/>
        <filter val="There are currently no special notes"/>
        <filter val="VRF TOTAL"/>
      </filters>
    </filterColumn>
  </autoFilter>
  <mergeCells count="14">
    <mergeCell ref="A173:E173"/>
    <mergeCell ref="A71:E71"/>
    <mergeCell ref="A94:E94"/>
    <mergeCell ref="A141:E141"/>
    <mergeCell ref="A118:E118"/>
    <mergeCell ref="A164:E164"/>
    <mergeCell ref="A169:E169"/>
    <mergeCell ref="A172:E172"/>
    <mergeCell ref="Q1:U1"/>
    <mergeCell ref="Q2:U14"/>
    <mergeCell ref="A46:E46"/>
    <mergeCell ref="A171:E171"/>
    <mergeCell ref="A170:E170"/>
    <mergeCell ref="D6:O6"/>
  </mergeCells>
  <conditionalFormatting sqref="D8:O8">
    <cfRule type="expression" dxfId="864" priority="10">
      <formula>IF(ROW() = ROW(), TRUE, FALSE)</formula>
    </cfRule>
  </conditionalFormatting>
  <conditionalFormatting sqref="E18:G18">
    <cfRule type="expression" dxfId="863" priority="5">
      <formula>IF(ROW() = ROW(), TRUE, FALSE)</formula>
    </cfRule>
  </conditionalFormatting>
  <conditionalFormatting sqref="D19">
    <cfRule type="expression" dxfId="862" priority="4">
      <formula>IF(ROW() = ROW(), TRUE, FALSE)</formula>
    </cfRule>
  </conditionalFormatting>
  <conditionalFormatting sqref="L1:M1">
    <cfRule type="expression" dxfId="861" priority="3">
      <formula>IF(ROW() = ROW(), TRUE, FALSE)</formula>
    </cfRule>
  </conditionalFormatting>
  <conditionalFormatting sqref="G1:G2">
    <cfRule type="expression" dxfId="860" priority="2">
      <formula>IF(ROW() = ROW(), TRUE, FALSE)</formula>
    </cfRule>
  </conditionalFormatting>
  <conditionalFormatting sqref="H1:H2">
    <cfRule type="cellIs" dxfId="859" priority="1" operator="notEqual">
      <formula>0</formula>
    </cfRule>
  </conditionalFormatting>
  <pageMargins left="0.25" right="0.25"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'@Car Park'!$A$2:$A$3</xm:f>
          </x14:formula1>
          <xm:sqref>E36:E37 E39:E40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42"/>
  <sheetViews>
    <sheetView topLeftCell="M1" workbookViewId="0">
      <selection activeCell="J2" sqref="J2"/>
    </sheetView>
  </sheetViews>
  <sheetFormatPr defaultColWidth="9.23046875" defaultRowHeight="14.6" x14ac:dyDescent="0.4"/>
  <cols>
    <col min="1" max="3" width="12.23046875" style="114" customWidth="1"/>
    <col min="4" max="4" width="29.84375" style="114" customWidth="1"/>
    <col min="5" max="10" width="12.23046875" style="114" customWidth="1"/>
    <col min="11" max="13" width="9.23046875" style="114"/>
    <col min="14" max="14" width="27.765625" style="114" customWidth="1"/>
    <col min="15" max="17" width="9.23046875" style="114"/>
    <col min="18" max="18" width="21.3046875" style="114" customWidth="1"/>
    <col min="19" max="19" width="28.07421875" style="114" customWidth="1"/>
    <col min="20" max="20" width="40.84375" style="114" customWidth="1"/>
    <col min="21" max="16384" width="9.23046875" style="114"/>
  </cols>
  <sheetData>
    <row r="1" spans="1:26" s="418" customFormat="1" ht="43.75" x14ac:dyDescent="0.4">
      <c r="A1" s="418" t="s">
        <v>676</v>
      </c>
      <c r="B1" s="418" t="s">
        <v>982</v>
      </c>
      <c r="C1" s="418" t="s">
        <v>983</v>
      </c>
      <c r="D1" s="418" t="s">
        <v>984</v>
      </c>
      <c r="E1" s="418" t="s">
        <v>669</v>
      </c>
      <c r="F1" s="418" t="s">
        <v>985</v>
      </c>
      <c r="G1" s="418" t="s">
        <v>986</v>
      </c>
      <c r="H1" s="418" t="s">
        <v>987</v>
      </c>
      <c r="I1" s="418" t="s">
        <v>988</v>
      </c>
      <c r="J1" s="418" t="s">
        <v>989</v>
      </c>
      <c r="K1" s="418" t="s">
        <v>1240</v>
      </c>
      <c r="L1" s="418" t="s">
        <v>1287</v>
      </c>
      <c r="M1" s="418" t="s">
        <v>1003</v>
      </c>
      <c r="N1" s="418" t="s">
        <v>994</v>
      </c>
      <c r="O1" s="418" t="s">
        <v>995</v>
      </c>
      <c r="P1" s="418" t="s">
        <v>996</v>
      </c>
    </row>
    <row r="2" spans="1:26" x14ac:dyDescent="0.4">
      <c r="A2" s="114" t="s">
        <v>990</v>
      </c>
      <c r="B2" s="114" t="s">
        <v>885</v>
      </c>
      <c r="C2" s="114" t="s">
        <v>885</v>
      </c>
      <c r="D2" s="114" t="s">
        <v>984</v>
      </c>
      <c r="E2" s="114" t="s">
        <v>885</v>
      </c>
      <c r="F2" s="114" t="s">
        <v>885</v>
      </c>
      <c r="G2" s="114" t="s">
        <v>885</v>
      </c>
      <c r="H2" s="114" t="s">
        <v>885</v>
      </c>
      <c r="I2" s="114" t="s">
        <v>885</v>
      </c>
      <c r="J2" s="114" t="s">
        <v>885</v>
      </c>
      <c r="K2" s="114" t="s">
        <v>885</v>
      </c>
      <c r="L2" s="114" t="s">
        <v>886</v>
      </c>
      <c r="M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68.45</v>
      </c>
      <c r="P2" s="114">
        <f>1+IFERROR(R3*VLOOKUP(R2,'Part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2</v>
      </c>
      <c r="Q2" s="114" t="s">
        <v>997</v>
      </c>
      <c r="R2" s="114" t="s">
        <v>253</v>
      </c>
      <c r="S2" s="114" t="s">
        <v>998</v>
      </c>
      <c r="T2" s="114" t="s">
        <v>268</v>
      </c>
      <c r="U2" s="114" t="s">
        <v>999</v>
      </c>
      <c r="V2" s="114" t="s">
        <v>1000</v>
      </c>
    </row>
    <row r="3" spans="1:26" x14ac:dyDescent="0.4">
      <c r="A3" s="114" t="s">
        <v>678</v>
      </c>
      <c r="B3" s="114" t="s">
        <v>886</v>
      </c>
      <c r="C3" s="114" t="s">
        <v>886</v>
      </c>
      <c r="D3" s="114" t="s">
        <v>992</v>
      </c>
      <c r="E3" s="114" t="s">
        <v>886</v>
      </c>
      <c r="F3" s="114" t="s">
        <v>886</v>
      </c>
      <c r="G3" s="114" t="s">
        <v>886</v>
      </c>
      <c r="H3" s="114" t="s">
        <v>886</v>
      </c>
      <c r="I3" s="114" t="s">
        <v>886</v>
      </c>
      <c r="J3" s="114" t="s">
        <v>886</v>
      </c>
      <c r="K3" s="114" t="s">
        <v>886</v>
      </c>
      <c r="L3" s="114" t="s">
        <v>1248</v>
      </c>
      <c r="M3" s="114" t="s">
        <v>886</v>
      </c>
      <c r="R3" s="114">
        <v>1</v>
      </c>
      <c r="S3" s="114">
        <v>0</v>
      </c>
      <c r="T3" s="114" t="s">
        <v>1001</v>
      </c>
      <c r="U3" s="114">
        <v>1</v>
      </c>
      <c r="V3" s="114">
        <v>1</v>
      </c>
    </row>
    <row r="4" spans="1:26" x14ac:dyDescent="0.4">
      <c r="D4" s="114" t="s">
        <v>991</v>
      </c>
      <c r="L4" s="114" t="s">
        <v>1288</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1002</v>
      </c>
      <c r="R4" s="114" t="s">
        <v>253</v>
      </c>
      <c r="S4" s="114" t="s">
        <v>998</v>
      </c>
      <c r="T4" s="114" t="s">
        <v>268</v>
      </c>
      <c r="U4" s="114" t="s">
        <v>304</v>
      </c>
      <c r="V4" s="114" t="s">
        <v>1344</v>
      </c>
      <c r="W4" s="114" t="s">
        <v>1003</v>
      </c>
      <c r="X4" s="114" t="s">
        <v>1004</v>
      </c>
      <c r="Y4" s="114" t="s">
        <v>1000</v>
      </c>
    </row>
    <row r="5" spans="1:26" x14ac:dyDescent="0.4">
      <c r="D5" s="114" t="s">
        <v>993</v>
      </c>
      <c r="R5" s="114">
        <v>1</v>
      </c>
      <c r="S5" s="114">
        <v>1</v>
      </c>
      <c r="T5" s="114" t="s">
        <v>1001</v>
      </c>
      <c r="U5" s="114">
        <v>1</v>
      </c>
      <c r="V5" s="114">
        <v>1</v>
      </c>
      <c r="W5" s="114">
        <v>1</v>
      </c>
      <c r="X5" s="114">
        <v>1</v>
      </c>
      <c r="Y5" s="114">
        <v>1</v>
      </c>
      <c r="Z5" s="114">
        <v>1</v>
      </c>
    </row>
    <row r="6" spans="1:26" x14ac:dyDescent="0.4">
      <c r="D6" s="114" t="s">
        <v>886</v>
      </c>
      <c r="N6" s="114" t="s">
        <v>982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1005</v>
      </c>
      <c r="R6" s="114" t="s">
        <v>268</v>
      </c>
    </row>
    <row r="7" spans="1:26" x14ac:dyDescent="0.4">
      <c r="R7" s="114">
        <v>5</v>
      </c>
    </row>
    <row r="8" spans="1:26" x14ac:dyDescent="0.4">
      <c r="N8" s="114" t="s">
        <v>983</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38.65</v>
      </c>
      <c r="P8" s="114">
        <f>0.15+IFERROR(R9*VLOOKUP(R8,'Part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0.25</v>
      </c>
      <c r="Q8" s="114" t="s">
        <v>1006</v>
      </c>
      <c r="R8" s="114" t="s">
        <v>268</v>
      </c>
      <c r="S8" s="114" t="s">
        <v>1389</v>
      </c>
    </row>
    <row r="9" spans="1:26" x14ac:dyDescent="0.4">
      <c r="R9" s="114">
        <v>1</v>
      </c>
      <c r="S9" s="114">
        <v>1</v>
      </c>
    </row>
    <row r="10" spans="1:26" x14ac:dyDescent="0.4">
      <c r="N10" s="114" t="s">
        <v>984</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0.1</v>
      </c>
      <c r="Q10" s="114" t="s">
        <v>1007</v>
      </c>
      <c r="R10" s="114" t="s">
        <v>418</v>
      </c>
      <c r="S10" s="114" t="s">
        <v>326</v>
      </c>
    </row>
    <row r="11" spans="1:26" x14ac:dyDescent="0.4">
      <c r="R11" s="114">
        <v>1</v>
      </c>
      <c r="S11" s="114">
        <v>1</v>
      </c>
    </row>
    <row r="12" spans="1:26" x14ac:dyDescent="0.4">
      <c r="N12" s="114" t="s">
        <v>992</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0.1</v>
      </c>
      <c r="Q12" s="114" t="s">
        <v>1008</v>
      </c>
      <c r="R12" s="114" t="s">
        <v>831</v>
      </c>
      <c r="S12" s="114" t="s">
        <v>697</v>
      </c>
      <c r="T12" s="114" t="s">
        <v>418</v>
      </c>
    </row>
    <row r="13" spans="1:26" x14ac:dyDescent="0.4">
      <c r="R13" s="114">
        <v>1</v>
      </c>
      <c r="S13" s="114">
        <v>1</v>
      </c>
      <c r="T13" s="114">
        <v>1</v>
      </c>
    </row>
    <row r="14" spans="1:26" x14ac:dyDescent="0.4">
      <c r="A14" s="33" t="s">
        <v>974</v>
      </c>
      <c r="N14" s="114" t="s">
        <v>991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0.1</v>
      </c>
      <c r="Q14" s="114" t="s">
        <v>1009</v>
      </c>
      <c r="R14" s="114" t="s">
        <v>418</v>
      </c>
      <c r="S14" s="114" t="s">
        <v>326</v>
      </c>
    </row>
    <row r="15" spans="1:26" x14ac:dyDescent="0.4">
      <c r="A15" s="114" t="s">
        <v>964</v>
      </c>
      <c r="B15" s="114" t="s">
        <v>976</v>
      </c>
      <c r="R15" s="114">
        <v>1</v>
      </c>
      <c r="S15" s="114">
        <v>1</v>
      </c>
    </row>
    <row r="16" spans="1:26" x14ac:dyDescent="0.4">
      <c r="A16" s="114" t="s">
        <v>977</v>
      </c>
      <c r="B16" s="114" t="s">
        <v>978</v>
      </c>
      <c r="N16" s="114" t="s">
        <v>993</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0.1</v>
      </c>
      <c r="Q16" s="114" t="s">
        <v>1010</v>
      </c>
      <c r="R16" s="114" t="s">
        <v>418</v>
      </c>
      <c r="S16" s="114" t="s">
        <v>326</v>
      </c>
    </row>
    <row r="17" spans="14:29" x14ac:dyDescent="0.4">
      <c r="R17" s="114">
        <v>1</v>
      </c>
      <c r="S17" s="114">
        <v>1</v>
      </c>
    </row>
    <row r="18" spans="14:29" x14ac:dyDescent="0.4">
      <c r="N18" s="114" t="s">
        <v>669</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0.1</v>
      </c>
      <c r="Q18" s="114" t="s">
        <v>1011</v>
      </c>
      <c r="R18" s="114" t="s">
        <v>669</v>
      </c>
      <c r="S18" s="114" t="s">
        <v>418</v>
      </c>
      <c r="T18" s="114" t="s">
        <v>326</v>
      </c>
    </row>
    <row r="19" spans="14:29" x14ac:dyDescent="0.4">
      <c r="R19" s="114">
        <v>1</v>
      </c>
      <c r="S19" s="114">
        <v>1</v>
      </c>
      <c r="T19" s="114">
        <v>1</v>
      </c>
    </row>
    <row r="20" spans="14:29" x14ac:dyDescent="0.4">
      <c r="N20" s="114" t="s">
        <v>985</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0.1</v>
      </c>
      <c r="Q20" s="114" t="s">
        <v>1012</v>
      </c>
      <c r="R20" s="114" t="s">
        <v>985</v>
      </c>
      <c r="S20" s="114" t="s">
        <v>418</v>
      </c>
      <c r="T20" s="114" t="s">
        <v>326</v>
      </c>
    </row>
    <row r="21" spans="14:29" x14ac:dyDescent="0.4">
      <c r="R21" s="114">
        <v>1</v>
      </c>
      <c r="S21" s="114">
        <v>1</v>
      </c>
      <c r="T21" s="114">
        <v>1</v>
      </c>
    </row>
    <row r="22" spans="14:29" x14ac:dyDescent="0.4">
      <c r="N22" s="114" t="s">
        <v>986</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1013</v>
      </c>
      <c r="R22" s="114" t="s">
        <v>986</v>
      </c>
    </row>
    <row r="23" spans="14:29" x14ac:dyDescent="0.4">
      <c r="R23" s="114">
        <v>1</v>
      </c>
    </row>
    <row r="24" spans="14:29" x14ac:dyDescent="0.4">
      <c r="N24" s="114" t="s">
        <v>987</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1014</v>
      </c>
      <c r="R24" s="114" t="s">
        <v>588</v>
      </c>
    </row>
    <row r="25" spans="14:29" x14ac:dyDescent="0.4">
      <c r="R25" s="114">
        <v>1</v>
      </c>
    </row>
    <row r="26" spans="14:29" x14ac:dyDescent="0.4">
      <c r="N26" s="114" t="s">
        <v>988</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1015</v>
      </c>
      <c r="R26" s="114" t="s">
        <v>304</v>
      </c>
    </row>
    <row r="27" spans="14:29" x14ac:dyDescent="0.4">
      <c r="R27" s="114">
        <v>1</v>
      </c>
    </row>
    <row r="28" spans="14:29" x14ac:dyDescent="0.4">
      <c r="N28" s="114" t="s">
        <v>989</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1016</v>
      </c>
      <c r="R28" s="114" t="s">
        <v>269</v>
      </c>
      <c r="S28" s="114" t="s">
        <v>831</v>
      </c>
    </row>
    <row r="29" spans="14:29" x14ac:dyDescent="0.4">
      <c r="R29" s="114">
        <v>20</v>
      </c>
      <c r="S29" s="114">
        <v>1</v>
      </c>
    </row>
    <row r="30" spans="14:29" x14ac:dyDescent="0.4">
      <c r="N30" s="114" t="s">
        <v>886</v>
      </c>
      <c r="O30" s="114">
        <v>0</v>
      </c>
      <c r="P30" s="114">
        <v>0</v>
      </c>
      <c r="Q30" s="114" t="s">
        <v>1017</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1248</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3</v>
      </c>
      <c r="Q32" s="114" t="s">
        <v>1249</v>
      </c>
      <c r="R32" s="114" t="s">
        <v>268</v>
      </c>
      <c r="S32" s="114" t="s">
        <v>268</v>
      </c>
      <c r="T32" s="114" t="s">
        <v>418</v>
      </c>
      <c r="U32" s="114" t="s">
        <v>1250</v>
      </c>
      <c r="V32" s="114" t="s">
        <v>1040</v>
      </c>
      <c r="W32" s="114" t="s">
        <v>1344</v>
      </c>
      <c r="X32" s="117" t="s">
        <v>326</v>
      </c>
      <c r="Y32" s="114" t="s">
        <v>1003</v>
      </c>
      <c r="Z32" s="135" t="s">
        <v>831</v>
      </c>
      <c r="AA32" s="114" t="s">
        <v>304</v>
      </c>
      <c r="AB32" s="114" t="s">
        <v>1004</v>
      </c>
    </row>
    <row r="33" spans="14:31" x14ac:dyDescent="0.4">
      <c r="R33" s="114" t="s">
        <v>1001</v>
      </c>
      <c r="S33" s="114" t="s">
        <v>1001</v>
      </c>
      <c r="T33" s="114" t="s">
        <v>1001</v>
      </c>
      <c r="U33" s="114">
        <v>1</v>
      </c>
      <c r="V33" s="114">
        <v>1</v>
      </c>
      <c r="W33" s="117">
        <v>1</v>
      </c>
      <c r="X33" s="446">
        <v>1</v>
      </c>
      <c r="Y33" s="446">
        <v>2</v>
      </c>
      <c r="Z33" s="446">
        <v>1</v>
      </c>
      <c r="AA33" s="446">
        <v>1</v>
      </c>
      <c r="AB33" s="446">
        <v>1</v>
      </c>
    </row>
    <row r="34" spans="14:31" x14ac:dyDescent="0.4">
      <c r="N34" s="114" t="s">
        <v>1003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831</v>
      </c>
      <c r="T34" s="114" t="s">
        <v>1003</v>
      </c>
    </row>
    <row r="35" spans="14:31" x14ac:dyDescent="0.4">
      <c r="R35" s="114" t="s">
        <v>1001</v>
      </c>
      <c r="S35" s="114">
        <v>1</v>
      </c>
      <c r="T35" s="114">
        <v>2</v>
      </c>
    </row>
    <row r="36" spans="14:31" x14ac:dyDescent="0.4">
      <c r="N36" s="114" t="s">
        <v>1288</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5</v>
      </c>
      <c r="Q36" s="114" t="s">
        <v>1289</v>
      </c>
      <c r="R36" s="114" t="s">
        <v>1040</v>
      </c>
      <c r="S36" s="114" t="s">
        <v>1039</v>
      </c>
      <c r="T36" s="114" t="s">
        <v>1250</v>
      </c>
      <c r="U36" s="114" t="s">
        <v>999</v>
      </c>
      <c r="V36" s="114" t="s">
        <v>1290</v>
      </c>
      <c r="W36" s="114" t="s">
        <v>1291</v>
      </c>
      <c r="X36" s="114" t="s">
        <v>1003</v>
      </c>
      <c r="Y36" s="114" t="s">
        <v>1023</v>
      </c>
      <c r="Z36" s="114" t="s">
        <v>1292</v>
      </c>
      <c r="AA36" s="117" t="s">
        <v>326</v>
      </c>
      <c r="AB36" s="446" t="s">
        <v>322</v>
      </c>
      <c r="AC36" s="114" t="s">
        <v>1253</v>
      </c>
      <c r="AD36" s="114" t="s">
        <v>267</v>
      </c>
      <c r="AE36" s="446"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1001</v>
      </c>
      <c r="AE37" s="114" t="s">
        <v>1001</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row r="39" spans="14:31" x14ac:dyDescent="0.4">
      <c r="N39" s="114" t="s">
        <v>1390</v>
      </c>
      <c r="O39" s="114">
        <f>IFERROR(R40*VLOOKUP(R39,'Part List'!A:G,3,FALSE),0)
+IFERROR(S40*VLOOKUP(S39,'Part List'!A:G,3,FALSE),0)
+IFERROR(T40*VLOOKUP(T39,'Part List'!A:G,3,FALSE),0)
+IFERROR(U40*VLOOKUP(U39,'Part List'!A:G,3,FALSE),0)
+IFERROR(V40*VLOOKUP(V39,'Part List'!A:G,3,FALSE),0)
+IFERROR(W40*VLOOKUP(W39,'Part List'!A:G,3,FALSE),0)
+IFERROR(X40*VLOOKUP(X39,'Part List'!A:G,3,FALSE),0)
+IFERROR(Y40*VLOOKUP(Y39,'Part List'!A:G,3,FALSE),0)
+IFERROR(Z40*VLOOKUP(Z39,'Part List'!A:G,3,FALSE),0)
+IFERROR(AA40*VLOOKUP(AA39,'Part List'!A:G,3,FALSE),0)
+IFERROR(AB40*VLOOKUP(AB39,'Part List'!A:G,3,FALSE),0)
+IFERROR(AC40*VLOOKUP(AC39,'Part List'!A:G,3,FALSE),0)</f>
        <v>614.90000000000009</v>
      </c>
      <c r="P39" s="114">
        <f>IFERROR(R40*VLOOKUP(R39,'Part List'!A:G,5,FALSE),0)
+IFERROR(S40*VLOOKUP(S39,'Part List'!A:G,5,FALSE),0)
+IFERROR(T40*VLOOKUP(T39,'Part List'!A:G,5,FALSE),0)
+IFERROR(U40*VLOOKUP(U39,'Part List'!A:G,5,FALSE),0)
+IFERROR(V40*VLOOKUP(V39,'Part List'!A:G,5,FALSE),0)
+IFERROR(W40*VLOOKUP(W39,'Part List'!A:G,5,FALSE),0)
+IFERROR(X40*VLOOKUP(X39,'Part List'!A:G,5,FALSE),0)
+IFERROR(Y40*VLOOKUP(Y39,'Part List'!A:G,5,FALSE),0)
+IFERROR(Z40*VLOOKUP(Z39,'Part List'!A:G,5,FALSE),0)
+IFERROR(AA40*VLOOKUP(AA39,'Part List'!A:G,5,FALSE),0)
+IFERROR(AB40*VLOOKUP(AB39,'Part List'!A:G,5,FALSE),0)
+IFERROR(AC40*VLOOKUP(AC39,'Part List'!A:G,5,FALSE),0)</f>
        <v>2</v>
      </c>
      <c r="Q39" s="114" t="s">
        <v>1002</v>
      </c>
      <c r="R39" s="114" t="s">
        <v>1040</v>
      </c>
      <c r="S39" s="114" t="s">
        <v>1039</v>
      </c>
      <c r="U39" s="114" t="s">
        <v>304</v>
      </c>
      <c r="V39" s="114" t="s">
        <v>1344</v>
      </c>
      <c r="W39" s="114" t="s">
        <v>1003</v>
      </c>
      <c r="X39" s="114" t="s">
        <v>1004</v>
      </c>
      <c r="Y39" s="114" t="s">
        <v>1000</v>
      </c>
    </row>
    <row r="40" spans="14:31" x14ac:dyDescent="0.4">
      <c r="R40" s="114">
        <v>1</v>
      </c>
      <c r="S40" s="114">
        <v>1</v>
      </c>
      <c r="U40" s="114">
        <v>1</v>
      </c>
      <c r="V40" s="114">
        <v>1</v>
      </c>
      <c r="W40" s="114">
        <v>1</v>
      </c>
      <c r="X40" s="114">
        <v>1</v>
      </c>
      <c r="Y40" s="114">
        <v>1</v>
      </c>
      <c r="Z40" s="114">
        <v>1</v>
      </c>
    </row>
    <row r="41" spans="14:31" x14ac:dyDescent="0.4">
      <c r="N41" s="114" t="s">
        <v>1391</v>
      </c>
      <c r="O41" s="114">
        <f>IFERROR(R42*VLOOKUP(R41,'Part List'!A:G,3,FALSE),0)
+IFERROR(S42*VLOOKUP(S41,'Part List'!A:G,3,FALSE),0)
+IFERROR(T42*VLOOKUP(T41,'Part List'!A:G,3,FALSE),0)
+IFERROR(U42*VLOOKUP(U41,'Part List'!A:G,3,FALSE),0)
+IFERROR(V42*VLOOKUP(V41,'Part List'!A:G,3,FALSE),0)
+IFERROR(W42*VLOOKUP(W41,'Part List'!A:G,3,FALSE),0)
+IFERROR(X42*VLOOKUP(X41,'Part List'!A:G,3,FALSE),0)
+IFERROR(Y42*VLOOKUP(Y41,'Part List'!A:G,3,FALSE),0)
+IFERROR(Z42*VLOOKUP(Z41,'Part List'!A:G,3,FALSE),0)
+IFERROR(AA42*VLOOKUP(AA41,'Part List'!A:G,3,FALSE),0)
+IFERROR(AB42*VLOOKUP(AB41,'Part List'!A:G,3,FALSE),0)
+IFERROR(AC42*VLOOKUP(AC41,'Part List'!A:G,3,FALSE),0)</f>
        <v>533.66</v>
      </c>
      <c r="P41" s="114">
        <f>IFERROR(R42*VLOOKUP(R41,'Part List'!A:G,5,FALSE),0)
+IFERROR(S42*VLOOKUP(S41,'Part List'!A:G,5,FALSE),0)
+IFERROR(T42*VLOOKUP(T41,'Part List'!A:G,5,FALSE),0)
+IFERROR(U42*VLOOKUP(U41,'Part List'!A:G,5,FALSE),0)
+IFERROR(V42*VLOOKUP(V41,'Part List'!A:G,5,FALSE),0)
+IFERROR(W42*VLOOKUP(W41,'Part List'!A:G,5,FALSE),0)
+IFERROR(X42*VLOOKUP(X41,'Part List'!A:G,5,FALSE),0)
+IFERROR(Y42*VLOOKUP(Y41,'Part List'!A:G,5,FALSE),0)
+IFERROR(Z42*VLOOKUP(Z41,'Part List'!A:G,5,FALSE),0)
+IFERROR(AA42*VLOOKUP(AA41,'Part List'!A:G,5,FALSE),0)
+IFERROR(AB42*VLOOKUP(AB41,'Part List'!A:G,5,FALSE),0)
+IFERROR(AC42*VLOOKUP(AC41,'Part List'!A:G,5,FALSE),0)</f>
        <v>2</v>
      </c>
      <c r="Q41" s="114" t="s">
        <v>1002</v>
      </c>
      <c r="S41" s="114" t="s">
        <v>1039</v>
      </c>
      <c r="U41" s="114" t="s">
        <v>304</v>
      </c>
      <c r="V41" s="114" t="s">
        <v>1392</v>
      </c>
      <c r="W41" s="114" t="s">
        <v>1003</v>
      </c>
      <c r="X41" s="114" t="s">
        <v>1004</v>
      </c>
      <c r="Y41" s="114" t="s">
        <v>1000</v>
      </c>
    </row>
    <row r="42" spans="14:31" x14ac:dyDescent="0.4">
      <c r="S42" s="114">
        <v>1</v>
      </c>
      <c r="U42" s="114">
        <v>1</v>
      </c>
      <c r="V42" s="114">
        <v>1</v>
      </c>
      <c r="W42" s="114">
        <v>1</v>
      </c>
      <c r="X42" s="114">
        <v>1</v>
      </c>
      <c r="Y42" s="114">
        <v>1</v>
      </c>
      <c r="Z42" s="114">
        <v>1</v>
      </c>
    </row>
  </sheetData>
  <conditionalFormatting sqref="W33:AB33">
    <cfRule type="expression" dxfId="374" priority="4">
      <formula>IF(ROW() = ROW(), TRUE, FALSE)</formula>
    </cfRule>
  </conditionalFormatting>
  <conditionalFormatting sqref="X32">
    <cfRule type="expression" dxfId="373" priority="3">
      <formula>IF(ROW() = ROW(), TRUE, FALSE)</formula>
    </cfRule>
  </conditionalFormatting>
  <conditionalFormatting sqref="AA36:AB36">
    <cfRule type="expression" dxfId="372" priority="2">
      <formula>IF(ROW() = ROW(), TRUE, FALSE)</formula>
    </cfRule>
  </conditionalFormatting>
  <conditionalFormatting sqref="AE36">
    <cfRule type="expression" dxfId="371"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'Part List'!$A:$A</xm:f>
          </x14:formula1>
          <xm:sqref>Y4 R8 R6 R10:S10 R14:S14 R16:S16 R12:T12 R18:T18 R24 R22 R20:T20 H23:H25 F23:F25 R26 Y39 Y41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Q29"/>
  <sheetViews>
    <sheetView topLeftCell="I1" workbookViewId="0">
      <selection activeCell="J2" sqref="J2"/>
    </sheetView>
  </sheetViews>
  <sheetFormatPr defaultColWidth="9.23046875" defaultRowHeight="14.6" x14ac:dyDescent="0.4"/>
  <cols>
    <col min="1" max="1" width="7.69140625" style="422" bestFit="1" customWidth="1"/>
    <col min="2" max="2" width="7.3046875" style="114" bestFit="1" customWidth="1"/>
    <col min="3" max="3" width="13.69140625" style="423" bestFit="1" customWidth="1"/>
    <col min="4" max="4" width="6.23046875" style="114" bestFit="1" customWidth="1"/>
    <col min="5" max="5" width="4.07421875" style="114" bestFit="1" customWidth="1"/>
    <col min="6" max="6" width="9.4609375" style="114" customWidth="1"/>
    <col min="7" max="7" width="12.07421875" style="355" customWidth="1"/>
    <col min="8" max="8" width="12.07421875" style="319" customWidth="1"/>
    <col min="9" max="9" width="13.3046875" style="355" customWidth="1"/>
    <col min="10" max="10" width="13.3046875" style="319" customWidth="1"/>
    <col min="11" max="12" width="13.3046875" style="318" hidden="1" customWidth="1"/>
    <col min="13" max="13" width="8.07421875" style="318" customWidth="1"/>
    <col min="14" max="14" width="12.3046875" style="114" customWidth="1"/>
    <col min="15" max="15" width="14.765625" style="355" customWidth="1"/>
    <col min="16" max="16" width="14.765625" style="318" hidden="1" customWidth="1"/>
    <col min="17" max="17" width="6" style="319" customWidth="1"/>
    <col min="18" max="18" width="14.765625" style="355" customWidth="1"/>
    <col min="19" max="19" width="14.765625" style="318" hidden="1" customWidth="1"/>
    <col min="20" max="20" width="6" style="319" customWidth="1"/>
    <col min="21" max="21" width="14.765625" style="355" customWidth="1"/>
    <col min="22" max="22" width="14.765625" style="318" hidden="1" customWidth="1"/>
    <col min="23" max="23" width="6" style="319" customWidth="1"/>
    <col min="24" max="24" width="14.765625" style="355" customWidth="1"/>
    <col min="25" max="25" width="14.765625" style="318" hidden="1" customWidth="1"/>
    <col min="26" max="26" width="6" style="319" customWidth="1"/>
    <col min="27" max="27" width="14.765625" style="355" customWidth="1"/>
    <col min="28" max="28" width="14.765625" style="318" hidden="1" customWidth="1"/>
    <col min="29" max="29" width="6" style="319" customWidth="1"/>
    <col min="30" max="30" width="14.765625" style="355" customWidth="1"/>
    <col min="31" max="31" width="14.765625" style="318" hidden="1" customWidth="1"/>
    <col min="32" max="32" width="6" style="319" customWidth="1"/>
    <col min="33" max="33" width="14.765625" style="355" customWidth="1"/>
    <col min="34" max="34" width="14.765625" style="318" hidden="1" customWidth="1"/>
    <col min="35" max="35" width="6" style="319" customWidth="1"/>
    <col min="36" max="55" width="12.23046875" style="114" customWidth="1"/>
    <col min="56" max="56" width="12.3046875" style="424" customWidth="1"/>
    <col min="57" max="57" width="18.765625" style="114" customWidth="1"/>
    <col min="58" max="58" width="17.3046875" style="114" customWidth="1"/>
    <col min="59" max="59" width="71.69140625" style="114" customWidth="1"/>
    <col min="60" max="60" width="9.23046875" style="114" customWidth="1"/>
    <col min="61" max="61" width="21.3046875" style="114" customWidth="1"/>
    <col min="62" max="62" width="9.4609375" style="114" customWidth="1"/>
    <col min="63" max="63" width="55.69140625" style="114" customWidth="1"/>
    <col min="64" max="64" width="13.69140625" style="114" customWidth="1"/>
    <col min="65" max="65" width="146.84375" style="114" customWidth="1"/>
    <col min="66" max="66" width="151.84375" style="114" customWidth="1"/>
    <col min="67" max="74" width="9.23046875" style="114" customWidth="1"/>
    <col min="75" max="16384" width="9.23046875" style="114"/>
  </cols>
  <sheetData>
    <row r="1" spans="1:69" s="299" customFormat="1" ht="29.15" x14ac:dyDescent="0.4">
      <c r="A1" s="425" t="s">
        <v>930</v>
      </c>
      <c r="B1" s="425" t="s">
        <v>931</v>
      </c>
      <c r="C1" s="426" t="s">
        <v>932</v>
      </c>
      <c r="D1" s="425" t="s">
        <v>933</v>
      </c>
      <c r="E1" s="425" t="s">
        <v>843</v>
      </c>
      <c r="F1" s="425" t="s">
        <v>1018</v>
      </c>
      <c r="G1" s="433" t="s">
        <v>979</v>
      </c>
      <c r="H1" s="434" t="s">
        <v>980</v>
      </c>
      <c r="I1" s="435" t="s">
        <v>935</v>
      </c>
      <c r="J1" s="436" t="s">
        <v>936</v>
      </c>
      <c r="K1" s="528" t="s">
        <v>1385</v>
      </c>
      <c r="L1" s="528" t="s">
        <v>1386</v>
      </c>
      <c r="M1" s="526" t="s">
        <v>1388</v>
      </c>
      <c r="N1" s="427" t="s">
        <v>1387</v>
      </c>
      <c r="O1" s="433" t="str">
        <f>_VRF!A1</f>
        <v>Power Supply</v>
      </c>
      <c r="P1" s="437" t="s">
        <v>995</v>
      </c>
      <c r="Q1" s="434" t="s">
        <v>996</v>
      </c>
      <c r="R1" s="433" t="str">
        <f>_VRF!B1</f>
        <v>Type</v>
      </c>
      <c r="S1" s="437" t="str">
        <f>P1</f>
        <v>$</v>
      </c>
      <c r="T1" s="437" t="str">
        <f>Q1</f>
        <v>t</v>
      </c>
      <c r="U1" s="433" t="str">
        <f>_VRF!C1</f>
        <v>Run &amp; Fault Lights</v>
      </c>
      <c r="V1" s="437" t="str">
        <f>S1</f>
        <v>$</v>
      </c>
      <c r="W1" s="437" t="str">
        <f>T1</f>
        <v>t</v>
      </c>
      <c r="X1" s="433" t="str">
        <f>_VRF!D1</f>
        <v>Timeclock</v>
      </c>
      <c r="Y1" s="437" t="str">
        <f>V1</f>
        <v>$</v>
      </c>
      <c r="Z1" s="437" t="str">
        <f>W1</f>
        <v>t</v>
      </c>
      <c r="AA1" s="433" t="str">
        <f>_VRF!E1</f>
        <v>Status to Other Units</v>
      </c>
      <c r="AB1" s="437" t="str">
        <f>Y1</f>
        <v>$</v>
      </c>
      <c r="AC1" s="437" t="str">
        <f>Z1</f>
        <v>t</v>
      </c>
      <c r="AD1" s="433" t="str">
        <f>_VRF!F1</f>
        <v>Push Button</v>
      </c>
      <c r="AE1" s="437" t="str">
        <f>AB1</f>
        <v>$</v>
      </c>
      <c r="AF1" s="437" t="str">
        <f>AC1</f>
        <v>t</v>
      </c>
      <c r="AG1" s="433" t="str">
        <f>_VRF!G1</f>
        <v>Run Status Light</v>
      </c>
      <c r="AH1" s="437" t="str">
        <f>AE1</f>
        <v>$</v>
      </c>
      <c r="AI1" s="437" t="str">
        <f>AF1</f>
        <v>t</v>
      </c>
      <c r="AJ1" s="114"/>
      <c r="AK1" s="114"/>
      <c r="AL1" s="114"/>
      <c r="AM1" s="428" t="s">
        <v>1019</v>
      </c>
      <c r="AN1" s="299" t="s">
        <v>676</v>
      </c>
      <c r="AO1" s="299" t="s">
        <v>1020</v>
      </c>
      <c r="AP1" s="299" t="s">
        <v>1021</v>
      </c>
      <c r="AQ1" s="299" t="s">
        <v>1022</v>
      </c>
      <c r="AR1" s="299" t="s">
        <v>1023</v>
      </c>
      <c r="AS1" s="299" t="s">
        <v>989</v>
      </c>
      <c r="AT1" s="299" t="s">
        <v>1024</v>
      </c>
      <c r="AU1" s="299" t="s">
        <v>676</v>
      </c>
      <c r="AV1" s="299" t="s">
        <v>1020</v>
      </c>
      <c r="AW1" s="299" t="s">
        <v>1021</v>
      </c>
      <c r="AX1" s="299" t="s">
        <v>1022</v>
      </c>
      <c r="AY1" s="299" t="s">
        <v>1023</v>
      </c>
      <c r="AZ1" s="299" t="s">
        <v>989</v>
      </c>
      <c r="BD1" s="299" t="s">
        <v>1025</v>
      </c>
      <c r="BE1" s="299">
        <f>MAX('@Fan'!BD:BD)</f>
        <v>0</v>
      </c>
    </row>
    <row r="2" spans="1:69" x14ac:dyDescent="0.4">
      <c r="A2" s="429" t="str">
        <f t="shared" ref="A2:A23" si="0">IF(COUNTBLANK(U2:AG2)=0,"VALID","INVALID")</f>
        <v>INVALID</v>
      </c>
      <c r="B2" s="430" t="str">
        <f>_xlfn.CONCAT("VRF ",(ROW()-1))</f>
        <v>VRF 1</v>
      </c>
      <c r="C2" s="431">
        <f>IFERROR(E2*I2,0)</f>
        <v>0</v>
      </c>
      <c r="D2" s="430">
        <f>IFERROR(IF(ISBLANK(G2),J2*E2,G2*E2),0)</f>
        <v>0</v>
      </c>
      <c r="E2" s="430"/>
      <c r="F2" s="430">
        <f t="shared" ref="F2:F23" si="1">IF(COUNTBLANK(H2)=0,H2,IF(R2="Indoor",10,IF(O2="Local",5,20)))</f>
        <v>20</v>
      </c>
      <c r="G2" s="438"/>
      <c r="H2" s="439"/>
      <c r="I2" s="438">
        <f>L2+S2+V2+Y2+P2+AB2+AE2+AH2</f>
        <v>0</v>
      </c>
      <c r="J2" s="438">
        <f>N2+T2+W2+Z2+Q2+AC2+AF2+AI2</f>
        <v>0</v>
      </c>
      <c r="K2" s="527">
        <f>VLOOKUP(R2,_VRF!$A$39:$G$52,4,FALSE)</f>
        <v>0</v>
      </c>
      <c r="L2" s="527">
        <f>K2*F2</f>
        <v>0</v>
      </c>
      <c r="M2" s="527">
        <f>VLOOKUP(R2,_VRF!$A$39:$G$52,5,FALSE)</f>
        <v>0</v>
      </c>
      <c r="N2" s="430">
        <f>M2*F2</f>
        <v>0</v>
      </c>
      <c r="O2" s="438"/>
      <c r="P2" s="527">
        <f>IFERROR(VLOOKUP(O2,_VRF!$L:$S,2,FALSE),0)</f>
        <v>0</v>
      </c>
      <c r="Q2" s="439">
        <f>IFERROR(VLOOKUP(O2,_VRF!$L:$S,3,FALSE),0)</f>
        <v>0</v>
      </c>
      <c r="R2" s="438"/>
      <c r="S2" s="527">
        <f>IFERROR(VLOOKUP(R2,_VRF!$L:$S,2,FALSE),0)</f>
        <v>0</v>
      </c>
      <c r="T2" s="439">
        <f>IFERROR(VLOOKUP(R2,_VRF!$L:$S,3,FALSE),0)</f>
        <v>0</v>
      </c>
      <c r="U2" s="438"/>
      <c r="V2" s="527">
        <f>IF(U2="Yes",VLOOKUP(U$1,_VRF!$L:$S,2,FALSE),0)</f>
        <v>0</v>
      </c>
      <c r="W2" s="527">
        <f>IF(U2="Yes",VLOOKUP(U$1,_VRF!$L:$S,3,FALSE),0)</f>
        <v>0</v>
      </c>
      <c r="X2" s="438"/>
      <c r="Y2" s="527">
        <f>IF(X2="Yes",VLOOKUP(X$1,_VRF!$L:$S,2,FALSE),0)</f>
        <v>0</v>
      </c>
      <c r="Z2" s="527">
        <f>IF(X2="Yes",VLOOKUP(X$1,_VRF!$L:$S,3,FALSE),0)</f>
        <v>0</v>
      </c>
      <c r="AA2" s="438"/>
      <c r="AB2" s="527">
        <f>IF(AA2="Yes",VLOOKUP(AA$1,_VRF!$L:$S,2,FALSE),0)</f>
        <v>0</v>
      </c>
      <c r="AC2" s="527">
        <f>IF(AA2="Yes",VLOOKUP(AA$1,_VRF!$L:$S,3,FALSE),0)</f>
        <v>0</v>
      </c>
      <c r="AD2" s="438"/>
      <c r="AE2" s="527">
        <f>IF(AD2="Yes",VLOOKUP(AD$1,_VRF!$L:$S,2,FALSE),0)</f>
        <v>0</v>
      </c>
      <c r="AF2" s="527">
        <f>IF(AD2="Yes",VLOOKUP(AD$1,_VRF!$L:$S,3,FALSE),0)</f>
        <v>0</v>
      </c>
      <c r="AG2" s="438"/>
      <c r="AH2" s="527">
        <f>IF(AG2="Yes",VLOOKUP(AG$1,_VRF!$L:$S,2,FALSE),0)</f>
        <v>0</v>
      </c>
      <c r="AI2" s="527">
        <f>IF(AG2="Yes",VLOOKUP(AG$1,_VRF!$L:$S,3,FALSE),0)</f>
        <v>0</v>
      </c>
      <c r="BD2" s="432"/>
    </row>
    <row r="3" spans="1:69" x14ac:dyDescent="0.4">
      <c r="A3" s="429" t="str">
        <f t="shared" si="0"/>
        <v>INVALID</v>
      </c>
      <c r="B3" s="430" t="str">
        <f t="shared" ref="B3:B23" si="2">_xlfn.CONCAT("VRF ",(ROW()-1))</f>
        <v>VRF 2</v>
      </c>
      <c r="C3" s="431">
        <f t="shared" ref="C3:C23" si="3">IFERROR(E3*I3,0)</f>
        <v>0</v>
      </c>
      <c r="D3" s="430">
        <f t="shared" ref="D3:D23" si="4">IFERROR(IF(ISBLANK(G3),J3*E3,G3*E3),0)</f>
        <v>0</v>
      </c>
      <c r="E3" s="430"/>
      <c r="F3" s="430">
        <f t="shared" si="1"/>
        <v>5</v>
      </c>
      <c r="G3" s="438"/>
      <c r="H3" s="439"/>
      <c r="I3" s="438">
        <f t="shared" ref="I3:I23" si="5">L3+S3+V3+Y3+P3+AB3+AE3+AH3</f>
        <v>88.25</v>
      </c>
      <c r="J3" s="438">
        <f t="shared" ref="J3:J23" si="6">N3+T3+W3+Z3+Q3+AC3+AF3+AI3</f>
        <v>1</v>
      </c>
      <c r="K3" s="527">
        <f>VLOOKUP(R3,_VRF!$A$39:$G$52,4,FALSE)</f>
        <v>0</v>
      </c>
      <c r="L3" s="527">
        <f t="shared" ref="L3:L23" si="7">K3*F3</f>
        <v>0</v>
      </c>
      <c r="M3" s="527">
        <f>VLOOKUP(R3,_VRF!$A$39:$G$52,5,FALSE)</f>
        <v>0</v>
      </c>
      <c r="N3" s="430">
        <f t="shared" ref="N3:N23" si="8">M3*F3</f>
        <v>0</v>
      </c>
      <c r="O3" s="438" t="s">
        <v>990</v>
      </c>
      <c r="P3" s="527">
        <f>IFERROR(VLOOKUP(O3,_VRF!$L:$S,2,FALSE),0)</f>
        <v>88.25</v>
      </c>
      <c r="Q3" s="439">
        <f>IFERROR(VLOOKUP(O3,_VRF!$L:$S,3,FALSE),0)</f>
        <v>1</v>
      </c>
      <c r="R3" s="438"/>
      <c r="S3" s="527">
        <f>IFERROR(VLOOKUP(R3,_VRF!$L:$S,2,FALSE),0)</f>
        <v>0</v>
      </c>
      <c r="T3" s="439">
        <f>IFERROR(VLOOKUP(R3,_VRF!$L:$S,3,FALSE),0)</f>
        <v>0</v>
      </c>
      <c r="U3" s="438"/>
      <c r="V3" s="527">
        <f>IF(U3="Yes",VLOOKUP(U$1,_VRF!$L:$S,2,FALSE),0)</f>
        <v>0</v>
      </c>
      <c r="W3" s="527">
        <f>IF(U3="Yes",VLOOKUP(U$1,_VRF!$L:$S,3,FALSE),0)</f>
        <v>0</v>
      </c>
      <c r="X3" s="438"/>
      <c r="Y3" s="527">
        <f>IF(X3="Yes",VLOOKUP(X$1,_VRF!$L:$S,2,FALSE),0)</f>
        <v>0</v>
      </c>
      <c r="Z3" s="527">
        <f>IF(X3="Yes",VLOOKUP(X$1,_VRF!$L:$S,3,FALSE),0)</f>
        <v>0</v>
      </c>
      <c r="AA3" s="438"/>
      <c r="AB3" s="527">
        <f>IF(AA3="Yes",VLOOKUP(AA$1,_VRF!$L:$S,2,FALSE),0)</f>
        <v>0</v>
      </c>
      <c r="AC3" s="527">
        <f>IF(AA3="Yes",VLOOKUP(AA$1,_VRF!$L:$S,3,FALSE),0)</f>
        <v>0</v>
      </c>
      <c r="AD3" s="438"/>
      <c r="AE3" s="527">
        <f>IF(AD3="Yes",VLOOKUP(AD$1,_VRF!$L:$S,2,FALSE),0)</f>
        <v>0</v>
      </c>
      <c r="AF3" s="527">
        <f>IF(AD3="Yes",VLOOKUP(AD$1,_VRF!$L:$S,3,FALSE),0)</f>
        <v>0</v>
      </c>
      <c r="AG3" s="438"/>
      <c r="AH3" s="527">
        <f>IF(AG3="Yes",VLOOKUP(AG$1,_VRF!$L:$S,2,FALSE),0)</f>
        <v>0</v>
      </c>
      <c r="AI3" s="527">
        <f>IF(AG3="Yes",VLOOKUP(AG$1,_VRF!$L:$S,3,FALSE),0)</f>
        <v>0</v>
      </c>
      <c r="BD3" s="432"/>
    </row>
    <row r="4" spans="1:69" x14ac:dyDescent="0.4">
      <c r="A4" s="429" t="str">
        <f t="shared" si="0"/>
        <v>INVALID</v>
      </c>
      <c r="B4" s="430" t="str">
        <f t="shared" si="2"/>
        <v>VRF 3</v>
      </c>
      <c r="C4" s="431">
        <f t="shared" si="3"/>
        <v>0</v>
      </c>
      <c r="D4" s="430">
        <f t="shared" si="4"/>
        <v>0</v>
      </c>
      <c r="E4" s="430"/>
      <c r="F4" s="430">
        <f t="shared" si="1"/>
        <v>5</v>
      </c>
      <c r="G4" s="438"/>
      <c r="H4" s="439"/>
      <c r="I4" s="438">
        <f t="shared" si="5"/>
        <v>88.25</v>
      </c>
      <c r="J4" s="438">
        <f t="shared" si="6"/>
        <v>1</v>
      </c>
      <c r="K4" s="527">
        <f>VLOOKUP(R4,_VRF!$A$39:$G$52,4,FALSE)</f>
        <v>0</v>
      </c>
      <c r="L4" s="527">
        <f t="shared" si="7"/>
        <v>0</v>
      </c>
      <c r="M4" s="527">
        <f>VLOOKUP(R4,_VRF!$A$39:$G$52,5,FALSE)</f>
        <v>0</v>
      </c>
      <c r="N4" s="430">
        <f t="shared" si="8"/>
        <v>0</v>
      </c>
      <c r="O4" s="438" t="s">
        <v>990</v>
      </c>
      <c r="P4" s="527">
        <f>IFERROR(VLOOKUP(O4,_VRF!$L:$S,2,FALSE),0)</f>
        <v>88.25</v>
      </c>
      <c r="Q4" s="439">
        <f>IFERROR(VLOOKUP(O4,_VRF!$L:$S,3,FALSE),0)</f>
        <v>1</v>
      </c>
      <c r="R4" s="438"/>
      <c r="S4" s="527">
        <f>IFERROR(VLOOKUP(R4,_VRF!$L:$S,2,FALSE),0)</f>
        <v>0</v>
      </c>
      <c r="T4" s="439">
        <f>IFERROR(VLOOKUP(R4,_VRF!$L:$S,3,FALSE),0)</f>
        <v>0</v>
      </c>
      <c r="U4" s="438"/>
      <c r="V4" s="527">
        <f>IF(U4="Yes",VLOOKUP(U$1,_VRF!$L:$S,2,FALSE),0)</f>
        <v>0</v>
      </c>
      <c r="W4" s="527">
        <f>IF(U4="Yes",VLOOKUP(U$1,_VRF!$L:$S,3,FALSE),0)</f>
        <v>0</v>
      </c>
      <c r="X4" s="438"/>
      <c r="Y4" s="527">
        <f>IF(X4="Yes",VLOOKUP(X$1,_VRF!$L:$S,2,FALSE),0)</f>
        <v>0</v>
      </c>
      <c r="Z4" s="527">
        <f>IF(X4="Yes",VLOOKUP(X$1,_VRF!$L:$S,3,FALSE),0)</f>
        <v>0</v>
      </c>
      <c r="AA4" s="438"/>
      <c r="AB4" s="527">
        <f>IF(AA4="Yes",VLOOKUP(AA$1,_VRF!$L:$S,2,FALSE),0)</f>
        <v>0</v>
      </c>
      <c r="AC4" s="527">
        <f>IF(AA4="Yes",VLOOKUP(AA$1,_VRF!$L:$S,3,FALSE),0)</f>
        <v>0</v>
      </c>
      <c r="AD4" s="438"/>
      <c r="AE4" s="527">
        <f>IF(AD4="Yes",VLOOKUP(AD$1,_VRF!$L:$S,2,FALSE),0)</f>
        <v>0</v>
      </c>
      <c r="AF4" s="527">
        <f>IF(AD4="Yes",VLOOKUP(AD$1,_VRF!$L:$S,3,FALSE),0)</f>
        <v>0</v>
      </c>
      <c r="AG4" s="438"/>
      <c r="AH4" s="527">
        <f>IF(AG4="Yes",VLOOKUP(AG$1,_VRF!$L:$S,2,FALSE),0)</f>
        <v>0</v>
      </c>
      <c r="AI4" s="527">
        <f>IF(AG4="Yes",VLOOKUP(AG$1,_VRF!$L:$S,3,FALSE),0)</f>
        <v>0</v>
      </c>
      <c r="BD4" s="432"/>
    </row>
    <row r="5" spans="1:69" x14ac:dyDescent="0.4">
      <c r="A5" s="429" t="str">
        <f t="shared" si="0"/>
        <v>INVALID</v>
      </c>
      <c r="B5" s="430" t="str">
        <f t="shared" si="2"/>
        <v>VRF 4</v>
      </c>
      <c r="C5" s="431">
        <f t="shared" si="3"/>
        <v>0</v>
      </c>
      <c r="D5" s="430">
        <f t="shared" si="4"/>
        <v>0</v>
      </c>
      <c r="E5" s="430"/>
      <c r="F5" s="430">
        <f t="shared" si="1"/>
        <v>5</v>
      </c>
      <c r="G5" s="438"/>
      <c r="H5" s="439"/>
      <c r="I5" s="438">
        <f t="shared" si="5"/>
        <v>88.25</v>
      </c>
      <c r="J5" s="438">
        <f t="shared" si="6"/>
        <v>1</v>
      </c>
      <c r="K5" s="527">
        <f>VLOOKUP(R5,_VRF!$A$39:$G$52,4,FALSE)</f>
        <v>0</v>
      </c>
      <c r="L5" s="527">
        <f t="shared" si="7"/>
        <v>0</v>
      </c>
      <c r="M5" s="527">
        <f>VLOOKUP(R5,_VRF!$A$39:$G$52,5,FALSE)</f>
        <v>0</v>
      </c>
      <c r="N5" s="430">
        <f t="shared" si="8"/>
        <v>0</v>
      </c>
      <c r="O5" s="438" t="s">
        <v>990</v>
      </c>
      <c r="P5" s="527">
        <f>IFERROR(VLOOKUP(O5,_VRF!$L:$S,2,FALSE),0)</f>
        <v>88.25</v>
      </c>
      <c r="Q5" s="439">
        <f>IFERROR(VLOOKUP(O5,_VRF!$L:$S,3,FALSE),0)</f>
        <v>1</v>
      </c>
      <c r="R5" s="438"/>
      <c r="S5" s="527">
        <f>IFERROR(VLOOKUP(R5,_VRF!$L:$S,2,FALSE),0)</f>
        <v>0</v>
      </c>
      <c r="T5" s="439">
        <f>IFERROR(VLOOKUP(R5,_VRF!$L:$S,3,FALSE),0)</f>
        <v>0</v>
      </c>
      <c r="U5" s="438"/>
      <c r="V5" s="527">
        <f>IF(U5="Yes",VLOOKUP(U$1,_VRF!$L:$S,2,FALSE),0)</f>
        <v>0</v>
      </c>
      <c r="W5" s="527">
        <f>IF(U5="Yes",VLOOKUP(U$1,_VRF!$L:$S,3,FALSE),0)</f>
        <v>0</v>
      </c>
      <c r="X5" s="438"/>
      <c r="Y5" s="527">
        <f>IF(X5="Yes",VLOOKUP(X$1,_VRF!$L:$S,2,FALSE),0)</f>
        <v>0</v>
      </c>
      <c r="Z5" s="527">
        <f>IF(X5="Yes",VLOOKUP(X$1,_VRF!$L:$S,3,FALSE),0)</f>
        <v>0</v>
      </c>
      <c r="AA5" s="438"/>
      <c r="AB5" s="527">
        <f>IF(AA5="Yes",VLOOKUP(AA$1,_VRF!$L:$S,2,FALSE),0)</f>
        <v>0</v>
      </c>
      <c r="AC5" s="527">
        <f>IF(AA5="Yes",VLOOKUP(AA$1,_VRF!$L:$S,3,FALSE),0)</f>
        <v>0</v>
      </c>
      <c r="AD5" s="438"/>
      <c r="AE5" s="527">
        <f>IF(AD5="Yes",VLOOKUP(AD$1,_VRF!$L:$S,2,FALSE),0)</f>
        <v>0</v>
      </c>
      <c r="AF5" s="527">
        <f>IF(AD5="Yes",VLOOKUP(AD$1,_VRF!$L:$S,3,FALSE),0)</f>
        <v>0</v>
      </c>
      <c r="AG5" s="438"/>
      <c r="AH5" s="527">
        <f>IF(AG5="Yes",VLOOKUP(AG$1,_VRF!$L:$S,2,FALSE),0)</f>
        <v>0</v>
      </c>
      <c r="AI5" s="527">
        <f>IF(AG5="Yes",VLOOKUP(AG$1,_VRF!$L:$S,3,FALSE),0)</f>
        <v>0</v>
      </c>
      <c r="BD5" s="432"/>
    </row>
    <row r="6" spans="1:69" x14ac:dyDescent="0.4">
      <c r="A6" s="429" t="str">
        <f t="shared" si="0"/>
        <v>INVALID</v>
      </c>
      <c r="B6" s="430" t="str">
        <f t="shared" si="2"/>
        <v>VRF 5</v>
      </c>
      <c r="C6" s="431">
        <f t="shared" si="3"/>
        <v>0</v>
      </c>
      <c r="D6" s="430">
        <f t="shared" si="4"/>
        <v>0</v>
      </c>
      <c r="E6" s="430"/>
      <c r="F6" s="430">
        <f t="shared" si="1"/>
        <v>5</v>
      </c>
      <c r="G6" s="438"/>
      <c r="H6" s="439"/>
      <c r="I6" s="438">
        <f t="shared" si="5"/>
        <v>88.25</v>
      </c>
      <c r="J6" s="438">
        <f t="shared" si="6"/>
        <v>1</v>
      </c>
      <c r="K6" s="527">
        <f>VLOOKUP(R6,_VRF!$A$39:$G$52,4,FALSE)</f>
        <v>0</v>
      </c>
      <c r="L6" s="527">
        <f t="shared" si="7"/>
        <v>0</v>
      </c>
      <c r="M6" s="527">
        <f>VLOOKUP(R6,_VRF!$A$39:$G$52,5,FALSE)</f>
        <v>0</v>
      </c>
      <c r="N6" s="430">
        <f t="shared" si="8"/>
        <v>0</v>
      </c>
      <c r="O6" s="438" t="s">
        <v>990</v>
      </c>
      <c r="P6" s="527">
        <f>IFERROR(VLOOKUP(O6,_VRF!$L:$S,2,FALSE),0)</f>
        <v>88.25</v>
      </c>
      <c r="Q6" s="439">
        <f>IFERROR(VLOOKUP(O6,_VRF!$L:$S,3,FALSE),0)</f>
        <v>1</v>
      </c>
      <c r="R6" s="438"/>
      <c r="S6" s="527">
        <f>IFERROR(VLOOKUP(R6,_VRF!$L:$S,2,FALSE),0)</f>
        <v>0</v>
      </c>
      <c r="T6" s="439">
        <f>IFERROR(VLOOKUP(R6,_VRF!$L:$S,3,FALSE),0)</f>
        <v>0</v>
      </c>
      <c r="U6" s="438"/>
      <c r="V6" s="527">
        <f>IF(U6="Yes",VLOOKUP(U$1,_VRF!$L:$S,2,FALSE),0)</f>
        <v>0</v>
      </c>
      <c r="W6" s="527">
        <f>IF(U6="Yes",VLOOKUP(U$1,_VRF!$L:$S,3,FALSE),0)</f>
        <v>0</v>
      </c>
      <c r="X6" s="438"/>
      <c r="Y6" s="527">
        <f>IF(X6="Yes",VLOOKUP(X$1,_VRF!$L:$S,2,FALSE),0)</f>
        <v>0</v>
      </c>
      <c r="Z6" s="527">
        <f>IF(X6="Yes",VLOOKUP(X$1,_VRF!$L:$S,3,FALSE),0)</f>
        <v>0</v>
      </c>
      <c r="AA6" s="438"/>
      <c r="AB6" s="527">
        <f>IF(AA6="Yes",VLOOKUP(AA$1,_VRF!$L:$S,2,FALSE),0)</f>
        <v>0</v>
      </c>
      <c r="AC6" s="527">
        <f>IF(AA6="Yes",VLOOKUP(AA$1,_VRF!$L:$S,3,FALSE),0)</f>
        <v>0</v>
      </c>
      <c r="AD6" s="438"/>
      <c r="AE6" s="527">
        <f>IF(AD6="Yes",VLOOKUP(AD$1,_VRF!$L:$S,2,FALSE),0)</f>
        <v>0</v>
      </c>
      <c r="AF6" s="527">
        <f>IF(AD6="Yes",VLOOKUP(AD$1,_VRF!$L:$S,3,FALSE),0)</f>
        <v>0</v>
      </c>
      <c r="AG6" s="438"/>
      <c r="AH6" s="527">
        <f>IF(AG6="Yes",VLOOKUP(AG$1,_VRF!$L:$S,2,FALSE),0)</f>
        <v>0</v>
      </c>
      <c r="AI6" s="527">
        <f>IF(AG6="Yes",VLOOKUP(AG$1,_VRF!$L:$S,3,FALSE),0)</f>
        <v>0</v>
      </c>
      <c r="BD6" s="432"/>
    </row>
    <row r="7" spans="1:69" x14ac:dyDescent="0.4">
      <c r="A7" s="429" t="str">
        <f t="shared" si="0"/>
        <v>INVALID</v>
      </c>
      <c r="B7" s="430" t="str">
        <f t="shared" si="2"/>
        <v>VRF 6</v>
      </c>
      <c r="C7" s="431">
        <f t="shared" si="3"/>
        <v>0</v>
      </c>
      <c r="D7" s="430">
        <f t="shared" si="4"/>
        <v>0</v>
      </c>
      <c r="E7" s="430"/>
      <c r="F7" s="430">
        <f t="shared" si="1"/>
        <v>5</v>
      </c>
      <c r="G7" s="438"/>
      <c r="H7" s="439"/>
      <c r="I7" s="438">
        <f t="shared" si="5"/>
        <v>88.25</v>
      </c>
      <c r="J7" s="438">
        <f t="shared" si="6"/>
        <v>1</v>
      </c>
      <c r="K7" s="527">
        <f>VLOOKUP(R7,_VRF!$A$39:$G$52,4,FALSE)</f>
        <v>0</v>
      </c>
      <c r="L7" s="527">
        <f t="shared" si="7"/>
        <v>0</v>
      </c>
      <c r="M7" s="527">
        <f>VLOOKUP(R7,_VRF!$A$39:$G$52,5,FALSE)</f>
        <v>0</v>
      </c>
      <c r="N7" s="430">
        <f t="shared" si="8"/>
        <v>0</v>
      </c>
      <c r="O7" s="438" t="s">
        <v>990</v>
      </c>
      <c r="P7" s="527">
        <f>IFERROR(VLOOKUP(O7,_VRF!$L:$S,2,FALSE),0)</f>
        <v>88.25</v>
      </c>
      <c r="Q7" s="439">
        <f>IFERROR(VLOOKUP(O7,_VRF!$L:$S,3,FALSE),0)</f>
        <v>1</v>
      </c>
      <c r="R7" s="438"/>
      <c r="S7" s="527">
        <f>IFERROR(VLOOKUP(R7,_VRF!$L:$S,2,FALSE),0)</f>
        <v>0</v>
      </c>
      <c r="T7" s="439">
        <f>IFERROR(VLOOKUP(R7,_VRF!$L:$S,3,FALSE),0)</f>
        <v>0</v>
      </c>
      <c r="U7" s="438"/>
      <c r="V7" s="527">
        <f>IF(U7="Yes",VLOOKUP(U$1,_VRF!$L:$S,2,FALSE),0)</f>
        <v>0</v>
      </c>
      <c r="W7" s="527">
        <f>IF(U7="Yes",VLOOKUP(U$1,_VRF!$L:$S,3,FALSE),0)</f>
        <v>0</v>
      </c>
      <c r="X7" s="438"/>
      <c r="Y7" s="527">
        <f>IF(X7="Yes",VLOOKUP(X$1,_VRF!$L:$S,2,FALSE),0)</f>
        <v>0</v>
      </c>
      <c r="Z7" s="527">
        <f>IF(X7="Yes",VLOOKUP(X$1,_VRF!$L:$S,3,FALSE),0)</f>
        <v>0</v>
      </c>
      <c r="AA7" s="438"/>
      <c r="AB7" s="527">
        <f>IF(AA7="Yes",VLOOKUP(AA$1,_VRF!$L:$S,2,FALSE),0)</f>
        <v>0</v>
      </c>
      <c r="AC7" s="527">
        <f>IF(AA7="Yes",VLOOKUP(AA$1,_VRF!$L:$S,3,FALSE),0)</f>
        <v>0</v>
      </c>
      <c r="AD7" s="438"/>
      <c r="AE7" s="527">
        <f>IF(AD7="Yes",VLOOKUP(AD$1,_VRF!$L:$S,2,FALSE),0)</f>
        <v>0</v>
      </c>
      <c r="AF7" s="527">
        <f>IF(AD7="Yes",VLOOKUP(AD$1,_VRF!$L:$S,3,FALSE),0)</f>
        <v>0</v>
      </c>
      <c r="AG7" s="438"/>
      <c r="AH7" s="527">
        <f>IF(AG7="Yes",VLOOKUP(AG$1,_VRF!$L:$S,2,FALSE),0)</f>
        <v>0</v>
      </c>
      <c r="AI7" s="527">
        <f>IF(AG7="Yes",VLOOKUP(AG$1,_VRF!$L:$S,3,FALSE),0)</f>
        <v>0</v>
      </c>
      <c r="BD7" s="432"/>
    </row>
    <row r="8" spans="1:69" x14ac:dyDescent="0.4">
      <c r="A8" s="429" t="str">
        <f t="shared" si="0"/>
        <v>INVALID</v>
      </c>
      <c r="B8" s="430" t="str">
        <f t="shared" si="2"/>
        <v>VRF 7</v>
      </c>
      <c r="C8" s="431">
        <f t="shared" si="3"/>
        <v>0</v>
      </c>
      <c r="D8" s="430">
        <f t="shared" si="4"/>
        <v>0</v>
      </c>
      <c r="E8" s="430"/>
      <c r="F8" s="430">
        <f t="shared" si="1"/>
        <v>20</v>
      </c>
      <c r="G8" s="438"/>
      <c r="H8" s="439"/>
      <c r="I8" s="438">
        <f t="shared" si="5"/>
        <v>553.25</v>
      </c>
      <c r="J8" s="438">
        <f t="shared" si="6"/>
        <v>2</v>
      </c>
      <c r="K8" s="527">
        <f>VLOOKUP(R8,_VRF!$A$39:$G$52,4,FALSE)</f>
        <v>0</v>
      </c>
      <c r="L8" s="527">
        <f t="shared" si="7"/>
        <v>0</v>
      </c>
      <c r="M8" s="527">
        <f>VLOOKUP(R8,_VRF!$A$39:$G$52,5,FALSE)</f>
        <v>0</v>
      </c>
      <c r="N8" s="430">
        <f t="shared" si="8"/>
        <v>0</v>
      </c>
      <c r="O8" s="438" t="s">
        <v>678</v>
      </c>
      <c r="P8" s="527">
        <f>IFERROR(VLOOKUP(O8,_VRF!$L:$S,2,FALSE),0)</f>
        <v>553.25</v>
      </c>
      <c r="Q8" s="439">
        <f>IFERROR(VLOOKUP(O8,_VRF!$L:$S,3,FALSE),0)</f>
        <v>2</v>
      </c>
      <c r="R8" s="438"/>
      <c r="S8" s="527">
        <f>IFERROR(VLOOKUP(R8,_VRF!$L:$S,2,FALSE),0)</f>
        <v>0</v>
      </c>
      <c r="T8" s="439">
        <f>IFERROR(VLOOKUP(R8,_VRF!$L:$S,3,FALSE),0)</f>
        <v>0</v>
      </c>
      <c r="U8" s="438"/>
      <c r="V8" s="527">
        <f>IF(U8="Yes",VLOOKUP(U$1,_VRF!$L:$S,2,FALSE),0)</f>
        <v>0</v>
      </c>
      <c r="W8" s="527">
        <f>IF(U8="Yes",VLOOKUP(U$1,_VRF!$L:$S,3,FALSE),0)</f>
        <v>0</v>
      </c>
      <c r="X8" s="438"/>
      <c r="Y8" s="527">
        <f>IF(X8="Yes",VLOOKUP(X$1,_VRF!$L:$S,2,FALSE),0)</f>
        <v>0</v>
      </c>
      <c r="Z8" s="527">
        <f>IF(X8="Yes",VLOOKUP(X$1,_VRF!$L:$S,3,FALSE),0)</f>
        <v>0</v>
      </c>
      <c r="AA8" s="438"/>
      <c r="AB8" s="527">
        <f>IF(AA8="Yes",VLOOKUP(AA$1,_VRF!$L:$S,2,FALSE),0)</f>
        <v>0</v>
      </c>
      <c r="AC8" s="527">
        <f>IF(AA8="Yes",VLOOKUP(AA$1,_VRF!$L:$S,3,FALSE),0)</f>
        <v>0</v>
      </c>
      <c r="AD8" s="438"/>
      <c r="AE8" s="527">
        <f>IF(AD8="Yes",VLOOKUP(AD$1,_VRF!$L:$S,2,FALSE),0)</f>
        <v>0</v>
      </c>
      <c r="AF8" s="527">
        <f>IF(AD8="Yes",VLOOKUP(AD$1,_VRF!$L:$S,3,FALSE),0)</f>
        <v>0</v>
      </c>
      <c r="AG8" s="438"/>
      <c r="AH8" s="527">
        <f>IF(AG8="Yes",VLOOKUP(AG$1,_VRF!$L:$S,2,FALSE),0)</f>
        <v>0</v>
      </c>
      <c r="AI8" s="527">
        <f>IF(AG8="Yes",VLOOKUP(AG$1,_VRF!$L:$S,3,FALSE),0)</f>
        <v>0</v>
      </c>
      <c r="BD8" s="432"/>
    </row>
    <row r="9" spans="1:69" x14ac:dyDescent="0.4">
      <c r="A9" s="429" t="str">
        <f t="shared" si="0"/>
        <v>INVALID</v>
      </c>
      <c r="B9" s="430" t="str">
        <f t="shared" si="2"/>
        <v>VRF 8</v>
      </c>
      <c r="C9" s="431">
        <f t="shared" si="3"/>
        <v>0</v>
      </c>
      <c r="D9" s="430">
        <f t="shared" si="4"/>
        <v>0</v>
      </c>
      <c r="E9" s="430"/>
      <c r="F9" s="430">
        <f t="shared" si="1"/>
        <v>20</v>
      </c>
      <c r="G9" s="438"/>
      <c r="H9" s="439"/>
      <c r="I9" s="438">
        <f t="shared" si="5"/>
        <v>553.25</v>
      </c>
      <c r="J9" s="438">
        <f t="shared" si="6"/>
        <v>2</v>
      </c>
      <c r="K9" s="527">
        <f>VLOOKUP(R9,_VRF!$A$39:$G$52,4,FALSE)</f>
        <v>0</v>
      </c>
      <c r="L9" s="527">
        <f t="shared" si="7"/>
        <v>0</v>
      </c>
      <c r="M9" s="527">
        <f>VLOOKUP(R9,_VRF!$A$39:$G$52,5,FALSE)</f>
        <v>0</v>
      </c>
      <c r="N9" s="430">
        <f t="shared" si="8"/>
        <v>0</v>
      </c>
      <c r="O9" s="438" t="s">
        <v>678</v>
      </c>
      <c r="P9" s="527">
        <f>IFERROR(VLOOKUP(O9,_VRF!$L:$S,2,FALSE),0)</f>
        <v>553.25</v>
      </c>
      <c r="Q9" s="439">
        <f>IFERROR(VLOOKUP(O9,_VRF!$L:$S,3,FALSE),0)</f>
        <v>2</v>
      </c>
      <c r="R9" s="438"/>
      <c r="S9" s="527">
        <f>IFERROR(VLOOKUP(R9,_VRF!$L:$S,2,FALSE),0)</f>
        <v>0</v>
      </c>
      <c r="T9" s="439">
        <f>IFERROR(VLOOKUP(R9,_VRF!$L:$S,3,FALSE),0)</f>
        <v>0</v>
      </c>
      <c r="U9" s="438"/>
      <c r="V9" s="527">
        <f>IF(U9="Yes",VLOOKUP(U$1,_VRF!$L:$S,2,FALSE),0)</f>
        <v>0</v>
      </c>
      <c r="W9" s="527">
        <f>IF(U9="Yes",VLOOKUP(U$1,_VRF!$L:$S,3,FALSE),0)</f>
        <v>0</v>
      </c>
      <c r="X9" s="438"/>
      <c r="Y9" s="527">
        <f>IF(X9="Yes",VLOOKUP(X$1,_VRF!$L:$S,2,FALSE),0)</f>
        <v>0</v>
      </c>
      <c r="Z9" s="527">
        <f>IF(X9="Yes",VLOOKUP(X$1,_VRF!$L:$S,3,FALSE),0)</f>
        <v>0</v>
      </c>
      <c r="AA9" s="438"/>
      <c r="AB9" s="527">
        <f>IF(AA9="Yes",VLOOKUP(AA$1,_VRF!$L:$S,2,FALSE),0)</f>
        <v>0</v>
      </c>
      <c r="AC9" s="527">
        <f>IF(AA9="Yes",VLOOKUP(AA$1,_VRF!$L:$S,3,FALSE),0)</f>
        <v>0</v>
      </c>
      <c r="AD9" s="438"/>
      <c r="AE9" s="527">
        <f>IF(AD9="Yes",VLOOKUP(AD$1,_VRF!$L:$S,2,FALSE),0)</f>
        <v>0</v>
      </c>
      <c r="AF9" s="527">
        <f>IF(AD9="Yes",VLOOKUP(AD$1,_VRF!$L:$S,3,FALSE),0)</f>
        <v>0</v>
      </c>
      <c r="AG9" s="438"/>
      <c r="AH9" s="527">
        <f>IF(AG9="Yes",VLOOKUP(AG$1,_VRF!$L:$S,2,FALSE),0)</f>
        <v>0</v>
      </c>
      <c r="AI9" s="527">
        <f>IF(AG9="Yes",VLOOKUP(AG$1,_VRF!$L:$S,3,FALSE),0)</f>
        <v>0</v>
      </c>
      <c r="BD9" s="432"/>
    </row>
    <row r="10" spans="1:69" x14ac:dyDescent="0.4">
      <c r="A10" s="429" t="str">
        <f t="shared" si="0"/>
        <v>INVALID</v>
      </c>
      <c r="B10" s="430" t="str">
        <f t="shared" si="2"/>
        <v>VRF 9</v>
      </c>
      <c r="C10" s="431">
        <f t="shared" si="3"/>
        <v>0</v>
      </c>
      <c r="D10" s="430">
        <f t="shared" si="4"/>
        <v>0</v>
      </c>
      <c r="E10" s="430"/>
      <c r="F10" s="430">
        <f t="shared" si="1"/>
        <v>20</v>
      </c>
      <c r="G10" s="438"/>
      <c r="H10" s="439"/>
      <c r="I10" s="438">
        <f t="shared" si="5"/>
        <v>553.25</v>
      </c>
      <c r="J10" s="438">
        <f t="shared" si="6"/>
        <v>2</v>
      </c>
      <c r="K10" s="527">
        <f>VLOOKUP(R10,_VRF!$A$39:$G$52,4,FALSE)</f>
        <v>0</v>
      </c>
      <c r="L10" s="527">
        <f t="shared" si="7"/>
        <v>0</v>
      </c>
      <c r="M10" s="527">
        <f>VLOOKUP(R10,_VRF!$A$39:$G$52,5,FALSE)</f>
        <v>0</v>
      </c>
      <c r="N10" s="430">
        <f t="shared" si="8"/>
        <v>0</v>
      </c>
      <c r="O10" s="438" t="s">
        <v>678</v>
      </c>
      <c r="P10" s="527">
        <f>IFERROR(VLOOKUP(O10,_VRF!$L:$S,2,FALSE),0)</f>
        <v>553.25</v>
      </c>
      <c r="Q10" s="439">
        <f>IFERROR(VLOOKUP(O10,_VRF!$L:$S,3,FALSE),0)</f>
        <v>2</v>
      </c>
      <c r="R10" s="438"/>
      <c r="S10" s="527">
        <f>IFERROR(VLOOKUP(R10,_VRF!$L:$S,2,FALSE),0)</f>
        <v>0</v>
      </c>
      <c r="T10" s="439">
        <f>IFERROR(VLOOKUP(R10,_VRF!$L:$S,3,FALSE),0)</f>
        <v>0</v>
      </c>
      <c r="U10" s="438"/>
      <c r="V10" s="527">
        <f>IF(U10="Yes",VLOOKUP(U$1,_VRF!$L:$S,2,FALSE),0)</f>
        <v>0</v>
      </c>
      <c r="W10" s="527">
        <f>IF(U10="Yes",VLOOKUP(U$1,_VRF!$L:$S,3,FALSE),0)</f>
        <v>0</v>
      </c>
      <c r="X10" s="438"/>
      <c r="Y10" s="527">
        <f>IF(X10="Yes",VLOOKUP(X$1,_VRF!$L:$S,2,FALSE),0)</f>
        <v>0</v>
      </c>
      <c r="Z10" s="527">
        <f>IF(X10="Yes",VLOOKUP(X$1,_VRF!$L:$S,3,FALSE),0)</f>
        <v>0</v>
      </c>
      <c r="AA10" s="438"/>
      <c r="AB10" s="527">
        <f>IF(AA10="Yes",VLOOKUP(AA$1,_VRF!$L:$S,2,FALSE),0)</f>
        <v>0</v>
      </c>
      <c r="AC10" s="527">
        <f>IF(AA10="Yes",VLOOKUP(AA$1,_VRF!$L:$S,3,FALSE),0)</f>
        <v>0</v>
      </c>
      <c r="AD10" s="438"/>
      <c r="AE10" s="527">
        <f>IF(AD10="Yes",VLOOKUP(AD$1,_VRF!$L:$S,2,FALSE),0)</f>
        <v>0</v>
      </c>
      <c r="AF10" s="527">
        <f>IF(AD10="Yes",VLOOKUP(AD$1,_VRF!$L:$S,3,FALSE),0)</f>
        <v>0</v>
      </c>
      <c r="AG10" s="438"/>
      <c r="AH10" s="527">
        <f>IF(AG10="Yes",VLOOKUP(AG$1,_VRF!$L:$S,2,FALSE),0)</f>
        <v>0</v>
      </c>
      <c r="AI10" s="527">
        <f>IF(AG10="Yes",VLOOKUP(AG$1,_VRF!$L:$S,3,FALSE),0)</f>
        <v>0</v>
      </c>
      <c r="BD10" s="432"/>
    </row>
    <row r="11" spans="1:69" x14ac:dyDescent="0.4">
      <c r="A11" s="429" t="str">
        <f t="shared" si="0"/>
        <v>INVALID</v>
      </c>
      <c r="B11" s="430" t="str">
        <f t="shared" si="2"/>
        <v>VRF 10</v>
      </c>
      <c r="C11" s="431">
        <f t="shared" si="3"/>
        <v>0</v>
      </c>
      <c r="D11" s="430">
        <f t="shared" si="4"/>
        <v>0</v>
      </c>
      <c r="E11" s="430"/>
      <c r="F11" s="430">
        <f t="shared" si="1"/>
        <v>20</v>
      </c>
      <c r="G11" s="438"/>
      <c r="H11" s="439"/>
      <c r="I11" s="438">
        <f t="shared" si="5"/>
        <v>553.25</v>
      </c>
      <c r="J11" s="438">
        <f t="shared" si="6"/>
        <v>2</v>
      </c>
      <c r="K11" s="527">
        <f>VLOOKUP(R11,_VRF!$A$39:$G$52,4,FALSE)</f>
        <v>0</v>
      </c>
      <c r="L11" s="527">
        <f t="shared" si="7"/>
        <v>0</v>
      </c>
      <c r="M11" s="527">
        <f>VLOOKUP(R11,_VRF!$A$39:$G$52,5,FALSE)</f>
        <v>0</v>
      </c>
      <c r="N11" s="430">
        <f t="shared" si="8"/>
        <v>0</v>
      </c>
      <c r="O11" s="438" t="s">
        <v>678</v>
      </c>
      <c r="P11" s="527">
        <f>IFERROR(VLOOKUP(O11,_VRF!$L:$S,2,FALSE),0)</f>
        <v>553.25</v>
      </c>
      <c r="Q11" s="439">
        <f>IFERROR(VLOOKUP(O11,_VRF!$L:$S,3,FALSE),0)</f>
        <v>2</v>
      </c>
      <c r="R11" s="438"/>
      <c r="S11" s="527">
        <f>IFERROR(VLOOKUP(R11,_VRF!$L:$S,2,FALSE),0)</f>
        <v>0</v>
      </c>
      <c r="T11" s="439">
        <f>IFERROR(VLOOKUP(R11,_VRF!$L:$S,3,FALSE),0)</f>
        <v>0</v>
      </c>
      <c r="U11" s="438"/>
      <c r="V11" s="527">
        <f>IF(U11="Yes",VLOOKUP(U$1,_VRF!$L:$S,2,FALSE),0)</f>
        <v>0</v>
      </c>
      <c r="W11" s="527">
        <f>IF(U11="Yes",VLOOKUP(U$1,_VRF!$L:$S,3,FALSE),0)</f>
        <v>0</v>
      </c>
      <c r="X11" s="438"/>
      <c r="Y11" s="527">
        <f>IF(X11="Yes",VLOOKUP(X$1,_VRF!$L:$S,2,FALSE),0)</f>
        <v>0</v>
      </c>
      <c r="Z11" s="527">
        <f>IF(X11="Yes",VLOOKUP(X$1,_VRF!$L:$S,3,FALSE),0)</f>
        <v>0</v>
      </c>
      <c r="AA11" s="438"/>
      <c r="AB11" s="527">
        <f>IF(AA11="Yes",VLOOKUP(AA$1,_VRF!$L:$S,2,FALSE),0)</f>
        <v>0</v>
      </c>
      <c r="AC11" s="527">
        <f>IF(AA11="Yes",VLOOKUP(AA$1,_VRF!$L:$S,3,FALSE),0)</f>
        <v>0</v>
      </c>
      <c r="AD11" s="438"/>
      <c r="AE11" s="527">
        <f>IF(AD11="Yes",VLOOKUP(AD$1,_VRF!$L:$S,2,FALSE),0)</f>
        <v>0</v>
      </c>
      <c r="AF11" s="527">
        <f>IF(AD11="Yes",VLOOKUP(AD$1,_VRF!$L:$S,3,FALSE),0)</f>
        <v>0</v>
      </c>
      <c r="AG11" s="438"/>
      <c r="AH11" s="527">
        <f>IF(AG11="Yes",VLOOKUP(AG$1,_VRF!$L:$S,2,FALSE),0)</f>
        <v>0</v>
      </c>
      <c r="AI11" s="527">
        <f>IF(AG11="Yes",VLOOKUP(AG$1,_VRF!$L:$S,3,FALSE),0)</f>
        <v>0</v>
      </c>
      <c r="BD11" s="432"/>
    </row>
    <row r="12" spans="1:69" x14ac:dyDescent="0.4">
      <c r="A12" s="429" t="str">
        <f t="shared" si="0"/>
        <v>INVALID</v>
      </c>
      <c r="B12" s="430" t="str">
        <f t="shared" si="2"/>
        <v>VRF 11</v>
      </c>
      <c r="C12" s="431">
        <f t="shared" si="3"/>
        <v>0</v>
      </c>
      <c r="D12" s="430">
        <f t="shared" si="4"/>
        <v>0</v>
      </c>
      <c r="E12" s="430"/>
      <c r="F12" s="430">
        <f t="shared" si="1"/>
        <v>20</v>
      </c>
      <c r="G12" s="438"/>
      <c r="H12" s="439"/>
      <c r="I12" s="438">
        <f t="shared" si="5"/>
        <v>553.25</v>
      </c>
      <c r="J12" s="438">
        <f t="shared" si="6"/>
        <v>2</v>
      </c>
      <c r="K12" s="527">
        <f>VLOOKUP(R12,_VRF!$A$39:$G$52,4,FALSE)</f>
        <v>0</v>
      </c>
      <c r="L12" s="527">
        <f t="shared" si="7"/>
        <v>0</v>
      </c>
      <c r="M12" s="527">
        <f>VLOOKUP(R12,_VRF!$A$39:$G$52,5,FALSE)</f>
        <v>0</v>
      </c>
      <c r="N12" s="430">
        <f t="shared" si="8"/>
        <v>0</v>
      </c>
      <c r="O12" s="438" t="s">
        <v>678</v>
      </c>
      <c r="P12" s="527">
        <f>IFERROR(VLOOKUP(O12,_VRF!$L:$S,2,FALSE),0)</f>
        <v>553.25</v>
      </c>
      <c r="Q12" s="439">
        <f>IFERROR(VLOOKUP(O12,_VRF!$L:$S,3,FALSE),0)</f>
        <v>2</v>
      </c>
      <c r="R12" s="438"/>
      <c r="S12" s="527">
        <f>IFERROR(VLOOKUP(R12,_VRF!$L:$S,2,FALSE),0)</f>
        <v>0</v>
      </c>
      <c r="T12" s="439">
        <f>IFERROR(VLOOKUP(R12,_VRF!$L:$S,3,FALSE),0)</f>
        <v>0</v>
      </c>
      <c r="U12" s="438"/>
      <c r="V12" s="527">
        <f>IF(U12="Yes",VLOOKUP(U$1,_VRF!$L:$S,2,FALSE),0)</f>
        <v>0</v>
      </c>
      <c r="W12" s="527">
        <f>IF(U12="Yes",VLOOKUP(U$1,_VRF!$L:$S,3,FALSE),0)</f>
        <v>0</v>
      </c>
      <c r="X12" s="438"/>
      <c r="Y12" s="527">
        <f>IF(X12="Yes",VLOOKUP(X$1,_VRF!$L:$S,2,FALSE),0)</f>
        <v>0</v>
      </c>
      <c r="Z12" s="527">
        <f>IF(X12="Yes",VLOOKUP(X$1,_VRF!$L:$S,3,FALSE),0)</f>
        <v>0</v>
      </c>
      <c r="AA12" s="438"/>
      <c r="AB12" s="527">
        <f>IF(AA12="Yes",VLOOKUP(AA$1,_VRF!$L:$S,2,FALSE),0)</f>
        <v>0</v>
      </c>
      <c r="AC12" s="527">
        <f>IF(AA12="Yes",VLOOKUP(AA$1,_VRF!$L:$S,3,FALSE),0)</f>
        <v>0</v>
      </c>
      <c r="AD12" s="438"/>
      <c r="AE12" s="527">
        <f>IF(AD12="Yes",VLOOKUP(AD$1,_VRF!$L:$S,2,FALSE),0)</f>
        <v>0</v>
      </c>
      <c r="AF12" s="527">
        <f>IF(AD12="Yes",VLOOKUP(AD$1,_VRF!$L:$S,3,FALSE),0)</f>
        <v>0</v>
      </c>
      <c r="AG12" s="438"/>
      <c r="AH12" s="527">
        <f>IF(AG12="Yes",VLOOKUP(AG$1,_VRF!$L:$S,2,FALSE),0)</f>
        <v>0</v>
      </c>
      <c r="AI12" s="527">
        <f>IF(AG12="Yes",VLOOKUP(AG$1,_VRF!$L:$S,3,FALSE),0)</f>
        <v>0</v>
      </c>
      <c r="BD12" s="432"/>
    </row>
    <row r="13" spans="1:69" x14ac:dyDescent="0.4">
      <c r="A13" s="429" t="str">
        <f t="shared" si="0"/>
        <v>INVALID</v>
      </c>
      <c r="B13" s="430" t="str">
        <f t="shared" si="2"/>
        <v>VRF 12</v>
      </c>
      <c r="C13" s="431">
        <f t="shared" si="3"/>
        <v>0</v>
      </c>
      <c r="D13" s="430">
        <f t="shared" si="4"/>
        <v>0</v>
      </c>
      <c r="E13" s="430"/>
      <c r="F13" s="430">
        <f t="shared" si="1"/>
        <v>20</v>
      </c>
      <c r="G13" s="438"/>
      <c r="H13" s="439"/>
      <c r="I13" s="438">
        <f t="shared" si="5"/>
        <v>553.25</v>
      </c>
      <c r="J13" s="438">
        <f t="shared" si="6"/>
        <v>2</v>
      </c>
      <c r="K13" s="527">
        <f>VLOOKUP(R13,_VRF!$A$39:$G$52,4,FALSE)</f>
        <v>0</v>
      </c>
      <c r="L13" s="527">
        <f t="shared" si="7"/>
        <v>0</v>
      </c>
      <c r="M13" s="527">
        <f>VLOOKUP(R13,_VRF!$A$39:$G$52,5,FALSE)</f>
        <v>0</v>
      </c>
      <c r="N13" s="430">
        <f t="shared" si="8"/>
        <v>0</v>
      </c>
      <c r="O13" s="438" t="s">
        <v>678</v>
      </c>
      <c r="P13" s="527">
        <f>IFERROR(VLOOKUP(O13,_VRF!$L:$S,2,FALSE),0)</f>
        <v>553.25</v>
      </c>
      <c r="Q13" s="439">
        <f>IFERROR(VLOOKUP(O13,_VRF!$L:$S,3,FALSE),0)</f>
        <v>2</v>
      </c>
      <c r="R13" s="438"/>
      <c r="S13" s="527">
        <f>IFERROR(VLOOKUP(R13,_VRF!$L:$S,2,FALSE),0)</f>
        <v>0</v>
      </c>
      <c r="T13" s="439">
        <f>IFERROR(VLOOKUP(R13,_VRF!$L:$S,3,FALSE),0)</f>
        <v>0</v>
      </c>
      <c r="U13" s="438"/>
      <c r="V13" s="527">
        <f>IF(U13="Yes",VLOOKUP(U$1,_VRF!$L:$S,2,FALSE),0)</f>
        <v>0</v>
      </c>
      <c r="W13" s="527">
        <f>IF(U13="Yes",VLOOKUP(U$1,_VRF!$L:$S,3,FALSE),0)</f>
        <v>0</v>
      </c>
      <c r="X13" s="438"/>
      <c r="Y13" s="527">
        <f>IF(X13="Yes",VLOOKUP(X$1,_VRF!$L:$S,2,FALSE),0)</f>
        <v>0</v>
      </c>
      <c r="Z13" s="527">
        <f>IF(X13="Yes",VLOOKUP(X$1,_VRF!$L:$S,3,FALSE),0)</f>
        <v>0</v>
      </c>
      <c r="AA13" s="438"/>
      <c r="AB13" s="527">
        <f>IF(AA13="Yes",VLOOKUP(AA$1,_VRF!$L:$S,2,FALSE),0)</f>
        <v>0</v>
      </c>
      <c r="AC13" s="527">
        <f>IF(AA13="Yes",VLOOKUP(AA$1,_VRF!$L:$S,3,FALSE),0)</f>
        <v>0</v>
      </c>
      <c r="AD13" s="438"/>
      <c r="AE13" s="527">
        <f>IF(AD13="Yes",VLOOKUP(AD$1,_VRF!$L:$S,2,FALSE),0)</f>
        <v>0</v>
      </c>
      <c r="AF13" s="527">
        <f>IF(AD13="Yes",VLOOKUP(AD$1,_VRF!$L:$S,3,FALSE),0)</f>
        <v>0</v>
      </c>
      <c r="AG13" s="438"/>
      <c r="AH13" s="527">
        <f>IF(AG13="Yes",VLOOKUP(AG$1,_VRF!$L:$S,2,FALSE),0)</f>
        <v>0</v>
      </c>
      <c r="AI13" s="527">
        <f>IF(AG13="Yes",VLOOKUP(AG$1,_VRF!$L:$S,3,FALSE),0)</f>
        <v>0</v>
      </c>
      <c r="BD13" s="432"/>
    </row>
    <row r="14" spans="1:69" x14ac:dyDescent="0.4">
      <c r="A14" s="429" t="str">
        <f t="shared" si="0"/>
        <v>INVALID</v>
      </c>
      <c r="B14" s="430" t="str">
        <f t="shared" si="2"/>
        <v>VRF 13</v>
      </c>
      <c r="C14" s="431">
        <f t="shared" si="3"/>
        <v>0</v>
      </c>
      <c r="D14" s="430">
        <f t="shared" si="4"/>
        <v>0</v>
      </c>
      <c r="E14" s="430"/>
      <c r="F14" s="430">
        <f t="shared" si="1"/>
        <v>20</v>
      </c>
      <c r="G14" s="438"/>
      <c r="H14" s="439"/>
      <c r="I14" s="438">
        <f t="shared" si="5"/>
        <v>553.25</v>
      </c>
      <c r="J14" s="438">
        <f t="shared" si="6"/>
        <v>2</v>
      </c>
      <c r="K14" s="527">
        <f>VLOOKUP(R14,_VRF!$A$39:$G$52,4,FALSE)</f>
        <v>0</v>
      </c>
      <c r="L14" s="527">
        <f t="shared" si="7"/>
        <v>0</v>
      </c>
      <c r="M14" s="527">
        <f>VLOOKUP(R14,_VRF!$A$39:$G$52,5,FALSE)</f>
        <v>0</v>
      </c>
      <c r="N14" s="430">
        <f t="shared" si="8"/>
        <v>0</v>
      </c>
      <c r="O14" s="438" t="s">
        <v>678</v>
      </c>
      <c r="P14" s="527">
        <f>IFERROR(VLOOKUP(O14,_VRF!$L:$S,2,FALSE),0)</f>
        <v>553.25</v>
      </c>
      <c r="Q14" s="439">
        <f>IFERROR(VLOOKUP(O14,_VRF!$L:$S,3,FALSE),0)</f>
        <v>2</v>
      </c>
      <c r="R14" s="438"/>
      <c r="S14" s="527">
        <f>IFERROR(VLOOKUP(R14,_VRF!$L:$S,2,FALSE),0)</f>
        <v>0</v>
      </c>
      <c r="T14" s="439">
        <f>IFERROR(VLOOKUP(R14,_VRF!$L:$S,3,FALSE),0)</f>
        <v>0</v>
      </c>
      <c r="U14" s="438"/>
      <c r="V14" s="527">
        <f>IF(U14="Yes",VLOOKUP(U$1,_VRF!$L:$S,2,FALSE),0)</f>
        <v>0</v>
      </c>
      <c r="W14" s="527">
        <f>IF(U14="Yes",VLOOKUP(U$1,_VRF!$L:$S,3,FALSE),0)</f>
        <v>0</v>
      </c>
      <c r="X14" s="438"/>
      <c r="Y14" s="527">
        <f>IF(X14="Yes",VLOOKUP(X$1,_VRF!$L:$S,2,FALSE),0)</f>
        <v>0</v>
      </c>
      <c r="Z14" s="527">
        <f>IF(X14="Yes",VLOOKUP(X$1,_VRF!$L:$S,3,FALSE),0)</f>
        <v>0</v>
      </c>
      <c r="AA14" s="438"/>
      <c r="AB14" s="527">
        <f>IF(AA14="Yes",VLOOKUP(AA$1,_VRF!$L:$S,2,FALSE),0)</f>
        <v>0</v>
      </c>
      <c r="AC14" s="527">
        <f>IF(AA14="Yes",VLOOKUP(AA$1,_VRF!$L:$S,3,FALSE),0)</f>
        <v>0</v>
      </c>
      <c r="AD14" s="438"/>
      <c r="AE14" s="527">
        <f>IF(AD14="Yes",VLOOKUP(AD$1,_VRF!$L:$S,2,FALSE),0)</f>
        <v>0</v>
      </c>
      <c r="AF14" s="527">
        <f>IF(AD14="Yes",VLOOKUP(AD$1,_VRF!$L:$S,3,FALSE),0)</f>
        <v>0</v>
      </c>
      <c r="AG14" s="438"/>
      <c r="AH14" s="527">
        <f>IF(AG14="Yes",VLOOKUP(AG$1,_VRF!$L:$S,2,FALSE),0)</f>
        <v>0</v>
      </c>
      <c r="AI14" s="527">
        <f>IF(AG14="Yes",VLOOKUP(AG$1,_VRF!$L:$S,3,FALSE),0)</f>
        <v>0</v>
      </c>
      <c r="BD14" s="432"/>
    </row>
    <row r="15" spans="1:69" x14ac:dyDescent="0.4">
      <c r="A15" s="429" t="str">
        <f t="shared" si="0"/>
        <v>INVALID</v>
      </c>
      <c r="B15" s="430" t="str">
        <f t="shared" si="2"/>
        <v>VRF 14</v>
      </c>
      <c r="C15" s="431">
        <f t="shared" si="3"/>
        <v>0</v>
      </c>
      <c r="D15" s="430">
        <f t="shared" si="4"/>
        <v>0</v>
      </c>
      <c r="E15" s="430"/>
      <c r="F15" s="430">
        <f t="shared" si="1"/>
        <v>20</v>
      </c>
      <c r="G15" s="438"/>
      <c r="H15" s="439"/>
      <c r="I15" s="438">
        <f t="shared" si="5"/>
        <v>553.25</v>
      </c>
      <c r="J15" s="438">
        <f t="shared" si="6"/>
        <v>2</v>
      </c>
      <c r="K15" s="527">
        <f>VLOOKUP(R15,_VRF!$A$39:$G$52,4,FALSE)</f>
        <v>0</v>
      </c>
      <c r="L15" s="527">
        <f t="shared" si="7"/>
        <v>0</v>
      </c>
      <c r="M15" s="527">
        <f>VLOOKUP(R15,_VRF!$A$39:$G$52,5,FALSE)</f>
        <v>0</v>
      </c>
      <c r="N15" s="430">
        <f t="shared" si="8"/>
        <v>0</v>
      </c>
      <c r="O15" s="438" t="s">
        <v>678</v>
      </c>
      <c r="P15" s="527">
        <f>IFERROR(VLOOKUP(O15,_VRF!$L:$S,2,FALSE),0)</f>
        <v>553.25</v>
      </c>
      <c r="Q15" s="439">
        <f>IFERROR(VLOOKUP(O15,_VRF!$L:$S,3,FALSE),0)</f>
        <v>2</v>
      </c>
      <c r="R15" s="438"/>
      <c r="S15" s="527">
        <f>IFERROR(VLOOKUP(R15,_VRF!$L:$S,2,FALSE),0)</f>
        <v>0</v>
      </c>
      <c r="T15" s="439">
        <f>IFERROR(VLOOKUP(R15,_VRF!$L:$S,3,FALSE),0)</f>
        <v>0</v>
      </c>
      <c r="U15" s="438"/>
      <c r="V15" s="527">
        <f>IF(U15="Yes",VLOOKUP(U$1,_VRF!$L:$S,2,FALSE),0)</f>
        <v>0</v>
      </c>
      <c r="W15" s="527">
        <f>IF(U15="Yes",VLOOKUP(U$1,_VRF!$L:$S,3,FALSE),0)</f>
        <v>0</v>
      </c>
      <c r="X15" s="438"/>
      <c r="Y15" s="527">
        <f>IF(X15="Yes",VLOOKUP(X$1,_VRF!$L:$S,2,FALSE),0)</f>
        <v>0</v>
      </c>
      <c r="Z15" s="527">
        <f>IF(X15="Yes",VLOOKUP(X$1,_VRF!$L:$S,3,FALSE),0)</f>
        <v>0</v>
      </c>
      <c r="AA15" s="438"/>
      <c r="AB15" s="527">
        <f>IF(AA15="Yes",VLOOKUP(AA$1,_VRF!$L:$S,2,FALSE),0)</f>
        <v>0</v>
      </c>
      <c r="AC15" s="527">
        <f>IF(AA15="Yes",VLOOKUP(AA$1,_VRF!$L:$S,3,FALSE),0)</f>
        <v>0</v>
      </c>
      <c r="AD15" s="438"/>
      <c r="AE15" s="527">
        <f>IF(AD15="Yes",VLOOKUP(AD$1,_VRF!$L:$S,2,FALSE),0)</f>
        <v>0</v>
      </c>
      <c r="AF15" s="527">
        <f>IF(AD15="Yes",VLOOKUP(AD$1,_VRF!$L:$S,3,FALSE),0)</f>
        <v>0</v>
      </c>
      <c r="AG15" s="438"/>
      <c r="AH15" s="527">
        <f>IF(AG15="Yes",VLOOKUP(AG$1,_VRF!$L:$S,2,FALSE),0)</f>
        <v>0</v>
      </c>
      <c r="AI15" s="527">
        <f>IF(AG15="Yes",VLOOKUP(AG$1,_VRF!$L:$S,3,FALSE),0)</f>
        <v>0</v>
      </c>
      <c r="BD15" s="432"/>
    </row>
    <row r="16" spans="1:69" x14ac:dyDescent="0.4">
      <c r="A16" s="429" t="str">
        <f t="shared" si="0"/>
        <v>INVALID</v>
      </c>
      <c r="B16" s="430" t="str">
        <f t="shared" si="2"/>
        <v>VRF 15</v>
      </c>
      <c r="C16" s="431">
        <f t="shared" si="3"/>
        <v>0</v>
      </c>
      <c r="D16" s="430">
        <f t="shared" si="4"/>
        <v>0</v>
      </c>
      <c r="E16" s="430"/>
      <c r="F16" s="430">
        <f t="shared" si="1"/>
        <v>20</v>
      </c>
      <c r="G16" s="438"/>
      <c r="H16" s="439"/>
      <c r="I16" s="438">
        <f t="shared" si="5"/>
        <v>553.25</v>
      </c>
      <c r="J16" s="438">
        <f t="shared" si="6"/>
        <v>2</v>
      </c>
      <c r="K16" s="527">
        <f>VLOOKUP(R16,_VRF!$A$39:$G$52,4,FALSE)</f>
        <v>0</v>
      </c>
      <c r="L16" s="527">
        <f t="shared" si="7"/>
        <v>0</v>
      </c>
      <c r="M16" s="527">
        <f>VLOOKUP(R16,_VRF!$A$39:$G$52,5,FALSE)</f>
        <v>0</v>
      </c>
      <c r="N16" s="430">
        <f t="shared" si="8"/>
        <v>0</v>
      </c>
      <c r="O16" s="438" t="s">
        <v>678</v>
      </c>
      <c r="P16" s="527">
        <f>IFERROR(VLOOKUP(O16,_VRF!$L:$S,2,FALSE),0)</f>
        <v>553.25</v>
      </c>
      <c r="Q16" s="439">
        <f>IFERROR(VLOOKUP(O16,_VRF!$L:$S,3,FALSE),0)</f>
        <v>2</v>
      </c>
      <c r="R16" s="438"/>
      <c r="S16" s="527">
        <f>IFERROR(VLOOKUP(R16,_VRF!$L:$S,2,FALSE),0)</f>
        <v>0</v>
      </c>
      <c r="T16" s="439">
        <f>IFERROR(VLOOKUP(R16,_VRF!$L:$S,3,FALSE),0)</f>
        <v>0</v>
      </c>
      <c r="U16" s="438"/>
      <c r="V16" s="527">
        <f>IF(U16="Yes",VLOOKUP(U$1,_VRF!$L:$S,2,FALSE),0)</f>
        <v>0</v>
      </c>
      <c r="W16" s="527">
        <f>IF(U16="Yes",VLOOKUP(U$1,_VRF!$L:$S,3,FALSE),0)</f>
        <v>0</v>
      </c>
      <c r="X16" s="438"/>
      <c r="Y16" s="527">
        <f>IF(X16="Yes",VLOOKUP(X$1,_VRF!$L:$S,2,FALSE),0)</f>
        <v>0</v>
      </c>
      <c r="Z16" s="527">
        <f>IF(X16="Yes",VLOOKUP(X$1,_VRF!$L:$S,3,FALSE),0)</f>
        <v>0</v>
      </c>
      <c r="AA16" s="438"/>
      <c r="AB16" s="527">
        <f>IF(AA16="Yes",VLOOKUP(AA$1,_VRF!$L:$S,2,FALSE),0)</f>
        <v>0</v>
      </c>
      <c r="AC16" s="527">
        <f>IF(AA16="Yes",VLOOKUP(AA$1,_VRF!$L:$S,3,FALSE),0)</f>
        <v>0</v>
      </c>
      <c r="AD16" s="438"/>
      <c r="AE16" s="527">
        <f>IF(AD16="Yes",VLOOKUP(AD$1,_VRF!$L:$S,2,FALSE),0)</f>
        <v>0</v>
      </c>
      <c r="AF16" s="527">
        <f>IF(AD16="Yes",VLOOKUP(AD$1,_VRF!$L:$S,3,FALSE),0)</f>
        <v>0</v>
      </c>
      <c r="AG16" s="438"/>
      <c r="AH16" s="527">
        <f>IF(AG16="Yes",VLOOKUP(AG$1,_VRF!$L:$S,2,FALSE),0)</f>
        <v>0</v>
      </c>
      <c r="AI16" s="527">
        <f>IF(AG16="Yes",VLOOKUP(AG$1,_VRF!$L:$S,3,FALSE),0)</f>
        <v>0</v>
      </c>
      <c r="AJ16" s="114" t="str">
        <f t="shared" ref="AJ16:AJ23" si="9">IF(A16 = "VALID", BD16, "")</f>
        <v/>
      </c>
      <c r="AN16" s="114">
        <f>VLOOKUP($R16,_VRF!$A$26:$G$31, 2, FALSE)</f>
        <v>1</v>
      </c>
      <c r="AO16" s="114">
        <f>VLOOKUP($R16,_VRF!$A$26:$G$31, 3, FALSE)</f>
        <v>1</v>
      </c>
      <c r="AP16" s="114">
        <f>VLOOKUP($R16,_VRF!$A$26:$G$31, 4, FALSE)</f>
        <v>0</v>
      </c>
      <c r="AQ16" s="114">
        <f>VLOOKUP($R16,_VRF!$A$26:$G$31, 5, FALSE)</f>
        <v>0</v>
      </c>
      <c r="AR16" s="114">
        <f>VLOOKUP($R16,_VRF!$A$26:$G$31, 6, FALSE)</f>
        <v>0</v>
      </c>
      <c r="AS16" s="114">
        <f>VLOOKUP($R16,_VRF!$A$26:$G$31, 7, FALSE)</f>
        <v>0</v>
      </c>
      <c r="AU16" s="114" t="str">
        <f t="shared" ref="AU16:AU23" si="10">IF(AN16=1,O16, 0)</f>
        <v>MSSB</v>
      </c>
      <c r="AV16" s="114">
        <f t="shared" ref="AV16:AV23" si="11">IF(U16="Yes",AO16, 0)</f>
        <v>0</v>
      </c>
      <c r="AW16" s="114">
        <f t="shared" ref="AW16:AW23" si="12">IF(X16="Yes",AP16, 0)</f>
        <v>0</v>
      </c>
      <c r="AX16" s="114">
        <f t="shared" ref="AX16:AX23" si="13">IF(AA16="Yes",AQ16, 0)</f>
        <v>0</v>
      </c>
      <c r="AY16" s="114">
        <f t="shared" ref="AY16:AY23" si="14">IF(AD16="Yes",AR16, 0)</f>
        <v>0</v>
      </c>
      <c r="AZ16" s="114">
        <f t="shared" ref="AZ16:AZ17" si="15">IF(AG16="Yes",AS16, 0)</f>
        <v>0</v>
      </c>
      <c r="BD16" s="432" t="str">
        <f t="shared" ref="BD16:BD23" si="16">IF(A16="VALID",_xlfn.CONCAT("
",BK16,"
",REPT(" ",8),BL16,"
",REPT(" ",8),BM16,"
",REPT(" ", 8),BN16, "
"),"")</f>
        <v/>
      </c>
      <c r="BE16" s="114">
        <f t="shared" ref="BE16:BE22" si="17" xml:space="preserve"> IF(AND(E16&gt;0,A16="VALID"),BE15+1,BE15)</f>
        <v>0</v>
      </c>
      <c r="BF16" s="114" t="str">
        <f>_xlfn.CONCAT(E16," (",VLOOKUP(E16,[1]Backend!C:D,2,FALSE),")")</f>
        <v xml:space="preserve"> (Zero)</v>
      </c>
      <c r="BG16" s="114" t="str">
        <f>_xlfn.CONCAT(BE16," - Electrical power supply and controls to ",BF16," ",VLOOKUP(R16,_VRF!$A$39:$G$48,2,FALSE))</f>
        <v xml:space="preserve">0 - Electrical power supply and controls to  (Zero) </v>
      </c>
      <c r="BH16" s="114" t="str">
        <f t="shared" ref="BH16:BH22" si="18">IF(SUM(AV16:AZ16)&gt;0," with: "," ")</f>
        <v xml:space="preserve"> </v>
      </c>
      <c r="BI16" s="114" t="str">
        <f t="shared" ref="BI16:BI22" si="19">_xlfn.CONCAT(
IF(R16 = "Yes",_xlfn.CONCAT($R$1, ", "),""),
IF(U16 = "Yes",_xlfn.CONCAT($U$1, ", "),""),
IF(X16 = "Yes",_xlfn.CONCAT($X$1, ", "),""),
IF(AA16 = "Yes",_xlfn.CONCAT($AA$1, ", "),""),
IF(AD16 = "Yes",_xlfn.CONCAT($AD$1, ", "),""),
IF(AG16 = "Yes",_xlfn.CONCAT($AG$1, ", "),""))</f>
        <v/>
      </c>
      <c r="BJ16" s="114" t="str">
        <f t="shared" ref="BJ16:BJ22" si="20">IF(AU16=0,"",_xlfn.CONCAT("from ",O16, " Power Supply"))</f>
        <v>from MSSB Power Supply</v>
      </c>
      <c r="BK16" s="114" t="str">
        <f t="shared" ref="BK16:BK22" si="21">_xlfn.CONCAT(BG16,BH16,BI16,BJ16)</f>
        <v>0 - Electrical power supply and controls to  (Zero)  from MSSB Power Supply</v>
      </c>
      <c r="BL16" s="114" t="str">
        <f t="shared" ref="BL16:BL22" si="22">_xlfn.CONCAT(BE16,".1 - This includes supply and install of power and controls.")</f>
        <v>0.1 - This includes supply and install of power and controls.</v>
      </c>
      <c r="BM16" s="114" t="str">
        <f>_xlfn.CONCAT(BE16,".2 - Power for system includes: ",VLOOKUP(O16,_VRF!L:O,4,FALSE))</f>
        <v xml:space="preserve">0.2 - Power for system includes: CB and cabling to unit from MSSB, and local isolator, </v>
      </c>
      <c r="BN16" s="114" t="str">
        <f t="shared" ref="BN16:BN23" si="23">IF(OR((AU16="Local"),SUM(AV16:AZ16)&gt;0),_xlfn.CONCAT(BE16,".3 - Controls for system includes: ",_xlfn.CONCAT(BO16,IF(AU16="Local","controls enclosure.","")),""),"")</f>
        <v/>
      </c>
      <c r="BO16" s="114" t="str">
        <f>_xlfn.CONCAT(
IF(R16="Yes",VLOOKUP(R$1,_VRF!L:Z,4,FALSE),""),
IF(U16="Yes",VLOOKUP(U$1,_VRF!L:Z,4,FALSE),""),
IF(X16="Yes",VLOOKUP(X$1,_VRF!L:Z,4,FALSE),""),
IF(AA16="Yes",VLOOKUP(AA$1,_VRF!L:Z,4,FALSE),""),
IF(AD16="Yes",VLOOKUP(AD$1,_VRF!L:Z,4,FALSE),""),
IF(AG16="Yes",VLOOKUP(AG$1,_VRF!L:Z,4,FALSE),""))</f>
        <v/>
      </c>
      <c r="BQ16" s="114" t="str">
        <f>_xlfn.CONCAT(VLOOKUP(R16,_VRF!$A$39:$G$48,2,FALSE),BH16,BI16,)</f>
        <v xml:space="preserve"> </v>
      </c>
    </row>
    <row r="17" spans="1:69" x14ac:dyDescent="0.4">
      <c r="A17" s="429" t="str">
        <f t="shared" si="0"/>
        <v>INVALID</v>
      </c>
      <c r="B17" s="430" t="str">
        <f t="shared" si="2"/>
        <v>VRF 16</v>
      </c>
      <c r="C17" s="431">
        <f t="shared" si="3"/>
        <v>0</v>
      </c>
      <c r="D17" s="430">
        <f t="shared" si="4"/>
        <v>0</v>
      </c>
      <c r="E17" s="430"/>
      <c r="F17" s="430">
        <f t="shared" si="1"/>
        <v>20</v>
      </c>
      <c r="G17" s="438"/>
      <c r="H17" s="439"/>
      <c r="I17" s="438">
        <f t="shared" si="5"/>
        <v>553.25</v>
      </c>
      <c r="J17" s="438">
        <f t="shared" si="6"/>
        <v>2</v>
      </c>
      <c r="K17" s="527">
        <f>VLOOKUP(R17,_VRF!$A$39:$G$52,4,FALSE)</f>
        <v>0</v>
      </c>
      <c r="L17" s="527">
        <f t="shared" si="7"/>
        <v>0</v>
      </c>
      <c r="M17" s="527">
        <f>VLOOKUP(R17,_VRF!$A$39:$G$52,5,FALSE)</f>
        <v>0</v>
      </c>
      <c r="N17" s="430">
        <f t="shared" si="8"/>
        <v>0</v>
      </c>
      <c r="O17" s="438" t="s">
        <v>678</v>
      </c>
      <c r="P17" s="527">
        <f>IFERROR(VLOOKUP(O17,_VRF!$L:$S,2,FALSE),0)</f>
        <v>553.25</v>
      </c>
      <c r="Q17" s="439">
        <f>IFERROR(VLOOKUP(O17,_VRF!$L:$S,3,FALSE),0)</f>
        <v>2</v>
      </c>
      <c r="R17" s="438"/>
      <c r="S17" s="527">
        <f>IFERROR(VLOOKUP(R17,_VRF!$L:$S,2,FALSE),0)</f>
        <v>0</v>
      </c>
      <c r="T17" s="439">
        <f>IFERROR(VLOOKUP(R17,_VRF!$L:$S,3,FALSE),0)</f>
        <v>0</v>
      </c>
      <c r="U17" s="438"/>
      <c r="V17" s="527">
        <f>IF(U17="Yes",VLOOKUP(U$1,_VRF!$L:$S,2,FALSE),0)</f>
        <v>0</v>
      </c>
      <c r="W17" s="527">
        <f>IF(U17="Yes",VLOOKUP(U$1,_VRF!$L:$S,3,FALSE),0)</f>
        <v>0</v>
      </c>
      <c r="X17" s="438"/>
      <c r="Y17" s="527">
        <f>IF(X17="Yes",VLOOKUP(X$1,_VRF!$L:$S,2,FALSE),0)</f>
        <v>0</v>
      </c>
      <c r="Z17" s="527">
        <f>IF(X17="Yes",VLOOKUP(X$1,_VRF!$L:$S,3,FALSE),0)</f>
        <v>0</v>
      </c>
      <c r="AA17" s="438"/>
      <c r="AB17" s="527">
        <f>IF(AA17="Yes",VLOOKUP(AA$1,_VRF!$L:$S,2,FALSE),0)</f>
        <v>0</v>
      </c>
      <c r="AC17" s="527">
        <f>IF(AA17="Yes",VLOOKUP(AA$1,_VRF!$L:$S,3,FALSE),0)</f>
        <v>0</v>
      </c>
      <c r="AD17" s="438"/>
      <c r="AE17" s="527">
        <f>IF(AD17="Yes",VLOOKUP(AD$1,_VRF!$L:$S,2,FALSE),0)</f>
        <v>0</v>
      </c>
      <c r="AF17" s="527">
        <f>IF(AD17="Yes",VLOOKUP(AD$1,_VRF!$L:$S,3,FALSE),0)</f>
        <v>0</v>
      </c>
      <c r="AG17" s="438"/>
      <c r="AH17" s="527">
        <f>IF(AG17="Yes",VLOOKUP(AG$1,_VRF!$L:$S,2,FALSE),0)</f>
        <v>0</v>
      </c>
      <c r="AI17" s="527">
        <f>IF(AG17="Yes",VLOOKUP(AG$1,_VRF!$L:$S,3,FALSE),0)</f>
        <v>0</v>
      </c>
      <c r="AJ17" s="114" t="str">
        <f t="shared" si="9"/>
        <v/>
      </c>
      <c r="AN17" s="114">
        <f>VLOOKUP($R17,_VRF!$A$26:$G$31, 2, FALSE)</f>
        <v>1</v>
      </c>
      <c r="AO17" s="114">
        <f>VLOOKUP($R17,_VRF!$A$26:$G$31, 3, FALSE)</f>
        <v>1</v>
      </c>
      <c r="AP17" s="114">
        <f>VLOOKUP($R17,_VRF!$A$26:$G$31, 4, FALSE)</f>
        <v>0</v>
      </c>
      <c r="AQ17" s="114">
        <f>VLOOKUP($R17,_VRF!$A$26:$G$31, 5, FALSE)</f>
        <v>0</v>
      </c>
      <c r="AR17" s="114">
        <f>VLOOKUP($R17,_VRF!$A$26:$G$31, 6, FALSE)</f>
        <v>0</v>
      </c>
      <c r="AS17" s="114">
        <f>VLOOKUP($R17,_VRF!$A$26:$G$31, 7, FALSE)</f>
        <v>0</v>
      </c>
      <c r="AU17" s="114" t="str">
        <f t="shared" si="10"/>
        <v>MSSB</v>
      </c>
      <c r="AV17" s="114">
        <f t="shared" si="11"/>
        <v>0</v>
      </c>
      <c r="AW17" s="114">
        <f t="shared" si="12"/>
        <v>0</v>
      </c>
      <c r="AX17" s="114">
        <f t="shared" si="13"/>
        <v>0</v>
      </c>
      <c r="AY17" s="114">
        <f t="shared" si="14"/>
        <v>0</v>
      </c>
      <c r="AZ17" s="114">
        <f t="shared" si="15"/>
        <v>0</v>
      </c>
      <c r="BD17" s="432" t="str">
        <f t="shared" si="16"/>
        <v/>
      </c>
      <c r="BE17" s="114">
        <f t="shared" si="17"/>
        <v>0</v>
      </c>
      <c r="BF17" s="114" t="str">
        <f>_xlfn.CONCAT(E17," (",VLOOKUP(E17,[1]Backend!C:D,2,FALSE),")")</f>
        <v xml:space="preserve"> (Zero)</v>
      </c>
      <c r="BG17" s="114" t="str">
        <f>_xlfn.CONCAT(BE17," - Electrical power supply and controls to ",BF17," ",VLOOKUP(R17,_VRF!$A$39:$G$48,2,FALSE))</f>
        <v xml:space="preserve">0 - Electrical power supply and controls to  (Zero) </v>
      </c>
      <c r="BH17" s="114" t="str">
        <f t="shared" si="18"/>
        <v xml:space="preserve"> </v>
      </c>
      <c r="BI17" s="114" t="str">
        <f t="shared" si="19"/>
        <v/>
      </c>
      <c r="BJ17" s="114" t="str">
        <f t="shared" si="20"/>
        <v>from MSSB Power Supply</v>
      </c>
      <c r="BK17" s="114" t="str">
        <f t="shared" si="21"/>
        <v>0 - Electrical power supply and controls to  (Zero)  from MSSB Power Supply</v>
      </c>
      <c r="BL17" s="114" t="str">
        <f t="shared" si="22"/>
        <v>0.1 - This includes supply and install of power and controls.</v>
      </c>
      <c r="BM17" s="114" t="str">
        <f>_xlfn.CONCAT(BE17,".2 - Power for system includes: ",VLOOKUP(O17,_VRF!L:O,4,FALSE))</f>
        <v xml:space="preserve">0.2 - Power for system includes: CB and cabling to unit from MSSB, and local isolator, </v>
      </c>
      <c r="BN17" s="114" t="str">
        <f t="shared" si="23"/>
        <v/>
      </c>
      <c r="BO17" s="114" t="str">
        <f>_xlfn.CONCAT(
IF(R17="Yes",VLOOKUP(R$1,_VRF!L:Z,4,FALSE),""),
IF(U17="Yes",VLOOKUP(U$1,_VRF!L:Z,4,FALSE),""),
IF(X17="Yes",VLOOKUP(X$1,_VRF!L:Z,4,FALSE),""),
IF(AA17="Yes",VLOOKUP(AA$1,_VRF!L:Z,4,FALSE),""),
IF(AD17="Yes",VLOOKUP(AD$1,_VRF!L:Z,4,FALSE),""),
IF(AG17="Yes",VLOOKUP(AG$1,_VRF!L:Z,4,FALSE),""))</f>
        <v/>
      </c>
      <c r="BQ17" s="114" t="str">
        <f>_xlfn.CONCAT(VLOOKUP(R17,_VRF!$A$39:$G$48,2,FALSE),BH17,BI17,)</f>
        <v xml:space="preserve"> </v>
      </c>
    </row>
    <row r="18" spans="1:69" x14ac:dyDescent="0.4">
      <c r="A18" s="429" t="str">
        <f t="shared" si="0"/>
        <v>INVALID</v>
      </c>
      <c r="B18" s="430" t="str">
        <f t="shared" si="2"/>
        <v>VRF 17</v>
      </c>
      <c r="C18" s="431">
        <f t="shared" si="3"/>
        <v>0</v>
      </c>
      <c r="D18" s="430">
        <f t="shared" si="4"/>
        <v>0</v>
      </c>
      <c r="E18" s="430"/>
      <c r="F18" s="430">
        <f t="shared" si="1"/>
        <v>20</v>
      </c>
      <c r="G18" s="438"/>
      <c r="H18" s="439"/>
      <c r="I18" s="438">
        <f t="shared" si="5"/>
        <v>553.25</v>
      </c>
      <c r="J18" s="438">
        <f t="shared" si="6"/>
        <v>2</v>
      </c>
      <c r="K18" s="527">
        <f>VLOOKUP(R18,_VRF!$A$39:$G$52,4,FALSE)</f>
        <v>0</v>
      </c>
      <c r="L18" s="527">
        <f t="shared" si="7"/>
        <v>0</v>
      </c>
      <c r="M18" s="527">
        <f>VLOOKUP(R18,_VRF!$A$39:$G$52,5,FALSE)</f>
        <v>0</v>
      </c>
      <c r="N18" s="430">
        <f t="shared" si="8"/>
        <v>0</v>
      </c>
      <c r="O18" s="438" t="s">
        <v>678</v>
      </c>
      <c r="P18" s="527">
        <f>IFERROR(VLOOKUP(O18,_VRF!$L:$S,2,FALSE),0)</f>
        <v>553.25</v>
      </c>
      <c r="Q18" s="439">
        <f>IFERROR(VLOOKUP(O18,_VRF!$L:$S,3,FALSE),0)</f>
        <v>2</v>
      </c>
      <c r="R18" s="438"/>
      <c r="S18" s="527">
        <f>IFERROR(VLOOKUP(R18,_VRF!$L:$S,2,FALSE),0)</f>
        <v>0</v>
      </c>
      <c r="T18" s="439">
        <f>IFERROR(VLOOKUP(R18,_VRF!$L:$S,3,FALSE),0)</f>
        <v>0</v>
      </c>
      <c r="U18" s="438"/>
      <c r="V18" s="527">
        <f>IF(U18="Yes",VLOOKUP(U$1,_VRF!$L:$S,2,FALSE),0)</f>
        <v>0</v>
      </c>
      <c r="W18" s="527">
        <f>IF(U18="Yes",VLOOKUP(U$1,_VRF!$L:$S,3,FALSE),0)</f>
        <v>0</v>
      </c>
      <c r="X18" s="438"/>
      <c r="Y18" s="527">
        <f>IF(X18="Yes",VLOOKUP(X$1,_VRF!$L:$S,2,FALSE),0)</f>
        <v>0</v>
      </c>
      <c r="Z18" s="527">
        <f>IF(X18="Yes",VLOOKUP(X$1,_VRF!$L:$S,3,FALSE),0)</f>
        <v>0</v>
      </c>
      <c r="AA18" s="438"/>
      <c r="AB18" s="527">
        <f>IF(AA18="Yes",VLOOKUP(AA$1,_VRF!$L:$S,2,FALSE),0)</f>
        <v>0</v>
      </c>
      <c r="AC18" s="527">
        <f>IF(AA18="Yes",VLOOKUP(AA$1,_VRF!$L:$S,3,FALSE),0)</f>
        <v>0</v>
      </c>
      <c r="AD18" s="438"/>
      <c r="AE18" s="527">
        <f>IF(AD18="Yes",VLOOKUP(AD$1,_VRF!$L:$S,2,FALSE),0)</f>
        <v>0</v>
      </c>
      <c r="AF18" s="527">
        <f>IF(AD18="Yes",VLOOKUP(AD$1,_VRF!$L:$S,3,FALSE),0)</f>
        <v>0</v>
      </c>
      <c r="AG18" s="438"/>
      <c r="AH18" s="527">
        <f>IF(AG18="Yes",VLOOKUP(AG$1,_VRF!$L:$S,2,FALSE),0)</f>
        <v>0</v>
      </c>
      <c r="AI18" s="527">
        <f>IF(AG18="Yes",VLOOKUP(AG$1,_VRF!$L:$S,3,FALSE),0)</f>
        <v>0</v>
      </c>
      <c r="AJ18" s="114" t="str">
        <f t="shared" si="9"/>
        <v/>
      </c>
      <c r="AN18" s="114">
        <f>VLOOKUP($R18,_VRF!$A$26:$G$31, 2, FALSE)</f>
        <v>1</v>
      </c>
      <c r="AO18" s="114">
        <f>VLOOKUP($R18,_VRF!$A$26:$G$31, 3, FALSE)</f>
        <v>1</v>
      </c>
      <c r="AP18" s="114">
        <f>VLOOKUP($R18,_VRF!$A$26:$G$31, 4, FALSE)</f>
        <v>0</v>
      </c>
      <c r="AQ18" s="114">
        <f>VLOOKUP($R18,_VRF!$A$26:$G$31, 5, FALSE)</f>
        <v>0</v>
      </c>
      <c r="AR18" s="114">
        <f>VLOOKUP($R18,_VRF!$A$26:$G$31, 6, FALSE)</f>
        <v>0</v>
      </c>
      <c r="AS18" s="114">
        <f>VLOOKUP($R18,_VRF!$A$26:$G$31, 7, FALSE)</f>
        <v>0</v>
      </c>
      <c r="AU18" s="114" t="str">
        <f t="shared" si="10"/>
        <v>MSSB</v>
      </c>
      <c r="AV18" s="114">
        <f t="shared" si="11"/>
        <v>0</v>
      </c>
      <c r="AW18" s="114">
        <f t="shared" si="12"/>
        <v>0</v>
      </c>
      <c r="AX18" s="114">
        <f t="shared" si="13"/>
        <v>0</v>
      </c>
      <c r="AY18" s="114">
        <f t="shared" si="14"/>
        <v>0</v>
      </c>
      <c r="AZ18" s="114">
        <f t="shared" ref="AZ18:AZ19" si="24">IF(AG18="Yes",AS18, 0)</f>
        <v>0</v>
      </c>
      <c r="BD18" s="432" t="str">
        <f t="shared" si="16"/>
        <v/>
      </c>
      <c r="BE18" s="114">
        <f t="shared" si="17"/>
        <v>0</v>
      </c>
      <c r="BF18" s="114" t="str">
        <f>_xlfn.CONCAT(E18," (",VLOOKUP(E18,[1]Backend!C:D,2,FALSE),")")</f>
        <v xml:space="preserve"> (Zero)</v>
      </c>
      <c r="BG18" s="114" t="str">
        <f>_xlfn.CONCAT(BE18," - Electrical power supply and controls to ",BF18," ",VLOOKUP(R18,_VRF!$A$39:$G$48,2,FALSE))</f>
        <v xml:space="preserve">0 - Electrical power supply and controls to  (Zero) </v>
      </c>
      <c r="BH18" s="114" t="str">
        <f t="shared" si="18"/>
        <v xml:space="preserve"> </v>
      </c>
      <c r="BI18" s="114" t="str">
        <f t="shared" si="19"/>
        <v/>
      </c>
      <c r="BJ18" s="114" t="str">
        <f t="shared" si="20"/>
        <v>from MSSB Power Supply</v>
      </c>
      <c r="BK18" s="114" t="str">
        <f t="shared" si="21"/>
        <v>0 - Electrical power supply and controls to  (Zero)  from MSSB Power Supply</v>
      </c>
      <c r="BL18" s="114" t="str">
        <f t="shared" si="22"/>
        <v>0.1 - This includes supply and install of power and controls.</v>
      </c>
      <c r="BM18" s="114" t="str">
        <f>_xlfn.CONCAT(BE18,".2 - Power for system includes: ",VLOOKUP(O18,_VRF!L:O,4,FALSE))</f>
        <v xml:space="preserve">0.2 - Power for system includes: CB and cabling to unit from MSSB, and local isolator, </v>
      </c>
      <c r="BN18" s="114" t="str">
        <f t="shared" si="23"/>
        <v/>
      </c>
      <c r="BO18" s="114" t="str">
        <f>_xlfn.CONCAT(
IF(R18="Yes",VLOOKUP(R$1,_VRF!L:Z,4,FALSE),""),
IF(U18="Yes",VLOOKUP(U$1,_VRF!L:Z,4,FALSE),""),
IF(X18="Yes",VLOOKUP(X$1,_VRF!L:Z,4,FALSE),""),
IF(AA18="Yes",VLOOKUP(AA$1,_VRF!L:Z,4,FALSE),""),
IF(AD18="Yes",VLOOKUP(AD$1,_VRF!L:Z,4,FALSE),""),
IF(AG18="Yes",VLOOKUP(AG$1,_VRF!L:Z,4,FALSE),""))</f>
        <v/>
      </c>
      <c r="BQ18" s="114" t="str">
        <f>_xlfn.CONCAT(VLOOKUP(R18,_VRF!$A$39:$G$48,2,FALSE),BH18,BI18,)</f>
        <v xml:space="preserve"> </v>
      </c>
    </row>
    <row r="19" spans="1:69" x14ac:dyDescent="0.4">
      <c r="A19" s="429" t="str">
        <f t="shared" si="0"/>
        <v>INVALID</v>
      </c>
      <c r="B19" s="430" t="str">
        <f t="shared" si="2"/>
        <v>VRF 18</v>
      </c>
      <c r="C19" s="431">
        <f t="shared" si="3"/>
        <v>0</v>
      </c>
      <c r="D19" s="430">
        <f t="shared" si="4"/>
        <v>0</v>
      </c>
      <c r="E19" s="430"/>
      <c r="F19" s="430">
        <f t="shared" si="1"/>
        <v>20</v>
      </c>
      <c r="G19" s="438"/>
      <c r="H19" s="439"/>
      <c r="I19" s="438">
        <f t="shared" si="5"/>
        <v>553.25</v>
      </c>
      <c r="J19" s="438">
        <f t="shared" si="6"/>
        <v>2</v>
      </c>
      <c r="K19" s="527">
        <f>VLOOKUP(R19,_VRF!$A$39:$G$52,4,FALSE)</f>
        <v>0</v>
      </c>
      <c r="L19" s="527">
        <f t="shared" si="7"/>
        <v>0</v>
      </c>
      <c r="M19" s="527">
        <f>VLOOKUP(R19,_VRF!$A$39:$G$52,5,FALSE)</f>
        <v>0</v>
      </c>
      <c r="N19" s="430">
        <f t="shared" si="8"/>
        <v>0</v>
      </c>
      <c r="O19" s="438" t="s">
        <v>678</v>
      </c>
      <c r="P19" s="527">
        <f>IFERROR(VLOOKUP(O19,_VRF!$L:$S,2,FALSE),0)</f>
        <v>553.25</v>
      </c>
      <c r="Q19" s="439">
        <f>IFERROR(VLOOKUP(O19,_VRF!$L:$S,3,FALSE),0)</f>
        <v>2</v>
      </c>
      <c r="R19" s="438"/>
      <c r="S19" s="527">
        <f>IFERROR(VLOOKUP(R19,_VRF!$L:$S,2,FALSE),0)</f>
        <v>0</v>
      </c>
      <c r="T19" s="439">
        <f>IFERROR(VLOOKUP(R19,_VRF!$L:$S,3,FALSE),0)</f>
        <v>0</v>
      </c>
      <c r="U19" s="438"/>
      <c r="V19" s="527">
        <f>IF(U19="Yes",VLOOKUP(U$1,_VRF!$L:$S,2,FALSE),0)</f>
        <v>0</v>
      </c>
      <c r="W19" s="527">
        <f>IF(U19="Yes",VLOOKUP(U$1,_VRF!$L:$S,3,FALSE),0)</f>
        <v>0</v>
      </c>
      <c r="X19" s="438"/>
      <c r="Y19" s="527">
        <f>IF(X19="Yes",VLOOKUP(X$1,_VRF!$L:$S,2,FALSE),0)</f>
        <v>0</v>
      </c>
      <c r="Z19" s="527">
        <f>IF(X19="Yes",VLOOKUP(X$1,_VRF!$L:$S,3,FALSE),0)</f>
        <v>0</v>
      </c>
      <c r="AA19" s="438"/>
      <c r="AB19" s="527">
        <f>IF(AA19="Yes",VLOOKUP(AA$1,_VRF!$L:$S,2,FALSE),0)</f>
        <v>0</v>
      </c>
      <c r="AC19" s="527">
        <f>IF(AA19="Yes",VLOOKUP(AA$1,_VRF!$L:$S,3,FALSE),0)</f>
        <v>0</v>
      </c>
      <c r="AD19" s="438"/>
      <c r="AE19" s="527">
        <f>IF(AD19="Yes",VLOOKUP(AD$1,_VRF!$L:$S,2,FALSE),0)</f>
        <v>0</v>
      </c>
      <c r="AF19" s="527">
        <f>IF(AD19="Yes",VLOOKUP(AD$1,_VRF!$L:$S,3,FALSE),0)</f>
        <v>0</v>
      </c>
      <c r="AG19" s="438"/>
      <c r="AH19" s="527">
        <f>IF(AG19="Yes",VLOOKUP(AG$1,_VRF!$L:$S,2,FALSE),0)</f>
        <v>0</v>
      </c>
      <c r="AI19" s="527">
        <f>IF(AG19="Yes",VLOOKUP(AG$1,_VRF!$L:$S,3,FALSE),0)</f>
        <v>0</v>
      </c>
      <c r="AJ19" s="114" t="str">
        <f t="shared" si="9"/>
        <v/>
      </c>
      <c r="AN19" s="114">
        <f>VLOOKUP($R19,_VRF!$A$26:$G$31, 2, FALSE)</f>
        <v>1</v>
      </c>
      <c r="AO19" s="114">
        <f>VLOOKUP($R19,_VRF!$A$26:$G$31, 3, FALSE)</f>
        <v>1</v>
      </c>
      <c r="AP19" s="114">
        <f>VLOOKUP($R19,_VRF!$A$26:$G$31, 4, FALSE)</f>
        <v>0</v>
      </c>
      <c r="AQ19" s="114">
        <f>VLOOKUP($R19,_VRF!$A$26:$G$31, 5, FALSE)</f>
        <v>0</v>
      </c>
      <c r="AR19" s="114">
        <f>VLOOKUP($R19,_VRF!$A$26:$G$31, 6, FALSE)</f>
        <v>0</v>
      </c>
      <c r="AS19" s="114">
        <f>VLOOKUP($R19,_VRF!$A$26:$G$31, 7, FALSE)</f>
        <v>0</v>
      </c>
      <c r="AU19" s="114" t="str">
        <f t="shared" si="10"/>
        <v>MSSB</v>
      </c>
      <c r="AV19" s="114">
        <f t="shared" si="11"/>
        <v>0</v>
      </c>
      <c r="AW19" s="114">
        <f t="shared" si="12"/>
        <v>0</v>
      </c>
      <c r="AX19" s="114">
        <f t="shared" si="13"/>
        <v>0</v>
      </c>
      <c r="AY19" s="114">
        <f t="shared" si="14"/>
        <v>0</v>
      </c>
      <c r="AZ19" s="114">
        <f t="shared" si="24"/>
        <v>0</v>
      </c>
      <c r="BD19" s="432" t="str">
        <f t="shared" si="16"/>
        <v/>
      </c>
      <c r="BE19" s="114">
        <f t="shared" si="17"/>
        <v>0</v>
      </c>
      <c r="BF19" s="114" t="str">
        <f>_xlfn.CONCAT(E19," (",VLOOKUP(E19,[1]Backend!C:D,2,FALSE),")")</f>
        <v xml:space="preserve"> (Zero)</v>
      </c>
      <c r="BG19" s="114" t="str">
        <f>_xlfn.CONCAT(BE19," - Electrical power supply and controls to ",BF19," ",VLOOKUP(R19,_VRF!$A$39:$G$48,2,FALSE))</f>
        <v xml:space="preserve">0 - Electrical power supply and controls to  (Zero) </v>
      </c>
      <c r="BH19" s="114" t="str">
        <f t="shared" si="18"/>
        <v xml:space="preserve"> </v>
      </c>
      <c r="BI19" s="114" t="str">
        <f t="shared" si="19"/>
        <v/>
      </c>
      <c r="BJ19" s="114" t="str">
        <f t="shared" si="20"/>
        <v>from MSSB Power Supply</v>
      </c>
      <c r="BK19" s="114" t="str">
        <f t="shared" si="21"/>
        <v>0 - Electrical power supply and controls to  (Zero)  from MSSB Power Supply</v>
      </c>
      <c r="BL19" s="114" t="str">
        <f t="shared" si="22"/>
        <v>0.1 - This includes supply and install of power and controls.</v>
      </c>
      <c r="BM19" s="114" t="str">
        <f>_xlfn.CONCAT(BE19,".2 - Power for system includes: ",VLOOKUP(O19,_VRF!L:O,4,FALSE))</f>
        <v xml:space="preserve">0.2 - Power for system includes: CB and cabling to unit from MSSB, and local isolator, </v>
      </c>
      <c r="BN19" s="114" t="str">
        <f t="shared" si="23"/>
        <v/>
      </c>
      <c r="BO19" s="114" t="str">
        <f>_xlfn.CONCAT(
IF(R19="Yes",VLOOKUP(R$1,_VRF!L:Z,4,FALSE),""),
IF(U19="Yes",VLOOKUP(U$1,_VRF!L:Z,4,FALSE),""),
IF(X19="Yes",VLOOKUP(X$1,_VRF!L:Z,4,FALSE),""),
IF(AA19="Yes",VLOOKUP(AA$1,_VRF!L:Z,4,FALSE),""),
IF(AD19="Yes",VLOOKUP(AD$1,_VRF!L:Z,4,FALSE),""),
IF(AG19="Yes",VLOOKUP(AG$1,_VRF!L:Z,4,FALSE),""))</f>
        <v/>
      </c>
      <c r="BQ19" s="114" t="str">
        <f>_xlfn.CONCAT(VLOOKUP(R19,_VRF!$A$39:$G$48,2,FALSE),BH19,BI19,)</f>
        <v xml:space="preserve"> </v>
      </c>
    </row>
    <row r="20" spans="1:69" x14ac:dyDescent="0.4">
      <c r="A20" s="429" t="str">
        <f t="shared" si="0"/>
        <v>INVALID</v>
      </c>
      <c r="B20" s="430" t="str">
        <f t="shared" si="2"/>
        <v>VRF 19</v>
      </c>
      <c r="C20" s="431">
        <f t="shared" si="3"/>
        <v>0</v>
      </c>
      <c r="D20" s="430">
        <f t="shared" si="4"/>
        <v>0</v>
      </c>
      <c r="E20" s="430"/>
      <c r="F20" s="430">
        <f t="shared" si="1"/>
        <v>20</v>
      </c>
      <c r="G20" s="438"/>
      <c r="H20" s="439"/>
      <c r="I20" s="438">
        <f t="shared" si="5"/>
        <v>553.25</v>
      </c>
      <c r="J20" s="438">
        <f t="shared" si="6"/>
        <v>2</v>
      </c>
      <c r="K20" s="527">
        <f>VLOOKUP(R20,_VRF!$A$39:$G$52,4,FALSE)</f>
        <v>0</v>
      </c>
      <c r="L20" s="527">
        <f t="shared" si="7"/>
        <v>0</v>
      </c>
      <c r="M20" s="527">
        <f>VLOOKUP(R20,_VRF!$A$39:$G$52,5,FALSE)</f>
        <v>0</v>
      </c>
      <c r="N20" s="430">
        <f t="shared" si="8"/>
        <v>0</v>
      </c>
      <c r="O20" s="438" t="s">
        <v>678</v>
      </c>
      <c r="P20" s="527">
        <f>IFERROR(VLOOKUP(O20,_VRF!$L:$S,2,FALSE),0)</f>
        <v>553.25</v>
      </c>
      <c r="Q20" s="439">
        <f>IFERROR(VLOOKUP(O20,_VRF!$L:$S,3,FALSE),0)</f>
        <v>2</v>
      </c>
      <c r="R20" s="438"/>
      <c r="S20" s="527">
        <f>IFERROR(VLOOKUP(R20,_VRF!$L:$S,2,FALSE),0)</f>
        <v>0</v>
      </c>
      <c r="T20" s="439">
        <f>IFERROR(VLOOKUP(R20,_VRF!$L:$S,3,FALSE),0)</f>
        <v>0</v>
      </c>
      <c r="U20" s="438"/>
      <c r="V20" s="527">
        <f>IF(U20="Yes",VLOOKUP(U$1,_VRF!$L:$S,2,FALSE),0)</f>
        <v>0</v>
      </c>
      <c r="W20" s="527">
        <f>IF(U20="Yes",VLOOKUP(U$1,_VRF!$L:$S,3,FALSE),0)</f>
        <v>0</v>
      </c>
      <c r="X20" s="438"/>
      <c r="Y20" s="527">
        <f>IF(X20="Yes",VLOOKUP(X$1,_VRF!$L:$S,2,FALSE),0)</f>
        <v>0</v>
      </c>
      <c r="Z20" s="527">
        <f>IF(X20="Yes",VLOOKUP(X$1,_VRF!$L:$S,3,FALSE),0)</f>
        <v>0</v>
      </c>
      <c r="AA20" s="438"/>
      <c r="AB20" s="527">
        <f>IF(AA20="Yes",VLOOKUP(AA$1,_VRF!$L:$S,2,FALSE),0)</f>
        <v>0</v>
      </c>
      <c r="AC20" s="527">
        <f>IF(AA20="Yes",VLOOKUP(AA$1,_VRF!$L:$S,3,FALSE),0)</f>
        <v>0</v>
      </c>
      <c r="AD20" s="438"/>
      <c r="AE20" s="527">
        <f>IF(AD20="Yes",VLOOKUP(AD$1,_VRF!$L:$S,2,FALSE),0)</f>
        <v>0</v>
      </c>
      <c r="AF20" s="527">
        <f>IF(AD20="Yes",VLOOKUP(AD$1,_VRF!$L:$S,3,FALSE),0)</f>
        <v>0</v>
      </c>
      <c r="AG20" s="438"/>
      <c r="AH20" s="527">
        <f>IF(AG20="Yes",VLOOKUP(AG$1,_VRF!$L:$S,2,FALSE),0)</f>
        <v>0</v>
      </c>
      <c r="AI20" s="527">
        <f>IF(AG20="Yes",VLOOKUP(AG$1,_VRF!$L:$S,3,FALSE),0)</f>
        <v>0</v>
      </c>
      <c r="AJ20" s="114" t="str">
        <f t="shared" si="9"/>
        <v/>
      </c>
      <c r="AN20" s="114">
        <f>VLOOKUP($R20,_VRF!$A$26:$G$31, 2, FALSE)</f>
        <v>1</v>
      </c>
      <c r="AO20" s="114">
        <f>VLOOKUP($R20,_VRF!$A$26:$G$31, 3, FALSE)</f>
        <v>1</v>
      </c>
      <c r="AP20" s="114">
        <f>VLOOKUP($R20,_VRF!$A$26:$G$31, 4, FALSE)</f>
        <v>0</v>
      </c>
      <c r="AQ20" s="114">
        <f>VLOOKUP($R20,_VRF!$A$26:$G$31, 5, FALSE)</f>
        <v>0</v>
      </c>
      <c r="AR20" s="114">
        <f>VLOOKUP($R20,_VRF!$A$26:$G$31, 6, FALSE)</f>
        <v>0</v>
      </c>
      <c r="AS20" s="114">
        <f>VLOOKUP($R20,_VRF!$A$26:$G$31, 7, FALSE)</f>
        <v>0</v>
      </c>
      <c r="AU20" s="114" t="str">
        <f t="shared" si="10"/>
        <v>MSSB</v>
      </c>
      <c r="AV20" s="114">
        <f t="shared" si="11"/>
        <v>0</v>
      </c>
      <c r="AW20" s="114">
        <f t="shared" si="12"/>
        <v>0</v>
      </c>
      <c r="AX20" s="114">
        <f t="shared" si="13"/>
        <v>0</v>
      </c>
      <c r="AY20" s="114">
        <f t="shared" si="14"/>
        <v>0</v>
      </c>
      <c r="AZ20" s="114">
        <f t="shared" ref="AZ20:AZ23" si="25">IF(AG20="Yes",AS20, 0)</f>
        <v>0</v>
      </c>
      <c r="BD20" s="432" t="str">
        <f t="shared" si="16"/>
        <v/>
      </c>
      <c r="BE20" s="114">
        <f t="shared" si="17"/>
        <v>0</v>
      </c>
      <c r="BF20" s="114" t="str">
        <f>_xlfn.CONCAT(E20," (",VLOOKUP(E20,[1]Backend!C:D,2,FALSE),")")</f>
        <v xml:space="preserve"> (Zero)</v>
      </c>
      <c r="BG20" s="114" t="str">
        <f>_xlfn.CONCAT(BE20," - Electrical power supply and controls to ",BF20," ",VLOOKUP(R20,_VRF!$A$39:$G$48,2,FALSE))</f>
        <v xml:space="preserve">0 - Electrical power supply and controls to  (Zero) </v>
      </c>
      <c r="BH20" s="114" t="str">
        <f t="shared" si="18"/>
        <v xml:space="preserve"> </v>
      </c>
      <c r="BI20" s="114" t="str">
        <f t="shared" si="19"/>
        <v/>
      </c>
      <c r="BJ20" s="114" t="str">
        <f t="shared" si="20"/>
        <v>from MSSB Power Supply</v>
      </c>
      <c r="BK20" s="114" t="str">
        <f t="shared" si="21"/>
        <v>0 - Electrical power supply and controls to  (Zero)  from MSSB Power Supply</v>
      </c>
      <c r="BL20" s="114" t="str">
        <f t="shared" si="22"/>
        <v>0.1 - This includes supply and install of power and controls.</v>
      </c>
      <c r="BM20" s="114" t="str">
        <f>_xlfn.CONCAT(BE20,".2 - Power for system includes: ",VLOOKUP(O20,_VRF!L:O,4,FALSE))</f>
        <v xml:space="preserve">0.2 - Power for system includes: CB and cabling to unit from MSSB, and local isolator, </v>
      </c>
      <c r="BN20" s="114" t="str">
        <f t="shared" si="23"/>
        <v/>
      </c>
      <c r="BO20" s="114" t="str">
        <f>_xlfn.CONCAT(
IF(R20="Yes",VLOOKUP(R$1,_VRF!L:Z,4,FALSE),""),
IF(U20="Yes",VLOOKUP(U$1,_VRF!L:Z,4,FALSE),""),
IF(X20="Yes",VLOOKUP(X$1,_VRF!L:Z,4,FALSE),""),
IF(AA20="Yes",VLOOKUP(AA$1,_VRF!L:Z,4,FALSE),""),
IF(AD20="Yes",VLOOKUP(AD$1,_VRF!L:Z,4,FALSE),""),
IF(AG20="Yes",VLOOKUP(AG$1,_VRF!L:Z,4,FALSE),""))</f>
        <v/>
      </c>
      <c r="BQ20" s="114" t="str">
        <f>_xlfn.CONCAT(VLOOKUP(R20,_VRF!$A$39:$G$48,2,FALSE),BH20,BI20,)</f>
        <v xml:space="preserve"> </v>
      </c>
    </row>
    <row r="21" spans="1:69" x14ac:dyDescent="0.4">
      <c r="A21" s="429" t="str">
        <f t="shared" si="0"/>
        <v>INVALID</v>
      </c>
      <c r="B21" s="430" t="str">
        <f t="shared" si="2"/>
        <v>VRF 20</v>
      </c>
      <c r="C21" s="431">
        <f t="shared" si="3"/>
        <v>0</v>
      </c>
      <c r="D21" s="430">
        <f t="shared" si="4"/>
        <v>0</v>
      </c>
      <c r="E21" s="430"/>
      <c r="F21" s="430">
        <f t="shared" si="1"/>
        <v>20</v>
      </c>
      <c r="G21" s="438"/>
      <c r="H21" s="439"/>
      <c r="I21" s="438">
        <f t="shared" si="5"/>
        <v>553.25</v>
      </c>
      <c r="J21" s="438">
        <f t="shared" si="6"/>
        <v>2</v>
      </c>
      <c r="K21" s="527">
        <f>VLOOKUP(R21,_VRF!$A$39:$G$52,4,FALSE)</f>
        <v>0</v>
      </c>
      <c r="L21" s="527">
        <f t="shared" si="7"/>
        <v>0</v>
      </c>
      <c r="M21" s="527">
        <f>VLOOKUP(R21,_VRF!$A$39:$G$52,5,FALSE)</f>
        <v>0</v>
      </c>
      <c r="N21" s="430">
        <f t="shared" si="8"/>
        <v>0</v>
      </c>
      <c r="O21" s="438" t="s">
        <v>678</v>
      </c>
      <c r="P21" s="527">
        <f>IFERROR(VLOOKUP(O21,_VRF!$L:$S,2,FALSE),0)</f>
        <v>553.25</v>
      </c>
      <c r="Q21" s="439">
        <f>IFERROR(VLOOKUP(O21,_VRF!$L:$S,3,FALSE),0)</f>
        <v>2</v>
      </c>
      <c r="R21" s="438"/>
      <c r="S21" s="527">
        <f>IFERROR(VLOOKUP(R21,_VRF!$L:$S,2,FALSE),0)</f>
        <v>0</v>
      </c>
      <c r="T21" s="439">
        <f>IFERROR(VLOOKUP(R21,_VRF!$L:$S,3,FALSE),0)</f>
        <v>0</v>
      </c>
      <c r="U21" s="438"/>
      <c r="V21" s="527">
        <f>IF(U21="Yes",VLOOKUP(U$1,_VRF!$L:$S,2,FALSE),0)</f>
        <v>0</v>
      </c>
      <c r="W21" s="527">
        <f>IF(U21="Yes",VLOOKUP(U$1,_VRF!$L:$S,3,FALSE),0)</f>
        <v>0</v>
      </c>
      <c r="X21" s="438"/>
      <c r="Y21" s="527">
        <f>IF(X21="Yes",VLOOKUP(X$1,_VRF!$L:$S,2,FALSE),0)</f>
        <v>0</v>
      </c>
      <c r="Z21" s="527">
        <f>IF(X21="Yes",VLOOKUP(X$1,_VRF!$L:$S,3,FALSE),0)</f>
        <v>0</v>
      </c>
      <c r="AA21" s="438"/>
      <c r="AB21" s="527">
        <f>IF(AA21="Yes",VLOOKUP(AA$1,_VRF!$L:$S,2,FALSE),0)</f>
        <v>0</v>
      </c>
      <c r="AC21" s="527">
        <f>IF(AA21="Yes",VLOOKUP(AA$1,_VRF!$L:$S,3,FALSE),0)</f>
        <v>0</v>
      </c>
      <c r="AD21" s="438"/>
      <c r="AE21" s="527">
        <f>IF(AD21="Yes",VLOOKUP(AD$1,_VRF!$L:$S,2,FALSE),0)</f>
        <v>0</v>
      </c>
      <c r="AF21" s="527">
        <f>IF(AD21="Yes",VLOOKUP(AD$1,_VRF!$L:$S,3,FALSE),0)</f>
        <v>0</v>
      </c>
      <c r="AG21" s="438"/>
      <c r="AH21" s="527">
        <f>IF(AG21="Yes",VLOOKUP(AG$1,_VRF!$L:$S,2,FALSE),0)</f>
        <v>0</v>
      </c>
      <c r="AI21" s="527">
        <f>IF(AG21="Yes",VLOOKUP(AG$1,_VRF!$L:$S,3,FALSE),0)</f>
        <v>0</v>
      </c>
      <c r="AJ21" s="114" t="str">
        <f t="shared" si="9"/>
        <v/>
      </c>
      <c r="AN21" s="114">
        <f>VLOOKUP($R21,_VRF!$A$26:$G$31, 2, FALSE)</f>
        <v>1</v>
      </c>
      <c r="AO21" s="114">
        <f>VLOOKUP($R21,_VRF!$A$26:$G$31, 3, FALSE)</f>
        <v>1</v>
      </c>
      <c r="AP21" s="114">
        <f>VLOOKUP($R21,_VRF!$A$26:$G$31, 4, FALSE)</f>
        <v>0</v>
      </c>
      <c r="AQ21" s="114">
        <f>VLOOKUP($R21,_VRF!$A$26:$G$31, 5, FALSE)</f>
        <v>0</v>
      </c>
      <c r="AR21" s="114">
        <f>VLOOKUP($R21,_VRF!$A$26:$G$31, 6, FALSE)</f>
        <v>0</v>
      </c>
      <c r="AS21" s="114">
        <f>VLOOKUP($R21,_VRF!$A$26:$G$31, 7, FALSE)</f>
        <v>0</v>
      </c>
      <c r="AU21" s="114" t="str">
        <f t="shared" si="10"/>
        <v>MSSB</v>
      </c>
      <c r="AV21" s="114">
        <f t="shared" si="11"/>
        <v>0</v>
      </c>
      <c r="AW21" s="114">
        <f t="shared" si="12"/>
        <v>0</v>
      </c>
      <c r="AX21" s="114">
        <f t="shared" si="13"/>
        <v>0</v>
      </c>
      <c r="AY21" s="114">
        <f t="shared" si="14"/>
        <v>0</v>
      </c>
      <c r="AZ21" s="114">
        <f t="shared" si="25"/>
        <v>0</v>
      </c>
      <c r="BD21" s="432" t="str">
        <f t="shared" si="16"/>
        <v/>
      </c>
      <c r="BE21" s="114">
        <f t="shared" si="17"/>
        <v>0</v>
      </c>
      <c r="BF21" s="114" t="str">
        <f>_xlfn.CONCAT(E21," (",VLOOKUP(E21,[1]Backend!C:D,2,FALSE),")")</f>
        <v xml:space="preserve"> (Zero)</v>
      </c>
      <c r="BG21" s="114" t="str">
        <f>_xlfn.CONCAT(BE21," - Electrical power supply and controls to ",BF21," ",VLOOKUP(R21,_VRF!$A$39:$G$48,2,FALSE))</f>
        <v xml:space="preserve">0 - Electrical power supply and controls to  (Zero) </v>
      </c>
      <c r="BH21" s="114" t="str">
        <f t="shared" si="18"/>
        <v xml:space="preserve"> </v>
      </c>
      <c r="BI21" s="114" t="str">
        <f t="shared" si="19"/>
        <v/>
      </c>
      <c r="BJ21" s="114" t="str">
        <f t="shared" si="20"/>
        <v>from MSSB Power Supply</v>
      </c>
      <c r="BK21" s="114" t="str">
        <f t="shared" si="21"/>
        <v>0 - Electrical power supply and controls to  (Zero)  from MSSB Power Supply</v>
      </c>
      <c r="BL21" s="114" t="str">
        <f t="shared" si="22"/>
        <v>0.1 - This includes supply and install of power and controls.</v>
      </c>
      <c r="BM21" s="114" t="str">
        <f>_xlfn.CONCAT(BE21,".2 - Power for system includes: ",VLOOKUP(O21,_VRF!L:O,4,FALSE))</f>
        <v xml:space="preserve">0.2 - Power for system includes: CB and cabling to unit from MSSB, and local isolator, </v>
      </c>
      <c r="BN21" s="114" t="str">
        <f t="shared" si="23"/>
        <v/>
      </c>
      <c r="BO21" s="114" t="str">
        <f>_xlfn.CONCAT(
IF(R21="Yes",VLOOKUP(R$1,_VRF!L:Z,4,FALSE),""),
IF(U21="Yes",VLOOKUP(U$1,_VRF!L:Z,4,FALSE),""),
IF(X21="Yes",VLOOKUP(X$1,_VRF!L:Z,4,FALSE),""),
IF(AA21="Yes",VLOOKUP(AA$1,_VRF!L:Z,4,FALSE),""),
IF(AD21="Yes",VLOOKUP(AD$1,_VRF!L:Z,4,FALSE),""),
IF(AG21="Yes",VLOOKUP(AG$1,_VRF!L:Z,4,FALSE),""))</f>
        <v/>
      </c>
      <c r="BQ21" s="114" t="str">
        <f>_xlfn.CONCAT(VLOOKUP(R21,_VRF!$A$39:$G$48,2,FALSE),BH21,BI21,)</f>
        <v xml:space="preserve"> </v>
      </c>
    </row>
    <row r="22" spans="1:69" x14ac:dyDescent="0.4">
      <c r="A22" s="429" t="str">
        <f t="shared" si="0"/>
        <v>INVALID</v>
      </c>
      <c r="B22" s="430" t="str">
        <f t="shared" si="2"/>
        <v>VRF 21</v>
      </c>
      <c r="C22" s="431">
        <f t="shared" si="3"/>
        <v>0</v>
      </c>
      <c r="D22" s="430">
        <f t="shared" si="4"/>
        <v>0</v>
      </c>
      <c r="E22" s="430"/>
      <c r="F22" s="430">
        <f t="shared" si="1"/>
        <v>20</v>
      </c>
      <c r="G22" s="438"/>
      <c r="H22" s="439"/>
      <c r="I22" s="438">
        <f t="shared" si="5"/>
        <v>553.25</v>
      </c>
      <c r="J22" s="438">
        <f t="shared" si="6"/>
        <v>2</v>
      </c>
      <c r="K22" s="527">
        <f>VLOOKUP(R22,_VRF!$A$39:$G$52,4,FALSE)</f>
        <v>0</v>
      </c>
      <c r="L22" s="527">
        <f t="shared" si="7"/>
        <v>0</v>
      </c>
      <c r="M22" s="527">
        <f>VLOOKUP(R22,_VRF!$A$39:$G$52,5,FALSE)</f>
        <v>0</v>
      </c>
      <c r="N22" s="430">
        <f t="shared" si="8"/>
        <v>0</v>
      </c>
      <c r="O22" s="438" t="s">
        <v>678</v>
      </c>
      <c r="P22" s="527">
        <f>IFERROR(VLOOKUP(O22,_VRF!$L:$S,2,FALSE),0)</f>
        <v>553.25</v>
      </c>
      <c r="Q22" s="439">
        <f>IFERROR(VLOOKUP(O22,_VRF!$L:$S,3,FALSE),0)</f>
        <v>2</v>
      </c>
      <c r="R22" s="438"/>
      <c r="S22" s="527">
        <f>IFERROR(VLOOKUP(R22,_VRF!$L:$S,2,FALSE),0)</f>
        <v>0</v>
      </c>
      <c r="T22" s="439">
        <f>IFERROR(VLOOKUP(R22,_VRF!$L:$S,3,FALSE),0)</f>
        <v>0</v>
      </c>
      <c r="U22" s="438"/>
      <c r="V22" s="527">
        <f>IF(U22="Yes",VLOOKUP(U$1,_VRF!$L:$S,2,FALSE),0)</f>
        <v>0</v>
      </c>
      <c r="W22" s="527">
        <f>IF(U22="Yes",VLOOKUP(U$1,_VRF!$L:$S,3,FALSE),0)</f>
        <v>0</v>
      </c>
      <c r="X22" s="438"/>
      <c r="Y22" s="527">
        <f>IF(X22="Yes",VLOOKUP(X$1,_VRF!$L:$S,2,FALSE),0)</f>
        <v>0</v>
      </c>
      <c r="Z22" s="527">
        <f>IF(X22="Yes",VLOOKUP(X$1,_VRF!$L:$S,3,FALSE),0)</f>
        <v>0</v>
      </c>
      <c r="AA22" s="438"/>
      <c r="AB22" s="527">
        <f>IF(AA22="Yes",VLOOKUP(AA$1,_VRF!$L:$S,2,FALSE),0)</f>
        <v>0</v>
      </c>
      <c r="AC22" s="527">
        <f>IF(AA22="Yes",VLOOKUP(AA$1,_VRF!$L:$S,3,FALSE),0)</f>
        <v>0</v>
      </c>
      <c r="AD22" s="438"/>
      <c r="AE22" s="527">
        <f>IF(AD22="Yes",VLOOKUP(AD$1,_VRF!$L:$S,2,FALSE),0)</f>
        <v>0</v>
      </c>
      <c r="AF22" s="527">
        <f>IF(AD22="Yes",VLOOKUP(AD$1,_VRF!$L:$S,3,FALSE),0)</f>
        <v>0</v>
      </c>
      <c r="AG22" s="438"/>
      <c r="AH22" s="527">
        <f>IF(AG22="Yes",VLOOKUP(AG$1,_VRF!$L:$S,2,FALSE),0)</f>
        <v>0</v>
      </c>
      <c r="AI22" s="527">
        <f>IF(AG22="Yes",VLOOKUP(AG$1,_VRF!$L:$S,3,FALSE),0)</f>
        <v>0</v>
      </c>
      <c r="AJ22" s="114" t="str">
        <f t="shared" si="9"/>
        <v/>
      </c>
      <c r="AN22" s="114">
        <f>VLOOKUP($R22,_VRF!$A$26:$G$31, 2, FALSE)</f>
        <v>1</v>
      </c>
      <c r="AO22" s="114">
        <f>VLOOKUP($R22,_VRF!$A$26:$G$31, 3, FALSE)</f>
        <v>1</v>
      </c>
      <c r="AP22" s="114">
        <f>VLOOKUP($R22,_VRF!$A$26:$G$31, 4, FALSE)</f>
        <v>0</v>
      </c>
      <c r="AQ22" s="114">
        <f>VLOOKUP($R22,_VRF!$A$26:$G$31, 5, FALSE)</f>
        <v>0</v>
      </c>
      <c r="AR22" s="114">
        <f>VLOOKUP($R22,_VRF!$A$26:$G$31, 6, FALSE)</f>
        <v>0</v>
      </c>
      <c r="AS22" s="114">
        <f>VLOOKUP($R22,_VRF!$A$26:$G$31, 7, FALSE)</f>
        <v>0</v>
      </c>
      <c r="AU22" s="114" t="str">
        <f t="shared" si="10"/>
        <v>MSSB</v>
      </c>
      <c r="AV22" s="114">
        <f t="shared" si="11"/>
        <v>0</v>
      </c>
      <c r="AW22" s="114">
        <f t="shared" si="12"/>
        <v>0</v>
      </c>
      <c r="AX22" s="114">
        <f t="shared" si="13"/>
        <v>0</v>
      </c>
      <c r="AY22" s="114">
        <f t="shared" si="14"/>
        <v>0</v>
      </c>
      <c r="AZ22" s="114">
        <f t="shared" si="25"/>
        <v>0</v>
      </c>
      <c r="BD22" s="432" t="str">
        <f t="shared" si="16"/>
        <v/>
      </c>
      <c r="BE22" s="114">
        <f t="shared" si="17"/>
        <v>0</v>
      </c>
      <c r="BF22" s="114" t="str">
        <f>_xlfn.CONCAT(E22," (",VLOOKUP(E22,[1]Backend!C:D,2,FALSE),")")</f>
        <v xml:space="preserve"> (Zero)</v>
      </c>
      <c r="BG22" s="114" t="str">
        <f>_xlfn.CONCAT(BE22," - Electrical power supply and controls to ",BF22," ",VLOOKUP(R22,_VRF!$A$39:$G$48,2,FALSE))</f>
        <v xml:space="preserve">0 - Electrical power supply and controls to  (Zero) </v>
      </c>
      <c r="BH22" s="114" t="str">
        <f t="shared" si="18"/>
        <v xml:space="preserve"> </v>
      </c>
      <c r="BI22" s="114" t="str">
        <f t="shared" si="19"/>
        <v/>
      </c>
      <c r="BJ22" s="114" t="str">
        <f t="shared" si="20"/>
        <v>from MSSB Power Supply</v>
      </c>
      <c r="BK22" s="114" t="str">
        <f t="shared" si="21"/>
        <v>0 - Electrical power supply and controls to  (Zero)  from MSSB Power Supply</v>
      </c>
      <c r="BL22" s="114" t="str">
        <f t="shared" si="22"/>
        <v>0.1 - This includes supply and install of power and controls.</v>
      </c>
      <c r="BM22" s="114" t="str">
        <f>_xlfn.CONCAT(BE22,".2 - Power for system includes: ",VLOOKUP(O22,_VRF!L:O,4,FALSE))</f>
        <v xml:space="preserve">0.2 - Power for system includes: CB and cabling to unit from MSSB, and local isolator, </v>
      </c>
      <c r="BN22" s="114" t="str">
        <f t="shared" si="23"/>
        <v/>
      </c>
      <c r="BO22" s="114" t="str">
        <f>_xlfn.CONCAT(
IF(R22="Yes",VLOOKUP(R$1,_VRF!L:Z,4,FALSE),""),
IF(U22="Yes",VLOOKUP(U$1,_VRF!L:Z,4,FALSE),""),
IF(X22="Yes",VLOOKUP(X$1,_VRF!L:Z,4,FALSE),""),
IF(AA22="Yes",VLOOKUP(AA$1,_VRF!L:Z,4,FALSE),""),
IF(AD22="Yes",VLOOKUP(AD$1,_VRF!L:Z,4,FALSE),""),
IF(AG22="Yes",VLOOKUP(AG$1,_VRF!L:Z,4,FALSE),""))</f>
        <v/>
      </c>
      <c r="BQ22" s="114" t="str">
        <f>_xlfn.CONCAT(VLOOKUP(R22,_VRF!$A$39:$G$48,2,FALSE),BH22,BI22,)</f>
        <v xml:space="preserve"> </v>
      </c>
    </row>
    <row r="23" spans="1:69" x14ac:dyDescent="0.4">
      <c r="A23" s="429" t="str">
        <f t="shared" si="0"/>
        <v>INVALID</v>
      </c>
      <c r="B23" s="430" t="str">
        <f t="shared" si="2"/>
        <v>VRF 22</v>
      </c>
      <c r="C23" s="431">
        <f t="shared" si="3"/>
        <v>0</v>
      </c>
      <c r="D23" s="430">
        <f t="shared" si="4"/>
        <v>0</v>
      </c>
      <c r="E23" s="430"/>
      <c r="F23" s="430">
        <f t="shared" si="1"/>
        <v>20</v>
      </c>
      <c r="G23" s="438"/>
      <c r="H23" s="439"/>
      <c r="I23" s="438">
        <f t="shared" si="5"/>
        <v>553.25</v>
      </c>
      <c r="J23" s="438">
        <f t="shared" si="6"/>
        <v>2</v>
      </c>
      <c r="K23" s="527">
        <f>VLOOKUP(R23,_VRF!$A$39:$G$52,4,FALSE)</f>
        <v>0</v>
      </c>
      <c r="L23" s="527">
        <f t="shared" si="7"/>
        <v>0</v>
      </c>
      <c r="M23" s="527">
        <f>VLOOKUP(R23,_VRF!$A$39:$G$52,5,FALSE)</f>
        <v>0</v>
      </c>
      <c r="N23" s="430">
        <f t="shared" si="8"/>
        <v>0</v>
      </c>
      <c r="O23" s="438" t="s">
        <v>678</v>
      </c>
      <c r="P23" s="527">
        <f>IFERROR(VLOOKUP(O23,_VRF!$L:$S,2,FALSE),0)</f>
        <v>553.25</v>
      </c>
      <c r="Q23" s="439">
        <f>IFERROR(VLOOKUP(O23,_VRF!$L:$S,3,FALSE),0)</f>
        <v>2</v>
      </c>
      <c r="R23" s="438"/>
      <c r="S23" s="527">
        <f>IFERROR(VLOOKUP(R23,_VRF!$L:$S,2,FALSE),0)</f>
        <v>0</v>
      </c>
      <c r="T23" s="439">
        <f>IFERROR(VLOOKUP(R23,_VRF!$L:$S,3,FALSE),0)</f>
        <v>0</v>
      </c>
      <c r="U23" s="438"/>
      <c r="V23" s="527">
        <f>IF(U23="Yes",VLOOKUP(U$1,_VRF!$L:$S,2,FALSE),0)</f>
        <v>0</v>
      </c>
      <c r="W23" s="527">
        <f>IF(U23="Yes",VLOOKUP(U$1,_VRF!$L:$S,3,FALSE),0)</f>
        <v>0</v>
      </c>
      <c r="X23" s="438"/>
      <c r="Y23" s="527">
        <f>IF(X23="Yes",VLOOKUP(X$1,_VRF!$L:$S,2,FALSE),0)</f>
        <v>0</v>
      </c>
      <c r="Z23" s="527">
        <f>IF(X23="Yes",VLOOKUP(X$1,_VRF!$L:$S,3,FALSE),0)</f>
        <v>0</v>
      </c>
      <c r="AA23" s="438"/>
      <c r="AB23" s="527">
        <f>IF(AA23="Yes",VLOOKUP(AA$1,_VRF!$L:$S,2,FALSE),0)</f>
        <v>0</v>
      </c>
      <c r="AC23" s="527">
        <f>IF(AA23="Yes",VLOOKUP(AA$1,_VRF!$L:$S,3,FALSE),0)</f>
        <v>0</v>
      </c>
      <c r="AD23" s="438"/>
      <c r="AE23" s="527">
        <f>IF(AD23="Yes",VLOOKUP(AD$1,_VRF!$L:$S,2,FALSE),0)</f>
        <v>0</v>
      </c>
      <c r="AF23" s="527">
        <f>IF(AD23="Yes",VLOOKUP(AD$1,_VRF!$L:$S,3,FALSE),0)</f>
        <v>0</v>
      </c>
      <c r="AG23" s="438"/>
      <c r="AH23" s="527">
        <f>IF(AG23="Yes",VLOOKUP(AG$1,_VRF!$L:$S,2,FALSE),0)</f>
        <v>0</v>
      </c>
      <c r="AI23" s="527">
        <f>IF(AG23="Yes",VLOOKUP(AG$1,_VRF!$L:$S,3,FALSE),0)</f>
        <v>0</v>
      </c>
      <c r="AJ23" s="114" t="str">
        <f t="shared" si="9"/>
        <v/>
      </c>
      <c r="AN23" s="114">
        <f>VLOOKUP($R23,_VRF!$A$26:$G$31, 2, FALSE)</f>
        <v>1</v>
      </c>
      <c r="AO23" s="114">
        <f>VLOOKUP($R23,_VRF!$A$26:$G$31, 3, FALSE)</f>
        <v>1</v>
      </c>
      <c r="AP23" s="114">
        <f>VLOOKUP($R23,_VRF!$A$26:$G$31, 4, FALSE)</f>
        <v>0</v>
      </c>
      <c r="AQ23" s="114">
        <f>VLOOKUP($R23,_VRF!$A$26:$G$31, 5, FALSE)</f>
        <v>0</v>
      </c>
      <c r="AR23" s="114">
        <f>VLOOKUP($R23,_VRF!$A$26:$G$31, 6, FALSE)</f>
        <v>0</v>
      </c>
      <c r="AS23" s="114">
        <f>VLOOKUP($R23,_VRF!$A$26:$G$31, 7, FALSE)</f>
        <v>0</v>
      </c>
      <c r="AU23" s="114" t="str">
        <f t="shared" si="10"/>
        <v>MSSB</v>
      </c>
      <c r="AV23" s="114">
        <f t="shared" si="11"/>
        <v>0</v>
      </c>
      <c r="AW23" s="114">
        <f t="shared" si="12"/>
        <v>0</v>
      </c>
      <c r="AX23" s="114">
        <f t="shared" si="13"/>
        <v>0</v>
      </c>
      <c r="AY23" s="114">
        <f t="shared" si="14"/>
        <v>0</v>
      </c>
      <c r="AZ23" s="114">
        <f t="shared" si="25"/>
        <v>0</v>
      </c>
      <c r="BD23" s="432" t="str">
        <f t="shared" si="16"/>
        <v/>
      </c>
      <c r="BN23" s="114" t="str">
        <f t="shared" si="23"/>
        <v/>
      </c>
      <c r="BO23" s="114" t="str">
        <f>_xlfn.CONCAT(
IF(R23="Yes",VLOOKUP(R$1,_VRF!L:Z,4,FALSE),""),
IF(U23="Yes",VLOOKUP(U$1,_VRF!L:Z,4,FALSE),""),
IF(X23="Yes",VLOOKUP(X$1,_VRF!L:Z,4,FALSE),""),
IF(AA23="Yes",VLOOKUP(AA$1,_VRF!L:Z,4,FALSE),""),
IF(AD23="Yes",VLOOKUP(AD$1,_VRF!L:Z,4,FALSE),""),
IF(AG23="Yes",VLOOKUP(AG$1,_VRF!L:Z,4,FALSE),""))</f>
        <v/>
      </c>
      <c r="BQ23" s="114" t="str">
        <f>_xlfn.CONCAT(VLOOKUP(R23,_VRF!$A$39:$G$48,2,FALSE),BH23,BI23,)</f>
        <v/>
      </c>
    </row>
    <row r="29" spans="1:69" x14ac:dyDescent="0.4">
      <c r="O29" s="446"/>
    </row>
  </sheetData>
  <conditionalFormatting sqref="A2:A23">
    <cfRule type="cellIs" dxfId="370" priority="22" operator="equal">
      <formula>"INVALID"</formula>
    </cfRule>
    <cfRule type="cellIs" dxfId="369" priority="23" operator="equal">
      <formula>"VALID"</formula>
    </cfRule>
  </conditionalFormatting>
  <conditionalFormatting sqref="O3:O23 S2:T23 R3:T23">
    <cfRule type="cellIs" dxfId="368" priority="21" operator="equal">
      <formula>$AAW$2</formula>
    </cfRule>
  </conditionalFormatting>
  <conditionalFormatting sqref="BN2:BN1048576">
    <cfRule type="colorScale" priority="20">
      <colorScale>
        <cfvo type="min"/>
        <cfvo type="max"/>
        <color rgb="FF63BE7B"/>
        <color rgb="FFFCFCFF"/>
      </colorScale>
    </cfRule>
  </conditionalFormatting>
  <conditionalFormatting sqref="AW1">
    <cfRule type="colorScale" priority="19">
      <colorScale>
        <cfvo type="min"/>
        <cfvo type="max"/>
        <color rgb="FF63BE7B"/>
        <color rgb="FFFCFCFF"/>
      </colorScale>
    </cfRule>
  </conditionalFormatting>
  <conditionalFormatting sqref="P3:Q23 S3:T23 O2:T2 AG2 Y2:Z23 V2:W23 AG4:AG23">
    <cfRule type="cellIs" dxfId="367" priority="14" operator="equal">
      <formula>$AAW$2</formula>
    </cfRule>
  </conditionalFormatting>
  <conditionalFormatting sqref="AB2:AC23">
    <cfRule type="cellIs" dxfId="366" priority="13" operator="equal">
      <formula>$AAW$2</formula>
    </cfRule>
  </conditionalFormatting>
  <conditionalFormatting sqref="AE2:AF23">
    <cfRule type="cellIs" dxfId="365" priority="12" operator="equal">
      <formula>$AAW$2</formula>
    </cfRule>
  </conditionalFormatting>
  <conditionalFormatting sqref="AH2:AI23">
    <cfRule type="cellIs" dxfId="364" priority="11" operator="equal">
      <formula>$AAW$2</formula>
    </cfRule>
  </conditionalFormatting>
  <conditionalFormatting sqref="AD2:AD3 AD5:AD23">
    <cfRule type="cellIs" dxfId="363" priority="10" operator="equal">
      <formula>$AAW$2</formula>
    </cfRule>
  </conditionalFormatting>
  <conditionalFormatting sqref="AA2 AA4:AA23">
    <cfRule type="cellIs" dxfId="362" priority="9" operator="equal">
      <formula>$AAW$2</formula>
    </cfRule>
  </conditionalFormatting>
  <conditionalFormatting sqref="X2:X3 X5:X23">
    <cfRule type="cellIs" dxfId="361" priority="8" operator="equal">
      <formula>$AAW$2</formula>
    </cfRule>
  </conditionalFormatting>
  <conditionalFormatting sqref="U2:U23">
    <cfRule type="cellIs" dxfId="360" priority="7" operator="equal">
      <formula>$AAW$2</formula>
    </cfRule>
  </conditionalFormatting>
  <conditionalFormatting sqref="O29">
    <cfRule type="expression" dxfId="359" priority="6">
      <formula>IF(ROW() = ROW(), TRUE, FALSE)</formula>
    </cfRule>
  </conditionalFormatting>
  <conditionalFormatting sqref="X4">
    <cfRule type="cellIs" dxfId="358" priority="5" operator="equal">
      <formula>$AAW$2</formula>
    </cfRule>
  </conditionalFormatting>
  <conditionalFormatting sqref="AA3">
    <cfRule type="cellIs" dxfId="357" priority="4" operator="equal">
      <formula>$AAW$2</formula>
    </cfRule>
  </conditionalFormatting>
  <conditionalFormatting sqref="AD4">
    <cfRule type="cellIs" dxfId="356" priority="3" operator="equal">
      <formula>$AAW$2</formula>
    </cfRule>
  </conditionalFormatting>
  <conditionalFormatting sqref="AG3">
    <cfRule type="cellIs" dxfId="355" priority="2" operator="equal">
      <formula>$AAW$2</formula>
    </cfRule>
  </conditionalFormatting>
  <conditionalFormatting sqref="R1:AI23">
    <cfRule type="cellIs" dxfId="354"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K2:M23" xr:uid="{00000000-0002-0000-0A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2000000}">
          <x14:formula1>
            <xm:f>'@Car Park'!$A$2:$A$3</xm:f>
          </x14:formula1>
          <xm:sqref>AD2:AD23 AA2:AA23 X2:X23 U2:U23 AG2:AG23</xm:sqref>
        </x14:dataValidation>
        <x14:dataValidation type="list" allowBlank="1" showInputMessage="1" showErrorMessage="1" xr:uid="{00000000-0002-0000-0A00-000003000000}">
          <x14:formula1>
            <xm:f>_VRF!$B$2:$B$9</xm:f>
          </x14:formula1>
          <xm:sqref>R2:R23</xm:sqref>
        </x14:dataValidation>
        <x14:dataValidation type="list" allowBlank="1" showInputMessage="1" showErrorMessage="1" xr:uid="{00000000-0002-0000-0A00-000004000000}">
          <x14:formula1>
            <xm:f>_VRF!$A$2:$A$3</xm:f>
          </x14:formula1>
          <xm:sqref>O2:O23</xm:sqref>
        </x14:dataValidation>
        <x14:dataValidation type="list" allowBlank="1" showInputMessage="1" showErrorMessage="1" xr:uid="{00000000-0002-0000-0A00-000001000000}">
          <x14:formula1>
            <xm:f>_Fan!I$2:I$3</xm:f>
          </x14:formula1>
          <xm:sqref>AK2:AL23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8"/>
  <sheetViews>
    <sheetView topLeftCell="A7" workbookViewId="0">
      <selection activeCell="D18" sqref="D18"/>
    </sheetView>
  </sheetViews>
  <sheetFormatPr defaultColWidth="9.23046875"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84375" style="114" customWidth="1"/>
    <col min="21" max="16384" width="9.23046875" style="114"/>
  </cols>
  <sheetData>
    <row r="1" spans="1:24" s="418" customFormat="1" ht="43.75" x14ac:dyDescent="0.4">
      <c r="A1" s="427" t="s">
        <v>676</v>
      </c>
      <c r="B1" s="427" t="s">
        <v>1032</v>
      </c>
      <c r="C1" s="427" t="s">
        <v>1020</v>
      </c>
      <c r="D1" s="427" t="s">
        <v>1021</v>
      </c>
      <c r="E1" s="427" t="s">
        <v>1022</v>
      </c>
      <c r="F1" s="418" t="s">
        <v>1023</v>
      </c>
      <c r="G1" s="418" t="s">
        <v>989</v>
      </c>
      <c r="L1" s="418" t="s">
        <v>994</v>
      </c>
      <c r="M1" s="418" t="s">
        <v>995</v>
      </c>
      <c r="N1" s="418" t="s">
        <v>996</v>
      </c>
    </row>
    <row r="2" spans="1:24" x14ac:dyDescent="0.4">
      <c r="A2" s="114" t="s">
        <v>990</v>
      </c>
      <c r="B2" s="114" t="s">
        <v>1027</v>
      </c>
      <c r="C2" s="114" t="s">
        <v>885</v>
      </c>
      <c r="D2" s="114" t="s">
        <v>885</v>
      </c>
      <c r="E2" s="114" t="s">
        <v>885</v>
      </c>
      <c r="F2" s="114" t="s">
        <v>885</v>
      </c>
      <c r="G2" s="114" t="s">
        <v>885</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1033</v>
      </c>
      <c r="P2" s="114" t="s">
        <v>253</v>
      </c>
      <c r="Q2" s="114" t="s">
        <v>998</v>
      </c>
      <c r="R2" s="114" t="s">
        <v>268</v>
      </c>
      <c r="S2" s="114" t="s">
        <v>999</v>
      </c>
      <c r="T2" s="114" t="s">
        <v>1000</v>
      </c>
    </row>
    <row r="3" spans="1:24" x14ac:dyDescent="0.4">
      <c r="A3" s="114" t="s">
        <v>678</v>
      </c>
      <c r="C3" s="114" t="s">
        <v>886</v>
      </c>
      <c r="D3" s="114" t="s">
        <v>886</v>
      </c>
      <c r="E3" s="114" t="s">
        <v>886</v>
      </c>
      <c r="F3" s="114" t="s">
        <v>886</v>
      </c>
      <c r="G3" s="114" t="s">
        <v>886</v>
      </c>
      <c r="P3" s="114">
        <v>1</v>
      </c>
      <c r="Q3" s="114">
        <v>1</v>
      </c>
      <c r="R3" s="114" t="s">
        <v>1001</v>
      </c>
      <c r="S3" s="114">
        <v>1</v>
      </c>
      <c r="T3" s="114">
        <v>1</v>
      </c>
    </row>
    <row r="4" spans="1:24" x14ac:dyDescent="0.4">
      <c r="B4" s="114" t="s">
        <v>1029</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1034</v>
      </c>
      <c r="P4" s="114" t="s">
        <v>253</v>
      </c>
      <c r="Q4" s="114" t="s">
        <v>998</v>
      </c>
      <c r="R4" s="114" t="s">
        <v>268</v>
      </c>
      <c r="S4" s="114" t="s">
        <v>304</v>
      </c>
      <c r="T4" s="114" t="s">
        <v>1344</v>
      </c>
      <c r="U4" s="114" t="s">
        <v>1003</v>
      </c>
      <c r="V4" s="114" t="s">
        <v>1004</v>
      </c>
      <c r="W4" s="114" t="s">
        <v>1000</v>
      </c>
    </row>
    <row r="5" spans="1:24" x14ac:dyDescent="0.4">
      <c r="B5" s="114" t="s">
        <v>1030</v>
      </c>
      <c r="J5" s="114">
        <v>2</v>
      </c>
      <c r="P5" s="114">
        <v>1</v>
      </c>
      <c r="Q5" s="114">
        <v>1</v>
      </c>
      <c r="R5" s="114" t="s">
        <v>1001</v>
      </c>
      <c r="S5" s="114">
        <v>1</v>
      </c>
      <c r="T5" s="114">
        <v>1</v>
      </c>
      <c r="U5" s="114">
        <v>1</v>
      </c>
      <c r="V5" s="114">
        <v>1</v>
      </c>
      <c r="W5" s="114">
        <v>1</v>
      </c>
      <c r="X5" s="114">
        <v>1</v>
      </c>
    </row>
    <row r="6" spans="1:24" x14ac:dyDescent="0.4">
      <c r="B6" s="114" t="s">
        <v>1026</v>
      </c>
      <c r="I6" s="114" t="s">
        <v>268</v>
      </c>
      <c r="J6" s="114" t="s">
        <v>269</v>
      </c>
      <c r="L6" s="114" t="s">
        <v>1027</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1033</v>
      </c>
      <c r="P6" s="114" t="s">
        <v>253</v>
      </c>
      <c r="Q6" s="114" t="s">
        <v>998</v>
      </c>
      <c r="R6" s="114" t="s">
        <v>268</v>
      </c>
      <c r="S6" s="114" t="s">
        <v>269</v>
      </c>
      <c r="T6" s="114" t="s">
        <v>1035</v>
      </c>
      <c r="U6" s="114" t="s">
        <v>239</v>
      </c>
    </row>
    <row r="7" spans="1:24" x14ac:dyDescent="0.4">
      <c r="B7" s="114" t="s">
        <v>1031</v>
      </c>
      <c r="P7" s="114">
        <v>1</v>
      </c>
      <c r="R7" s="114" t="s">
        <v>1001</v>
      </c>
      <c r="S7" s="114" t="s">
        <v>1001</v>
      </c>
      <c r="T7" s="114">
        <v>1</v>
      </c>
      <c r="U7" s="114">
        <v>1</v>
      </c>
    </row>
    <row r="8" spans="1:24" x14ac:dyDescent="0.4">
      <c r="B8" s="114" t="s">
        <v>1036</v>
      </c>
      <c r="J8" s="114" t="s">
        <v>267</v>
      </c>
      <c r="L8" s="114" t="s">
        <v>1036</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1037</v>
      </c>
      <c r="P8" s="114" t="s">
        <v>267</v>
      </c>
    </row>
    <row r="9" spans="1:24" x14ac:dyDescent="0.4">
      <c r="B9" s="114" t="s">
        <v>1048</v>
      </c>
      <c r="P9" s="114" t="s">
        <v>1001</v>
      </c>
    </row>
    <row r="10" spans="1:24" x14ac:dyDescent="0.4">
      <c r="I10" s="114" t="s">
        <v>266</v>
      </c>
      <c r="J10" s="114" t="s">
        <v>269</v>
      </c>
      <c r="L10" s="114" t="s">
        <v>1029</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1038</v>
      </c>
      <c r="Q10" s="114" t="s">
        <v>1018</v>
      </c>
      <c r="R10" s="114" t="s">
        <v>253</v>
      </c>
      <c r="S10" s="114" t="s">
        <v>998</v>
      </c>
    </row>
    <row r="11" spans="1:24" x14ac:dyDescent="0.4">
      <c r="P11" s="114">
        <v>1</v>
      </c>
      <c r="Q11" s="114">
        <v>1</v>
      </c>
      <c r="R11" s="114">
        <v>1</v>
      </c>
      <c r="S11" s="114">
        <v>1</v>
      </c>
    </row>
    <row r="12" spans="1:24" x14ac:dyDescent="0.4">
      <c r="I12" s="114" t="s">
        <v>266</v>
      </c>
      <c r="J12" s="114" t="s">
        <v>269</v>
      </c>
      <c r="L12" s="114" t="s">
        <v>1030</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100.46000000000001</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2</v>
      </c>
      <c r="P12" s="114" t="s">
        <v>266</v>
      </c>
      <c r="Q12" s="114" t="s">
        <v>1039</v>
      </c>
      <c r="R12" s="114" t="s">
        <v>1040</v>
      </c>
      <c r="S12" s="114" t="s">
        <v>1018</v>
      </c>
      <c r="T12" s="114" t="s">
        <v>269</v>
      </c>
    </row>
    <row r="13" spans="1:24" x14ac:dyDescent="0.4">
      <c r="P13" s="114" t="s">
        <v>1001</v>
      </c>
      <c r="Q13" s="114">
        <v>1</v>
      </c>
      <c r="R13" s="114">
        <v>1</v>
      </c>
      <c r="S13" s="114">
        <v>1</v>
      </c>
      <c r="T13" s="114">
        <v>10</v>
      </c>
    </row>
    <row r="14" spans="1:24" x14ac:dyDescent="0.4">
      <c r="A14" s="33" t="s">
        <v>974</v>
      </c>
      <c r="I14" s="114" t="s">
        <v>268</v>
      </c>
      <c r="J14" s="114" t="s">
        <v>269</v>
      </c>
      <c r="L14" s="114" t="s">
        <v>1026</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350</v>
      </c>
      <c r="Q14" s="114" t="s">
        <v>253</v>
      </c>
      <c r="R14" s="114" t="s">
        <v>360</v>
      </c>
      <c r="S14" s="114" t="s">
        <v>268</v>
      </c>
    </row>
    <row r="15" spans="1:24" x14ac:dyDescent="0.4">
      <c r="A15" s="114" t="s">
        <v>964</v>
      </c>
      <c r="B15" s="114" t="s">
        <v>976</v>
      </c>
      <c r="P15" s="114">
        <v>1</v>
      </c>
      <c r="Q15" s="114">
        <v>1</v>
      </c>
      <c r="R15" s="114" t="s">
        <v>1001</v>
      </c>
      <c r="S15" s="114" t="s">
        <v>1001</v>
      </c>
    </row>
    <row r="16" spans="1:24" x14ac:dyDescent="0.4">
      <c r="A16" s="114" t="s">
        <v>977</v>
      </c>
      <c r="B16" s="114" t="s">
        <v>978</v>
      </c>
      <c r="I16" s="114" t="s">
        <v>268</v>
      </c>
      <c r="J16" s="114" t="s">
        <v>269</v>
      </c>
      <c r="L16" s="114" t="s">
        <v>1031</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1033</v>
      </c>
      <c r="P16" s="114" t="s">
        <v>253</v>
      </c>
      <c r="Q16" s="114" t="s">
        <v>998</v>
      </c>
      <c r="R16" s="114" t="s">
        <v>268</v>
      </c>
      <c r="S16" s="114" t="s">
        <v>269</v>
      </c>
      <c r="T16" s="114" t="s">
        <v>1035</v>
      </c>
      <c r="U16" s="114" t="s">
        <v>239</v>
      </c>
      <c r="V16" s="114" t="s">
        <v>301</v>
      </c>
    </row>
    <row r="17" spans="1:22" x14ac:dyDescent="0.4">
      <c r="P17" s="114">
        <v>1</v>
      </c>
      <c r="R17" s="114" t="s">
        <v>1001</v>
      </c>
      <c r="S17" s="114" t="s">
        <v>1001</v>
      </c>
      <c r="T17" s="114">
        <v>1</v>
      </c>
      <c r="U17" s="114">
        <v>1</v>
      </c>
      <c r="V17" s="114">
        <v>1</v>
      </c>
    </row>
    <row r="18" spans="1:22" x14ac:dyDescent="0.4">
      <c r="A18" s="114" t="s">
        <v>1041</v>
      </c>
      <c r="B18" s="114" t="s">
        <v>1042</v>
      </c>
      <c r="L18" s="114" t="s">
        <v>1020</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32</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1043</v>
      </c>
      <c r="P18" s="114" t="s">
        <v>1003</v>
      </c>
    </row>
    <row r="19" spans="1:22" x14ac:dyDescent="0.4">
      <c r="A19" s="114" t="s">
        <v>1027</v>
      </c>
      <c r="B19" s="415" t="s">
        <v>1044</v>
      </c>
      <c r="C19" s="114" t="s">
        <v>639</v>
      </c>
      <c r="P19" s="114">
        <v>2</v>
      </c>
    </row>
    <row r="20" spans="1:22" x14ac:dyDescent="0.4">
      <c r="A20" s="114" t="s">
        <v>1028</v>
      </c>
      <c r="L20" s="114" t="s">
        <v>1021</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1014</v>
      </c>
      <c r="P20" s="114" t="s">
        <v>588</v>
      </c>
    </row>
    <row r="21" spans="1:22" x14ac:dyDescent="0.4">
      <c r="A21" s="114" t="s">
        <v>1029</v>
      </c>
      <c r="P21" s="114">
        <v>1</v>
      </c>
    </row>
    <row r="22" spans="1:22" x14ac:dyDescent="0.4">
      <c r="A22" s="114" t="s">
        <v>1030</v>
      </c>
      <c r="L22" s="114" t="s">
        <v>1022</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1045</v>
      </c>
      <c r="P22" s="114" t="s">
        <v>268</v>
      </c>
    </row>
    <row r="23" spans="1:22" x14ac:dyDescent="0.4">
      <c r="A23" s="114" t="s">
        <v>1026</v>
      </c>
      <c r="B23" s="415" t="s">
        <v>1046</v>
      </c>
      <c r="P23" s="114">
        <v>999999</v>
      </c>
    </row>
    <row r="24" spans="1:22" x14ac:dyDescent="0.4">
      <c r="L24" s="114" t="s">
        <v>1023</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850010.61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1047</v>
      </c>
      <c r="P24" s="114" t="s">
        <v>268</v>
      </c>
      <c r="Q24" s="114" t="s">
        <v>1023</v>
      </c>
    </row>
    <row r="25" spans="1:22" x14ac:dyDescent="0.4">
      <c r="A25" s="114" t="s">
        <v>1032</v>
      </c>
      <c r="B25" s="114" t="s">
        <v>676</v>
      </c>
      <c r="C25" s="114" t="s">
        <v>1020</v>
      </c>
      <c r="D25" s="114" t="s">
        <v>1021</v>
      </c>
      <c r="E25" s="114" t="s">
        <v>1022</v>
      </c>
      <c r="F25" s="114" t="s">
        <v>1023</v>
      </c>
      <c r="G25" s="114" t="s">
        <v>989</v>
      </c>
      <c r="P25" s="114">
        <v>999999</v>
      </c>
      <c r="Q25" s="114">
        <v>1</v>
      </c>
    </row>
    <row r="26" spans="1:22" x14ac:dyDescent="0.4">
      <c r="A26" s="114" t="str">
        <f>B2</f>
        <v>Indoor</v>
      </c>
      <c r="B26" s="114">
        <v>1</v>
      </c>
      <c r="C26" s="114">
        <v>1</v>
      </c>
      <c r="D26" s="114">
        <v>1</v>
      </c>
      <c r="E26" s="114">
        <v>1</v>
      </c>
      <c r="F26" s="114">
        <v>1</v>
      </c>
      <c r="G26" s="114">
        <v>1</v>
      </c>
      <c r="L26" s="114" t="s">
        <v>989</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8500015.1500000004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1016</v>
      </c>
      <c r="P26" s="114" t="s">
        <v>268</v>
      </c>
      <c r="Q26" s="114" t="s">
        <v>989</v>
      </c>
    </row>
    <row r="27" spans="1:22" x14ac:dyDescent="0.4">
      <c r="A27" s="114">
        <f t="shared" ref="A27:A35" si="0">B3</f>
        <v>0</v>
      </c>
      <c r="B27" s="114">
        <v>1</v>
      </c>
      <c r="C27" s="114">
        <v>1</v>
      </c>
      <c r="D27" s="114">
        <v>0</v>
      </c>
      <c r="E27" s="114">
        <v>0</v>
      </c>
      <c r="F27" s="114">
        <v>0</v>
      </c>
      <c r="G27" s="114">
        <v>0</v>
      </c>
      <c r="P27" s="114">
        <v>9999999</v>
      </c>
      <c r="Q27" s="114">
        <v>1</v>
      </c>
    </row>
    <row r="28" spans="1:22" x14ac:dyDescent="0.4">
      <c r="A28" s="114" t="str">
        <f t="shared" si="0"/>
        <v>Split</v>
      </c>
      <c r="B28" s="114">
        <v>1</v>
      </c>
      <c r="C28" s="114">
        <v>1</v>
      </c>
      <c r="D28" s="114">
        <v>1</v>
      </c>
      <c r="E28" s="114">
        <v>1</v>
      </c>
      <c r="F28" s="114">
        <v>1</v>
      </c>
      <c r="G28" s="114">
        <v>1</v>
      </c>
      <c r="K28" s="114" t="s">
        <v>267</v>
      </c>
      <c r="L28" s="114" t="s">
        <v>1048</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1049</v>
      </c>
      <c r="P28" s="114" t="s">
        <v>267</v>
      </c>
      <c r="Q28" s="114" t="s">
        <v>1039</v>
      </c>
      <c r="R28" s="114" t="s">
        <v>1040</v>
      </c>
    </row>
    <row r="29" spans="1:22" x14ac:dyDescent="0.4">
      <c r="A29" s="114" t="str">
        <f t="shared" si="0"/>
        <v>PAC</v>
      </c>
      <c r="B29" s="114">
        <v>0</v>
      </c>
      <c r="C29" s="114">
        <v>1</v>
      </c>
      <c r="D29" s="114">
        <v>0</v>
      </c>
      <c r="E29" s="114">
        <v>1</v>
      </c>
      <c r="F29" s="114">
        <v>1</v>
      </c>
      <c r="G29" s="114">
        <v>1</v>
      </c>
      <c r="P29" s="114" t="s">
        <v>1001</v>
      </c>
      <c r="Q29" s="114">
        <v>1</v>
      </c>
      <c r="R29" s="114">
        <v>1</v>
      </c>
    </row>
    <row r="30" spans="1:22" x14ac:dyDescent="0.4">
      <c r="A30" s="114" t="str">
        <f t="shared" si="0"/>
        <v>Controller</v>
      </c>
      <c r="B30" s="114">
        <v>0</v>
      </c>
      <c r="C30" s="114">
        <v>0</v>
      </c>
      <c r="D30" s="114">
        <v>0</v>
      </c>
      <c r="E30" s="114">
        <v>0</v>
      </c>
      <c r="F30" s="114">
        <v>0</v>
      </c>
      <c r="G30" s="114">
        <v>0</v>
      </c>
      <c r="L30" s="114" t="s">
        <v>886</v>
      </c>
      <c r="M30" s="114">
        <v>0</v>
      </c>
      <c r="N30" s="114">
        <v>0</v>
      </c>
      <c r="O30" s="114" t="s">
        <v>1017</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t="str">
        <f t="shared" si="0"/>
        <v>Outdoor_Local</v>
      </c>
      <c r="L32" s="114" t="s">
        <v>1028</v>
      </c>
      <c r="M32" s="114">
        <v>0</v>
      </c>
      <c r="N32" s="114">
        <v>0</v>
      </c>
    </row>
    <row r="33" spans="1:9" x14ac:dyDescent="0.4">
      <c r="A33" s="114" t="str">
        <f t="shared" si="0"/>
        <v>Outdoor_MSSB</v>
      </c>
    </row>
    <row r="34" spans="1:9" x14ac:dyDescent="0.4">
      <c r="A34" s="114">
        <f t="shared" si="0"/>
        <v>0</v>
      </c>
    </row>
    <row r="35" spans="1:9" x14ac:dyDescent="0.4">
      <c r="A35" s="114">
        <f t="shared" si="0"/>
        <v>0</v>
      </c>
    </row>
    <row r="38" spans="1:9" x14ac:dyDescent="0.4">
      <c r="A38" s="114" t="str">
        <f>A25</f>
        <v>Type</v>
      </c>
    </row>
    <row r="39" spans="1:9" x14ac:dyDescent="0.4">
      <c r="A39" s="114" t="str">
        <f t="shared" ref="A39:A48" si="1">A26</f>
        <v>Indoor</v>
      </c>
      <c r="B39" s="114" t="s">
        <v>1050</v>
      </c>
      <c r="C39" s="114" t="s">
        <v>1051</v>
      </c>
      <c r="D39" s="114">
        <f>IFERROR(VLOOKUP(G39,'Part List'!A:G,3,FALSE),0)
+IFERROR(VLOOKUP(H39,'Part List'!A:G,3,FALSE),0)
+IFERROR(VLOOKUP(I39,'Part List'!A:G,3,FALSE),0)
+IFERROR(VLOOKUP(J39,'Part List'!A:G,3,FALSE),0)</f>
        <v>2.9620000000000002</v>
      </c>
      <c r="E39" s="114">
        <f>IFERROR(VLOOKUP(G39,'Part List'!A:G,5,FALSE),0)
+IFERROR(VLOOKUP(H39,'Part List'!A:G,5,FALSE),0)
+IFERROR(VLOOKUP(I39,'Part List'!A:G,5,FALSE),0)
+IFERROR(VLOOKUP(J39,'Part List'!A:G,5,FALSE),0)</f>
        <v>0.30000000000000004</v>
      </c>
      <c r="G39" s="114" t="s">
        <v>268</v>
      </c>
      <c r="H39" s="114" t="s">
        <v>269</v>
      </c>
      <c r="I39" s="114" t="s">
        <v>269</v>
      </c>
    </row>
    <row r="41" spans="1:9" x14ac:dyDescent="0.4">
      <c r="A41" s="114" t="str">
        <f t="shared" si="1"/>
        <v>Split</v>
      </c>
      <c r="B41" s="114" t="s">
        <v>1053</v>
      </c>
      <c r="C41" s="114" t="s">
        <v>1054</v>
      </c>
      <c r="D41" s="114">
        <f>IFERROR(VLOOKUP(G41,'Part List'!A:G,3,FALSE),0)
+IFERROR(VLOOKUP(H41,'Part List'!A:G,3,FALSE),0)
+IFERROR(VLOOKUP(I41,'Part List'!A:G,3,FALSE),0)
+IFERROR(VLOOKUP(J41,'Part List'!A:G,3,FALSE),0)</f>
        <v>5.6159999999999997</v>
      </c>
      <c r="E41" s="114">
        <f>IFERROR(VLOOKUP(G41,'Part List'!A:G,5,FALSE),0)
+IFERROR(VLOOKUP(H41,'Part List'!A:G,5,FALSE),0)
+IFERROR(VLOOKUP(I41,'Part List'!A:G,5,FALSE),0)
+IFERROR(VLOOKUP(J41,'Part List'!A:G,5,FALSE),0)</f>
        <v>0.2</v>
      </c>
      <c r="G41" s="114" t="s">
        <v>266</v>
      </c>
      <c r="H41" s="114" t="s">
        <v>269</v>
      </c>
    </row>
    <row r="42" spans="1:9" x14ac:dyDescent="0.4">
      <c r="A42" s="114" t="str">
        <f t="shared" si="1"/>
        <v>PAC</v>
      </c>
      <c r="B42" s="282" t="s">
        <v>1055</v>
      </c>
      <c r="C42" s="114" t="s">
        <v>1030</v>
      </c>
      <c r="D42" s="114">
        <f>IFERROR(VLOOKUP(G42,'Part List'!A:G,3,FALSE),0)
+IFERROR(VLOOKUP(H42,'Part List'!A:G,3,FALSE),0)
+IFERROR(VLOOKUP(I42,'Part List'!A:G,3,FALSE),0)
+IFERROR(VLOOKUP(J42,'Part List'!A:G,3,FALSE),0)</f>
        <v>5.6159999999999997</v>
      </c>
      <c r="E42" s="114">
        <f>IFERROR(VLOOKUP(G42,'Part List'!A:G,5,FALSE),0)
+IFERROR(VLOOKUP(H42,'Part List'!A:G,5,FALSE),0)
+IFERROR(VLOOKUP(I42,'Part List'!A:G,5,FALSE),0)
+IFERROR(VLOOKUP(J42,'Part List'!A:G,5,FALSE),0)</f>
        <v>0.2</v>
      </c>
      <c r="G42" s="114" t="s">
        <v>266</v>
      </c>
      <c r="H42" s="114" t="s">
        <v>269</v>
      </c>
    </row>
    <row r="43" spans="1:9" x14ac:dyDescent="0.4">
      <c r="A43" s="114" t="str">
        <f t="shared" si="1"/>
        <v>Controller</v>
      </c>
      <c r="B43" s="114" t="s">
        <v>1056</v>
      </c>
      <c r="C43" s="114" t="s">
        <v>1057</v>
      </c>
      <c r="D43" s="114">
        <f>IFERROR(VLOOKUP(G43,'Part List'!A:G,3,FALSE),0)
+IFERROR(VLOOKUP(H43,'Part List'!A:G,3,FALSE),0)
+IFERROR(VLOOKUP(I43,'Part List'!A:G,3,FALSE),0)
+IFERROR(VLOOKUP(J43,'Part List'!A:G,3,FALSE),0)</f>
        <v>1.9060000000000001</v>
      </c>
      <c r="E43" s="114">
        <f>IFERROR(VLOOKUP(G43,'Part List'!A:G,5,FALSE),0)
+IFERROR(VLOOKUP(H43,'Part List'!A:G,5,FALSE),0)
+IFERROR(VLOOKUP(I43,'Part List'!A:G,5,FALSE),0)
+IFERROR(VLOOKUP(J43,'Part List'!A:G,5,FALSE),0)</f>
        <v>0.2</v>
      </c>
      <c r="G43" s="114" t="s">
        <v>268</v>
      </c>
      <c r="H43" s="114" t="s">
        <v>269</v>
      </c>
    </row>
    <row r="44" spans="1:9" x14ac:dyDescent="0.4">
      <c r="A44" s="114" t="str">
        <f t="shared" si="1"/>
        <v>Branch Box</v>
      </c>
      <c r="B44" s="114" t="s">
        <v>1031</v>
      </c>
      <c r="C44" s="114" t="s">
        <v>1058</v>
      </c>
      <c r="D44" s="114">
        <f>IFERROR(VLOOKUP(G44,'Part List'!A:G,3,FALSE),0)
+IFERROR(VLOOKUP(H44,'Part List'!A:G,3,FALSE),0)
+IFERROR(VLOOKUP(I44,'Part List'!A:G,3,FALSE),0)
+IFERROR(VLOOKUP(J44,'Part List'!A:G,3,FALSE),0)</f>
        <v>1.9060000000000001</v>
      </c>
      <c r="E44" s="114">
        <f>IFERROR(VLOOKUP(G44,'Part List'!A:G,5,FALSE),0)
+IFERROR(VLOOKUP(H44,'Part List'!A:G,5,FALSE),0)
+IFERROR(VLOOKUP(I44,'Part List'!A:G,5,FALSE),0)
+IFERROR(VLOOKUP(J44,'Part List'!A:G,5,FALSE),0)</f>
        <v>0.2</v>
      </c>
      <c r="G44" s="114" t="s">
        <v>268</v>
      </c>
      <c r="H44" s="114" t="s">
        <v>269</v>
      </c>
    </row>
    <row r="45" spans="1:9" x14ac:dyDescent="0.4">
      <c r="A45" s="114" t="str">
        <f t="shared" si="1"/>
        <v>Outdoor_Local</v>
      </c>
      <c r="B45" s="114" t="s">
        <v>1269</v>
      </c>
      <c r="C45" s="114" t="s">
        <v>1052</v>
      </c>
      <c r="D45" s="114">
        <f>IFERROR(VLOOKUP(G45,'Part List'!A:G,3,FALSE),0)
+IFERROR(VLOOKUP(H45,'Part List'!A:G,3,FALSE),0)
+IFERROR(VLOOKUP(I45,'Part List'!A:G,3,FALSE),0)
+IFERROR(VLOOKUP(J45,'Part List'!A:G,3,FALSE),0)</f>
        <v>3.48</v>
      </c>
      <c r="E45" s="114">
        <f>IFERROR(VLOOKUP(G45,'Part List'!A:G,5,FALSE),0)
+IFERROR(VLOOKUP(H45,'Part List'!A:G,5,FALSE),0)
+IFERROR(VLOOKUP(I45,'Part List'!A:G,5,FALSE),0)
+IFERROR(VLOOKUP(J45,'Part List'!A:G,5,FALSE),0)</f>
        <v>0.1</v>
      </c>
      <c r="G45" s="114" t="s">
        <v>267</v>
      </c>
    </row>
    <row r="46" spans="1:9" x14ac:dyDescent="0.4">
      <c r="A46" s="114" t="str">
        <f t="shared" si="1"/>
        <v>Outdoor_MSSB</v>
      </c>
      <c r="B46" s="114" t="s">
        <v>1269</v>
      </c>
      <c r="C46" s="114" t="s">
        <v>1052</v>
      </c>
      <c r="D46" s="114">
        <f>IFERROR(VLOOKUP(G46,'Part List'!A:G,3,FALSE),0)
+IFERROR(VLOOKUP(H46,'Part List'!A:G,3,FALSE),0)
+IFERROR(VLOOKUP(I46,'Part List'!A:G,3,FALSE),0)
+IFERROR(VLOOKUP(J46,'Part List'!A:G,3,FALSE),0)</f>
        <v>3.48</v>
      </c>
      <c r="E46" s="114">
        <f>IFERROR(VLOOKUP(G46,'Part List'!A:G,5,FALSE),0)
+IFERROR(VLOOKUP(H46,'Part List'!A:G,5,FALSE),0)
+IFERROR(VLOOKUP(I46,'Part List'!A:G,5,FALSE),0)
+IFERROR(VLOOKUP(J46,'Part List'!A:G,5,FALSE),0)</f>
        <v>0.1</v>
      </c>
      <c r="G46" s="114" t="s">
        <v>267</v>
      </c>
    </row>
    <row r="47" spans="1:9" x14ac:dyDescent="0.4">
      <c r="A47" s="114">
        <f>A34</f>
        <v>0</v>
      </c>
    </row>
    <row r="48" spans="1:9"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'Part List'!$A:$A</xm:f>
          </x14:formula1>
          <xm:sqref>W4 G25 H23:H24 P10:Q10 E25 S12 F23:F24 P20 Q18:R18</xm:sqref>
        </x14:dataValidation>
        <x14:dataValidation type="list" allowBlank="1" showInputMessage="1" showErrorMessage="1" xr:uid="{00000000-0002-0000-0B00-000001000000}">
          <x14:formula1>
            <xm:f>'D:\Github\IGOC-Workspace\Mech Elec Template\[V2 - XXX -  Mech Elec - Rev A.xlsx]Part List'!#REF!</xm:f>
          </x14:formula1>
          <xm:sqref>W14 Q8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25"/>
  <sheetViews>
    <sheetView topLeftCell="C1" workbookViewId="0">
      <selection activeCell="J2" sqref="J2"/>
    </sheetView>
  </sheetViews>
  <sheetFormatPr defaultColWidth="9.23046875" defaultRowHeight="14.6" x14ac:dyDescent="0.4"/>
  <cols>
    <col min="1" max="1" width="7.69140625" style="422" bestFit="1" customWidth="1"/>
    <col min="2" max="2" width="10.07421875" style="114" bestFit="1" customWidth="1"/>
    <col min="3" max="3" width="13.69140625" style="423" bestFit="1" customWidth="1"/>
    <col min="4" max="4" width="6.23046875" style="114" bestFit="1" customWidth="1"/>
    <col min="5" max="5" width="4.07421875" style="114" bestFit="1" customWidth="1"/>
    <col min="6" max="6" width="4.07421875" style="114" customWidth="1"/>
    <col min="7" max="8" width="12.07421875" style="114" customWidth="1"/>
    <col min="9" max="10" width="13.3046875" style="114" customWidth="1"/>
    <col min="11" max="11" width="27.07421875" style="114" customWidth="1"/>
    <col min="12" max="12" width="12.23046875" style="114" customWidth="1"/>
    <col min="13" max="13" width="19.69140625" style="114" customWidth="1"/>
    <col min="14" max="21" width="12.23046875" style="114" customWidth="1"/>
    <col min="22" max="22" width="12.3046875" style="424" hidden="1" customWidth="1"/>
    <col min="23" max="23" width="12.3046875" style="114" hidden="1" customWidth="1"/>
    <col min="24" max="24" width="16" style="114" hidden="1" customWidth="1"/>
    <col min="25" max="25" width="79.07421875" style="114" hidden="1" customWidth="1"/>
    <col min="26" max="26" width="9.23046875" style="114" hidden="1" customWidth="1"/>
    <col min="27" max="27" width="53.3046875" style="114" hidden="1" customWidth="1"/>
    <col min="28" max="28" width="28.3046875" style="114" hidden="1" customWidth="1"/>
    <col min="29" max="29" width="14.3046875" style="114" hidden="1" customWidth="1"/>
    <col min="30" max="30" width="9.23046875" style="114" hidden="1" customWidth="1"/>
    <col min="31" max="31" width="93.69140625" style="114" hidden="1" customWidth="1"/>
    <col min="32" max="32" width="86.84375" style="114" hidden="1" customWidth="1"/>
    <col min="33" max="33" width="79.69140625" style="114" hidden="1" customWidth="1"/>
    <col min="34" max="44" width="9.23046875" style="114" hidden="1" customWidth="1"/>
    <col min="45" max="48" width="0" style="114" hidden="1" customWidth="1"/>
    <col min="49" max="16384" width="9.23046875" style="114"/>
  </cols>
  <sheetData>
    <row r="1" spans="1:45"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
        <v>676</v>
      </c>
      <c r="M1" s="427" t="s">
        <v>1032</v>
      </c>
      <c r="N1" s="427" t="s">
        <v>1293</v>
      </c>
      <c r="O1" s="427" t="s">
        <v>1294</v>
      </c>
      <c r="P1" s="427" t="s">
        <v>1296</v>
      </c>
      <c r="Q1" s="427" t="s">
        <v>1295</v>
      </c>
      <c r="R1" s="427" t="s">
        <v>1297</v>
      </c>
      <c r="S1" s="418" t="s">
        <v>986</v>
      </c>
      <c r="T1" s="418" t="s">
        <v>1023</v>
      </c>
      <c r="U1" s="418" t="s">
        <v>989</v>
      </c>
      <c r="V1" s="428"/>
      <c r="W1" s="299">
        <f>MAX('@VRF'!BE:BE)</f>
        <v>0</v>
      </c>
      <c r="AI1" s="299" t="str">
        <f>N1</f>
        <v>Size</v>
      </c>
      <c r="AJ1" s="299" t="str">
        <f>O1</f>
        <v>Dual Fan [CW AHU]</v>
      </c>
      <c r="AK1" s="299" t="str">
        <f>P1</f>
        <v>Fire Ess. [CW AHU]</v>
      </c>
      <c r="AL1" s="299" t="str">
        <f>Q1</f>
        <v>DOL
[PUMP]</v>
      </c>
      <c r="AM1" s="299" t="str">
        <f>R1</f>
        <v>Precision Cooling</v>
      </c>
      <c r="AN1" s="299" t="str">
        <f t="shared" ref="AN1:AP1" si="0">S1</f>
        <v>Run On Timer</v>
      </c>
      <c r="AO1" s="299" t="str">
        <f t="shared" si="0"/>
        <v>Push Button</v>
      </c>
      <c r="AP1" s="299" t="str">
        <f t="shared" si="0"/>
        <v>Run Status Light</v>
      </c>
    </row>
    <row r="2" spans="1:45"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678</v>
      </c>
      <c r="M2" s="430"/>
      <c r="N2" s="430"/>
      <c r="O2" s="430"/>
      <c r="P2" s="430"/>
      <c r="Q2" s="430"/>
      <c r="R2" s="430"/>
      <c r="S2" s="430"/>
      <c r="T2" s="430"/>
      <c r="U2" s="430"/>
      <c r="V2" s="432" t="str">
        <f t="shared" ref="V2:V10" si="2">IF(A2="VALID",_xlfn.CONCAT("
",AC2,"
",REPT(" ",8),AD2,"
",REPT(" ",8),AE2,"
",REPT(" ", 8),AF2, "
"),"")</f>
        <v/>
      </c>
      <c r="W2" s="114">
        <f t="shared" ref="W2:W22" si="3" xml:space="preserve"> IF(AND(E2&gt;0,A2="VALID"),W1+1,W1)</f>
        <v>0</v>
      </c>
      <c r="X2" s="114" t="str">
        <f>_xlfn.CONCAT(E2," (",VLOOKUP(E2,[1]Backend!C:D,2,FALSE),")")</f>
        <v xml:space="preserve"> (Zero)</v>
      </c>
      <c r="Y2" s="114" t="e">
        <f>_xlfn.CONCAT(W2," - Electrical power supply and controls to ",X2,VLOOKUP(M2,_Chiller!$A$18:$D$22,2,FALSE))</f>
        <v>#N/A</v>
      </c>
      <c r="Z2" s="114" t="str">
        <f>IF((COUNTIF(AI2:AM2,TRUE) &gt; 0)," with: "," ")</f>
        <v xml:space="preserve"> with: </v>
      </c>
      <c r="AA2" s="114" t="str">
        <f>_xlfn.CONCAT(
IF(AI2,VLOOKUP(N2,_Chiller!$N:$T,4,FALSE),""),
IF(AJ2,VLOOKUP($O$1,_Chiller!$N:$T,4,FALSE),""),
IF(AK2,VLOOKUP($P$1,_Chiller!$N:$T,4,FALSE),""),
IF(AL2,VLOOKUP($Q$1,_Chiller!$N:$T,4,FALSE),""),
IF(AM2,VLOOKUP($R$1,_Chiller!$N:$T,4,FALSE),""))</f>
        <v/>
      </c>
      <c r="AB2" s="114" t="str">
        <f>_xlfn.CONCAT("from ","MSSB", " Power Supply")</f>
        <v>from MSSB Power Supply</v>
      </c>
      <c r="AC2" s="114" t="e">
        <f>_xlfn.CONCAT(Y2,Z2,AA2,AB2)</f>
        <v>#N/A</v>
      </c>
      <c r="AD2" s="114" t="str">
        <f>_xlfn.CONCAT(W2,".1 - This includes supply and install of power and controls.")</f>
        <v>0.1 - This includes supply and install of power and controls.</v>
      </c>
      <c r="AE2" s="114" t="e">
        <f>_xlfn.CONCAT(W2,".2 - Power for system includes: CB and cabling to ",VLOOKUP(M2,_Chiller!$A$18:$D$22,4,FALSE)," from MSSB, and local isolator,")</f>
        <v>#N/A</v>
      </c>
      <c r="AF2" s="114" t="str">
        <f>IF(OR(NOT(AG2=""),COUNTIF(AI2:AP2,TRUE)&gt;0),_xlfn.CONCAT(W2,".3 - Controls for system includes: ",AG2),"")</f>
        <v xml:space="preserve">0.3 - Controls for system includes: { CONTROLS FOR: 0}, { CONTROLS FOR: 0}, </v>
      </c>
      <c r="AG2" s="114" t="str">
        <f>_xlfn.CONCAT(VLOOKUP(M2,_Chiller!AF:AG,2,FALSE),
IF(AI2,VLOOKUP(N2,_Chiller!AF:AG,2,FALSE),""),
IF(AJ2,VLOOKUP($AJ$1,_Chiller!AF:AG,2,FALSE),""),
IF(AK2,VLOOKUP($AK$1,_Chiller!AF:AG,2,FALSE),""),
IF(AL2,VLOOKUP($AL$1,_Chiller!AF:AG,2,FALSE),""),
IF(AM2,VLOOKUP($AM$1,_Chiller!AF:AG,2,FALSE),""),
IF(AN2,VLOOKUP($AN$1,_Chiller!AF:AG,2,FALSE),""),
IF(AO2,VLOOKUP($AO$1,_Chiller!AF:AG,2,FALSE),""),
IF(AP2,VLOOKUP($AP$1,_Chiller!AF:AG,2,FALSE),""),
)</f>
        <v xml:space="preserve">{ CONTROLS FOR: 0}, { CONTROLS FOR: 0}, </v>
      </c>
      <c r="AI2" s="114" t="b">
        <f>IF(OR(M2="Chilled Water FCU",M2="EDH", AND(M2="Pump",AL2=TRUE)),FALSE,TRUE)</f>
        <v>1</v>
      </c>
      <c r="AJ2" s="114" t="b">
        <f>IF(M2="Chilled Water AHU",NOT(O2="No"), FALSE)</f>
        <v>0</v>
      </c>
      <c r="AK2" s="114" t="b">
        <f>IF(M2="Chilled Water AHU",NOT(P2="No"), FALSE)</f>
        <v>0</v>
      </c>
      <c r="AL2" s="114" t="b">
        <f>IF(M2="Pump",NOT(Q2="No"), FALSE)</f>
        <v>0</v>
      </c>
      <c r="AM2" s="114" t="b">
        <v>0</v>
      </c>
      <c r="AN2" s="114" t="b">
        <f>IF($M2="Chilled Water FCU",NOT(S2="No"), FALSE)</f>
        <v>0</v>
      </c>
      <c r="AO2" s="114" t="b">
        <f t="shared" ref="AO2:AP2" si="4">IF($M2="Chilled Water FCU",NOT(T2="No"), FALSE)</f>
        <v>0</v>
      </c>
      <c r="AP2" s="114" t="b">
        <f t="shared" si="4"/>
        <v>0</v>
      </c>
      <c r="AS2" s="114" t="e">
        <f>_xlfn.CONCAT(VLOOKUP(M2,_Chiller!$A$18:$D$22,2,FALSE),Z2,AA2)</f>
        <v>#N/A</v>
      </c>
    </row>
    <row r="3" spans="1:45" x14ac:dyDescent="0.4">
      <c r="A3" s="429" t="str">
        <f t="shared" si="1"/>
        <v>INVALID</v>
      </c>
      <c r="B3" s="430" t="str">
        <f t="shared" ref="B3:B22" si="5">_xlfn.CONCAT("CH ",(ROW()-1))</f>
        <v>CH 2</v>
      </c>
      <c r="C3" s="431">
        <f t="shared" ref="C3:C22" si="6">IFERROR(E3*I3,0)</f>
        <v>0</v>
      </c>
      <c r="D3" s="430">
        <f t="shared" ref="D3:D22" si="7">IFERROR(IF(ISBLANK(G3),J3*E3,G3*E3),0)</f>
        <v>0</v>
      </c>
      <c r="E3" s="430"/>
      <c r="F3" s="430">
        <f t="shared" ref="F3:F22" si="8">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678</v>
      </c>
      <c r="M3" s="430"/>
      <c r="N3" s="430"/>
      <c r="O3" s="430"/>
      <c r="P3" s="430"/>
      <c r="Q3" s="430"/>
      <c r="R3" s="430"/>
      <c r="S3" s="430"/>
      <c r="T3" s="430"/>
      <c r="U3" s="430"/>
      <c r="V3" s="432" t="str">
        <f t="shared" si="2"/>
        <v/>
      </c>
      <c r="W3" s="114">
        <f t="shared" si="3"/>
        <v>0</v>
      </c>
      <c r="X3" s="114" t="str">
        <f>_xlfn.CONCAT(E3," (",VLOOKUP(E3,[1]Backend!C:D,2,FALSE),")")</f>
        <v xml:space="preserve"> (Zero)</v>
      </c>
      <c r="Y3" s="114" t="e">
        <f>_xlfn.CONCAT(W3," - Electrical power supply and controls to ",X3,VLOOKUP(M3,_Chiller!$A$18:$D$22,2,FALSE))</f>
        <v>#N/A</v>
      </c>
      <c r="Z3" s="114" t="str">
        <f t="shared" ref="Z3:Z22" si="9">IF((COUNTIF(AI3:AM3,TRUE) &gt; 0)," with: "," ")</f>
        <v xml:space="preserve"> with: </v>
      </c>
      <c r="AA3" s="114" t="str">
        <f>_xlfn.CONCAT(
IF(AI3,VLOOKUP(N3,_Chiller!$N:$T,4,FALSE),""),
IF(AJ3,VLOOKUP($O$1,_Chiller!$N:$T,4,FALSE),""),
IF(AK3,VLOOKUP($P$1,_Chiller!$N:$T,4,FALSE),""),
IF(AL3,VLOOKUP($Q$1,_Chiller!$N:$T,4,FALSE),""),
IF(AM3,VLOOKUP($R$1,_Chiller!$N:$T,4,FALSE),""))</f>
        <v/>
      </c>
      <c r="AB3" s="114" t="str">
        <f t="shared" ref="AB3:AB22" si="10">_xlfn.CONCAT("from ","MSSB", " Power Supply")</f>
        <v>from MSSB Power Supply</v>
      </c>
      <c r="AC3" s="114" t="e">
        <f>_xlfn.CONCAT(Y3,Z3,AA3,AB3)</f>
        <v>#N/A</v>
      </c>
      <c r="AD3" s="114" t="str">
        <f t="shared" ref="AD3:AD22" si="11">_xlfn.CONCAT(W3,".1 - This includes supply and install of power and controls.")</f>
        <v>0.1 - This includes supply and install of power and controls.</v>
      </c>
      <c r="AE3" s="114" t="e">
        <f>_xlfn.CONCAT(W3,".2 - Power for system includes: CB and cabling to ",VLOOKUP(M3,_Chiller!$A$18:$D$22,4,FALSE)," from MSSB, and local isolator,")</f>
        <v>#N/A</v>
      </c>
      <c r="AF3" s="114" t="str">
        <f>IF(OR(NOT(AG3=""),COUNTIF(AI3:AP3,TRUE)&gt;0),_xlfn.CONCAT(W3,".3 - Controls for system includes: ",AG3),"")</f>
        <v xml:space="preserve">0.3 - Controls for system includes: { CONTROLS FOR: 0}, { CONTROLS FOR: 0}, </v>
      </c>
      <c r="AG3" s="114" t="str">
        <f>_xlfn.CONCAT(VLOOKUP(M3,_Chiller!AF:AG,2,FALSE),
IF(AI3,VLOOKUP(N3,_Chiller!AF:AG,2,FALSE),""),
IF(AJ3,VLOOKUP($AJ$1,_Chiller!AF:AG,2,FALSE),""),
IF(AK3,VLOOKUP($AK$1,_Chiller!AF:AG,2,FALSE),""),
IF(AL3,VLOOKUP($AL$1,_Chiller!AF:AG,2,FALSE),""),
IF(AM3,VLOOKUP($AM$1,_Chiller!AF:AG,2,FALSE),""),
IF(AN3,VLOOKUP($AN$1,_Chiller!AF:AG,2,FALSE),""),
IF(AO3,VLOOKUP($AO$1,_Chiller!AF:AG,2,FALSE),""),
IF(AP3,VLOOKUP($AP$1,_Chiller!AF:AG,2,FALSE),""),
)</f>
        <v xml:space="preserve">{ CONTROLS FOR: 0}, { CONTROLS FOR: 0}, </v>
      </c>
      <c r="AI3" s="114" t="b">
        <f t="shared" ref="AI3:AI22" si="12">IF(OR(M3="Chilled Water FCU",M3="EDH", AND(M3="Pump",AL3=TRUE)),FALSE,TRUE)</f>
        <v>1</v>
      </c>
      <c r="AJ3" s="114" t="b">
        <f t="shared" ref="AJ3:AJ22" si="13">IF(M3="Chilled Water AHU",NOT(O3="No"), FALSE)</f>
        <v>0</v>
      </c>
      <c r="AK3" s="114" t="b">
        <f t="shared" ref="AK3:AK22" si="14">IF(M3="Chilled Water AHU",NOT(P3="No"), FALSE)</f>
        <v>0</v>
      </c>
      <c r="AL3" s="114" t="b">
        <f t="shared" ref="AL3:AL22" si="15">IF(M3="Pump",NOT(Q3="No"), FALSE)</f>
        <v>0</v>
      </c>
      <c r="AM3" s="114" t="b">
        <v>0</v>
      </c>
      <c r="AN3" s="114" t="b">
        <f t="shared" ref="AN3:AN22" si="16">IF($M3="Chilled Water FCU",NOT(S3="No"), FALSE)</f>
        <v>0</v>
      </c>
      <c r="AO3" s="114" t="b">
        <f t="shared" ref="AO3:AO22" si="17">IF($M3="Chilled Water FCU",NOT(T3="No"), FALSE)</f>
        <v>0</v>
      </c>
      <c r="AP3" s="114" t="b">
        <f t="shared" ref="AP3:AP22" si="18">IF($M3="Chilled Water FCU",NOT(U3="No"), FALSE)</f>
        <v>0</v>
      </c>
      <c r="AS3" s="114" t="e">
        <f>_xlfn.CONCAT(VLOOKUP(M3,_Chiller!$A$18:$D$22,2,FALSE),Z3,AA3)</f>
        <v>#N/A</v>
      </c>
    </row>
    <row r="4" spans="1:45" x14ac:dyDescent="0.4">
      <c r="A4" s="429" t="str">
        <f t="shared" si="1"/>
        <v>INVALID</v>
      </c>
      <c r="B4" s="430" t="str">
        <f t="shared" si="5"/>
        <v>CH 3</v>
      </c>
      <c r="C4" s="431">
        <f t="shared" si="6"/>
        <v>0</v>
      </c>
      <c r="D4" s="430">
        <f t="shared" si="7"/>
        <v>0</v>
      </c>
      <c r="E4" s="430"/>
      <c r="F4" s="430">
        <f t="shared" si="8"/>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678</v>
      </c>
      <c r="M4" s="430"/>
      <c r="N4" s="430"/>
      <c r="O4" s="430"/>
      <c r="P4" s="430"/>
      <c r="Q4" s="430"/>
      <c r="R4" s="430"/>
      <c r="S4" s="430"/>
      <c r="T4" s="430"/>
      <c r="U4" s="430"/>
      <c r="V4" s="432" t="str">
        <f t="shared" si="2"/>
        <v/>
      </c>
      <c r="W4" s="114">
        <f t="shared" si="3"/>
        <v>0</v>
      </c>
      <c r="X4" s="114" t="str">
        <f>_xlfn.CONCAT(E4," (",VLOOKUP(E4,[1]Backend!C:D,2,FALSE),")")</f>
        <v xml:space="preserve"> (Zero)</v>
      </c>
      <c r="Y4" s="114" t="e">
        <f>_xlfn.CONCAT(W4," - Electrical power supply and controls to ",X4,VLOOKUP(M4,_Chiller!$A$18:$D$22,2,FALSE))</f>
        <v>#N/A</v>
      </c>
      <c r="Z4" s="114" t="str">
        <f t="shared" si="9"/>
        <v xml:space="preserve"> with: </v>
      </c>
      <c r="AA4" s="114" t="str">
        <f>_xlfn.CONCAT(
IF(AI4,VLOOKUP(N4,_Chiller!$N:$T,4,FALSE),""),
IF(AJ4,VLOOKUP($O$1,_Chiller!$N:$T,4,FALSE),""),
IF(AK4,VLOOKUP($P$1,_Chiller!$N:$T,4,FALSE),""),
IF(AL4,VLOOKUP($Q$1,_Chiller!$N:$T,4,FALSE),""),
IF(AM4,VLOOKUP($R$1,_Chiller!$N:$T,4,FALSE),""))</f>
        <v/>
      </c>
      <c r="AB4" s="114" t="str">
        <f t="shared" si="10"/>
        <v>from MSSB Power Supply</v>
      </c>
      <c r="AC4" s="114" t="e">
        <f>_xlfn.CONCAT(Y4,Z4,AA4,AB4)</f>
        <v>#N/A</v>
      </c>
      <c r="AD4" s="114" t="str">
        <f t="shared" si="11"/>
        <v>0.1 - This includes supply and install of power and controls.</v>
      </c>
      <c r="AE4" s="114" t="e">
        <f>_xlfn.CONCAT(W4,".2 - Power for system includes: CB and cabling to ",VLOOKUP(M4,_Chiller!$A$18:$D$22,4,FALSE)," from MSSB, and local isolator,")</f>
        <v>#N/A</v>
      </c>
      <c r="AF4" s="114" t="str">
        <f t="shared" ref="AF4:AF22" si="19">IF(OR(NOT(AG4=""),COUNTIF(AI4:AP4,TRUE)&gt;0),_xlfn.CONCAT(W4,".3 - Controls for system includes: ",AG4),"")</f>
        <v xml:space="preserve">0.3 - Controls for system includes: { CONTROLS FOR: 0}, { CONTROLS FOR: 0}, </v>
      </c>
      <c r="AG4" s="114" t="str">
        <f>_xlfn.CONCAT(VLOOKUP(M4,_Chiller!AF:AG,2,FALSE),
IF(AI4,VLOOKUP(N4,_Chiller!AF:AG,2,FALSE),""),
IF(AJ4,VLOOKUP($AJ$1,_Chiller!AF:AG,2,FALSE),""),
IF(AK4,VLOOKUP($AK$1,_Chiller!AF:AG,2,FALSE),""),
IF(AL4,VLOOKUP($AL$1,_Chiller!AF:AG,2,FALSE),""),
IF(AM4,VLOOKUP($AM$1,_Chiller!AF:AG,2,FALSE),""),
IF(AN4,VLOOKUP($AN$1,_Chiller!AF:AG,2,FALSE),""),
IF(AO4,VLOOKUP($AO$1,_Chiller!AF:AG,2,FALSE),""),
IF(AP4,VLOOKUP($AP$1,_Chiller!AF:AG,2,FALSE),""),
)</f>
        <v xml:space="preserve">{ CONTROLS FOR: 0}, { CONTROLS FOR: 0}, </v>
      </c>
      <c r="AI4" s="114" t="b">
        <f t="shared" si="12"/>
        <v>1</v>
      </c>
      <c r="AJ4" s="114" t="b">
        <f t="shared" si="13"/>
        <v>0</v>
      </c>
      <c r="AK4" s="114" t="b">
        <f t="shared" si="14"/>
        <v>0</v>
      </c>
      <c r="AL4" s="114" t="b">
        <f t="shared" si="15"/>
        <v>0</v>
      </c>
      <c r="AM4" s="114" t="b">
        <v>0</v>
      </c>
      <c r="AN4" s="114" t="b">
        <f t="shared" si="16"/>
        <v>0</v>
      </c>
      <c r="AO4" s="114" t="b">
        <f t="shared" si="17"/>
        <v>0</v>
      </c>
      <c r="AP4" s="114" t="b">
        <f t="shared" si="18"/>
        <v>0</v>
      </c>
      <c r="AS4" s="114" t="e">
        <f>_xlfn.CONCAT(VLOOKUP(M4,_Chiller!$A$18:$D$22,2,FALSE),Z4,AA4)</f>
        <v>#N/A</v>
      </c>
    </row>
    <row r="5" spans="1:45" x14ac:dyDescent="0.4">
      <c r="A5" s="429" t="str">
        <f t="shared" si="1"/>
        <v>INVALID</v>
      </c>
      <c r="B5" s="430" t="str">
        <f t="shared" si="5"/>
        <v>CH 4</v>
      </c>
      <c r="C5" s="431">
        <f t="shared" si="6"/>
        <v>0</v>
      </c>
      <c r="D5" s="430">
        <f t="shared" si="7"/>
        <v>0</v>
      </c>
      <c r="E5" s="430"/>
      <c r="F5" s="430">
        <f t="shared" si="8"/>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678</v>
      </c>
      <c r="M5" s="430"/>
      <c r="N5" s="430"/>
      <c r="O5" s="430"/>
      <c r="P5" s="430"/>
      <c r="Q5" s="430"/>
      <c r="R5" s="430"/>
      <c r="S5" s="430"/>
      <c r="T5" s="430"/>
      <c r="U5" s="430"/>
      <c r="V5" s="432" t="str">
        <f t="shared" si="2"/>
        <v/>
      </c>
      <c r="W5" s="114">
        <f t="shared" si="3"/>
        <v>0</v>
      </c>
      <c r="X5" s="114" t="str">
        <f>_xlfn.CONCAT(E5," (",VLOOKUP(E5,[1]Backend!C:D,2,FALSE),")")</f>
        <v xml:space="preserve"> (Zero)</v>
      </c>
      <c r="Y5" s="114" t="e">
        <f>_xlfn.CONCAT(W5," - Electrical power supply and controls to ",X5,VLOOKUP(M5,_Chiller!$A$18:$D$22,2,FALSE))</f>
        <v>#N/A</v>
      </c>
      <c r="Z5" s="114" t="str">
        <f t="shared" si="9"/>
        <v xml:space="preserve"> with: </v>
      </c>
      <c r="AA5" s="114" t="str">
        <f>_xlfn.CONCAT(
IF(AI5,VLOOKUP(N5,_Chiller!$N:$T,4,FALSE),""),
IF(AJ5,VLOOKUP($O$1,_Chiller!$N:$T,4,FALSE),""),
IF(AK5,VLOOKUP($P$1,_Chiller!$N:$T,4,FALSE),""),
IF(AL5,VLOOKUP($Q$1,_Chiller!$N:$T,4,FALSE),""),
IF(AM5,VLOOKUP($R$1,_Chiller!$N:$T,4,FALSE),""))</f>
        <v/>
      </c>
      <c r="AB5" s="114" t="str">
        <f t="shared" si="10"/>
        <v>from MSSB Power Supply</v>
      </c>
      <c r="AC5" s="114" t="e">
        <f>_xlfn.CONCAT(Y5,Z5,AA5,AB5)</f>
        <v>#N/A</v>
      </c>
      <c r="AD5" s="114" t="str">
        <f t="shared" si="11"/>
        <v>0.1 - This includes supply and install of power and controls.</v>
      </c>
      <c r="AE5" s="114" t="e">
        <f>_xlfn.CONCAT(W5,".2 - Power for system includes: CB and cabling to ",VLOOKUP(M5,_Chiller!$A$18:$D$22,4,FALSE)," from MSSB, and local isolator,")</f>
        <v>#N/A</v>
      </c>
      <c r="AF5" s="114" t="str">
        <f t="shared" si="19"/>
        <v xml:space="preserve">0.3 - Controls for system includes: { CONTROLS FOR: 0}, { CONTROLS FOR: 0}, </v>
      </c>
      <c r="AG5" s="114" t="str">
        <f>_xlfn.CONCAT(VLOOKUP(M5,_Chiller!AF:AG,2,FALSE),
IF(AI5,VLOOKUP(N5,_Chiller!AF:AG,2,FALSE),""),
IF(AJ5,VLOOKUP($AJ$1,_Chiller!AF:AG,2,FALSE),""),
IF(AK5,VLOOKUP($AK$1,_Chiller!AF:AG,2,FALSE),""),
IF(AL5,VLOOKUP($AL$1,_Chiller!AF:AG,2,FALSE),""),
IF(AM5,VLOOKUP($AM$1,_Chiller!AF:AG,2,FALSE),""),
IF(AN5,VLOOKUP($AN$1,_Chiller!AF:AG,2,FALSE),""),
IF(AO5,VLOOKUP($AO$1,_Chiller!AF:AG,2,FALSE),""),
IF(AP5,VLOOKUP($AP$1,_Chiller!AF:AG,2,FALSE),""),
)</f>
        <v xml:space="preserve">{ CONTROLS FOR: 0}, { CONTROLS FOR: 0}, </v>
      </c>
      <c r="AI5" s="114" t="b">
        <f t="shared" si="12"/>
        <v>1</v>
      </c>
      <c r="AJ5" s="114" t="b">
        <f t="shared" si="13"/>
        <v>0</v>
      </c>
      <c r="AK5" s="114" t="b">
        <f t="shared" si="14"/>
        <v>0</v>
      </c>
      <c r="AL5" s="114" t="b">
        <f t="shared" si="15"/>
        <v>0</v>
      </c>
      <c r="AM5" s="114" t="b">
        <v>0</v>
      </c>
      <c r="AN5" s="114" t="b">
        <f t="shared" si="16"/>
        <v>0</v>
      </c>
      <c r="AO5" s="114" t="b">
        <f t="shared" si="17"/>
        <v>0</v>
      </c>
      <c r="AP5" s="114" t="b">
        <f t="shared" si="18"/>
        <v>0</v>
      </c>
      <c r="AS5" s="114" t="e">
        <f>_xlfn.CONCAT(VLOOKUP(M5,_Chiller!$A$18:$D$22,2,FALSE),Z5,AA5)</f>
        <v>#N/A</v>
      </c>
    </row>
    <row r="6" spans="1:45" x14ac:dyDescent="0.4">
      <c r="A6" s="429" t="str">
        <f t="shared" si="1"/>
        <v>INVALID</v>
      </c>
      <c r="B6" s="430" t="str">
        <f t="shared" si="5"/>
        <v>CH 5</v>
      </c>
      <c r="C6" s="431">
        <f t="shared" si="6"/>
        <v>0</v>
      </c>
      <c r="D6" s="430">
        <f t="shared" si="7"/>
        <v>0</v>
      </c>
      <c r="E6" s="430"/>
      <c r="F6" s="430">
        <f t="shared" si="8"/>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678</v>
      </c>
      <c r="M6" s="430"/>
      <c r="N6" s="430"/>
      <c r="O6" s="430"/>
      <c r="P6" s="430"/>
      <c r="Q6" s="430"/>
      <c r="R6" s="430"/>
      <c r="S6" s="430"/>
      <c r="T6" s="430"/>
      <c r="U6" s="430"/>
      <c r="V6" s="432" t="str">
        <f t="shared" si="2"/>
        <v/>
      </c>
      <c r="W6" s="114">
        <f t="shared" si="3"/>
        <v>0</v>
      </c>
      <c r="X6" s="114" t="str">
        <f>_xlfn.CONCAT(E6," (",VLOOKUP(E6,[1]Backend!C:D,2,FALSE),")")</f>
        <v xml:space="preserve"> (Zero)</v>
      </c>
      <c r="Y6" s="114" t="e">
        <f>_xlfn.CONCAT(W6," - Electrical power supply and controls to ",X6,VLOOKUP(M6,_Chiller!$A$18:$D$22,2,FALSE))</f>
        <v>#N/A</v>
      </c>
      <c r="Z6" s="114" t="str">
        <f t="shared" si="9"/>
        <v xml:space="preserve"> with: </v>
      </c>
      <c r="AA6" s="114" t="str">
        <f>_xlfn.CONCAT(
IF(AI6,VLOOKUP(N6,_Chiller!$N:$T,4,FALSE),""),
IF(AJ6,VLOOKUP($O$1,_Chiller!$N:$T,4,FALSE),""),
IF(AK6,VLOOKUP($P$1,_Chiller!$N:$T,4,FALSE),""),
IF(AL6,VLOOKUP($Q$1,_Chiller!$N:$T,4,FALSE),""),
IF(AM6,VLOOKUP($R$1,_Chiller!$N:$T,4,FALSE),""))</f>
        <v/>
      </c>
      <c r="AB6" s="114" t="str">
        <f t="shared" si="10"/>
        <v>from MSSB Power Supply</v>
      </c>
      <c r="AC6" s="114" t="e">
        <f t="shared" ref="AC6:AC22" si="20">_xlfn.CONCAT(Y6,Z6,AA6,AB6)</f>
        <v>#N/A</v>
      </c>
      <c r="AD6" s="114" t="str">
        <f t="shared" si="11"/>
        <v>0.1 - This includes supply and install of power and controls.</v>
      </c>
      <c r="AE6" s="114" t="e">
        <f>_xlfn.CONCAT(W6,".2 - Power for system includes: CB and cabling to ",VLOOKUP(M6,_Chiller!$A$18:$D$22,4,FALSE)," from MSSB, and local isolator,")</f>
        <v>#N/A</v>
      </c>
      <c r="AF6" s="114" t="str">
        <f t="shared" si="19"/>
        <v xml:space="preserve">0.3 - Controls for system includes: { CONTROLS FOR: 0}, { CONTROLS FOR: 0}, </v>
      </c>
      <c r="AG6" s="114" t="str">
        <f>_xlfn.CONCAT(VLOOKUP(M6,_Chiller!AF:AG,2,FALSE),
IF(AI6,VLOOKUP(N6,_Chiller!AF:AG,2,FALSE),""),
IF(AJ6,VLOOKUP($AJ$1,_Chiller!AF:AG,2,FALSE),""),
IF(AK6,VLOOKUP($AK$1,_Chiller!AF:AG,2,FALSE),""),
IF(AL6,VLOOKUP($AL$1,_Chiller!AF:AG,2,FALSE),""),
IF(AM6,VLOOKUP($AM$1,_Chiller!AF:AG,2,FALSE),""),
IF(AN6,VLOOKUP($AN$1,_Chiller!AF:AG,2,FALSE),""),
IF(AO6,VLOOKUP($AO$1,_Chiller!AF:AG,2,FALSE),""),
IF(AP6,VLOOKUP($AP$1,_Chiller!AF:AG,2,FALSE),""),
)</f>
        <v xml:space="preserve">{ CONTROLS FOR: 0}, { CONTROLS FOR: 0}, </v>
      </c>
      <c r="AI6" s="114" t="b">
        <f t="shared" si="12"/>
        <v>1</v>
      </c>
      <c r="AJ6" s="114" t="b">
        <f t="shared" si="13"/>
        <v>0</v>
      </c>
      <c r="AK6" s="114" t="b">
        <f t="shared" si="14"/>
        <v>0</v>
      </c>
      <c r="AL6" s="114" t="b">
        <f t="shared" si="15"/>
        <v>0</v>
      </c>
      <c r="AM6" s="114" t="b">
        <v>0</v>
      </c>
      <c r="AN6" s="114" t="b">
        <f t="shared" si="16"/>
        <v>0</v>
      </c>
      <c r="AO6" s="114" t="b">
        <f t="shared" si="17"/>
        <v>0</v>
      </c>
      <c r="AP6" s="114" t="b">
        <f t="shared" si="18"/>
        <v>0</v>
      </c>
      <c r="AS6" s="114" t="e">
        <f>_xlfn.CONCAT(VLOOKUP(M6,_Chiller!$A$18:$D$22,2,FALSE),Z6,AA6)</f>
        <v>#N/A</v>
      </c>
    </row>
    <row r="7" spans="1:45" x14ac:dyDescent="0.4">
      <c r="A7" s="429" t="str">
        <f t="shared" si="1"/>
        <v>INVALID</v>
      </c>
      <c r="B7" s="430" t="str">
        <f t="shared" si="5"/>
        <v>CH 6</v>
      </c>
      <c r="C7" s="431">
        <f t="shared" si="6"/>
        <v>0</v>
      </c>
      <c r="D7" s="430">
        <f t="shared" si="7"/>
        <v>0</v>
      </c>
      <c r="E7" s="430"/>
      <c r="F7" s="430">
        <f t="shared" si="8"/>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678</v>
      </c>
      <c r="M7" s="430"/>
      <c r="N7" s="430"/>
      <c r="O7" s="430"/>
      <c r="P7" s="430"/>
      <c r="Q7" s="430"/>
      <c r="R7" s="430"/>
      <c r="S7" s="430"/>
      <c r="T7" s="430"/>
      <c r="U7" s="430"/>
      <c r="V7" s="432" t="str">
        <f t="shared" si="2"/>
        <v/>
      </c>
      <c r="W7" s="114">
        <f t="shared" si="3"/>
        <v>0</v>
      </c>
      <c r="X7" s="114" t="str">
        <f>_xlfn.CONCAT(E7," (",VLOOKUP(E7,[1]Backend!C:D,2,FALSE),")")</f>
        <v xml:space="preserve"> (Zero)</v>
      </c>
      <c r="Y7" s="114" t="e">
        <f>_xlfn.CONCAT(W7," - Electrical power supply and controls to ",X7,VLOOKUP(M7,_Chiller!$A$18:$D$22,2,FALSE))</f>
        <v>#N/A</v>
      </c>
      <c r="Z7" s="114" t="str">
        <f t="shared" si="9"/>
        <v xml:space="preserve"> with: </v>
      </c>
      <c r="AA7" s="114" t="str">
        <f>_xlfn.CONCAT(
IF(AI7,VLOOKUP(N7,_Chiller!$N:$T,4,FALSE),""),
IF(AJ7,VLOOKUP($O$1,_Chiller!$N:$T,4,FALSE),""),
IF(AK7,VLOOKUP($P$1,_Chiller!$N:$T,4,FALSE),""),
IF(AL7,VLOOKUP($Q$1,_Chiller!$N:$T,4,FALSE),""),
IF(AM7,VLOOKUP($R$1,_Chiller!$N:$T,4,FALSE),""))</f>
        <v/>
      </c>
      <c r="AB7" s="114" t="str">
        <f t="shared" si="10"/>
        <v>from MSSB Power Supply</v>
      </c>
      <c r="AC7" s="114" t="e">
        <f t="shared" si="20"/>
        <v>#N/A</v>
      </c>
      <c r="AD7" s="114" t="str">
        <f t="shared" si="11"/>
        <v>0.1 - This includes supply and install of power and controls.</v>
      </c>
      <c r="AE7" s="114" t="e">
        <f>_xlfn.CONCAT(W7,".2 - Power for system includes: CB and cabling to ",VLOOKUP(M7,_Chiller!$A$18:$D$22,4,FALSE)," from MSSB, and local isolator,")</f>
        <v>#N/A</v>
      </c>
      <c r="AF7" s="114" t="str">
        <f t="shared" si="19"/>
        <v xml:space="preserve">0.3 - Controls for system includes: { CONTROLS FOR: 0}, { CONTROLS FOR: 0}, </v>
      </c>
      <c r="AG7" s="114" t="str">
        <f>_xlfn.CONCAT(VLOOKUP(M7,_Chiller!AF:AG,2,FALSE),
IF(AI7,VLOOKUP(N7,_Chiller!AF:AG,2,FALSE),""),
IF(AJ7,VLOOKUP($AJ$1,_Chiller!AF:AG,2,FALSE),""),
IF(AK7,VLOOKUP($AK$1,_Chiller!AF:AG,2,FALSE),""),
IF(AL7,VLOOKUP($AL$1,_Chiller!AF:AG,2,FALSE),""),
IF(AM7,VLOOKUP($AM$1,_Chiller!AF:AG,2,FALSE),""),
IF(AN7,VLOOKUP($AN$1,_Chiller!AF:AG,2,FALSE),""),
IF(AO7,VLOOKUP($AO$1,_Chiller!AF:AG,2,FALSE),""),
IF(AP7,VLOOKUP($AP$1,_Chiller!AF:AG,2,FALSE),""),
)</f>
        <v xml:space="preserve">{ CONTROLS FOR: 0}, { CONTROLS FOR: 0}, </v>
      </c>
      <c r="AI7" s="114" t="b">
        <f t="shared" si="12"/>
        <v>1</v>
      </c>
      <c r="AJ7" s="114" t="b">
        <f t="shared" si="13"/>
        <v>0</v>
      </c>
      <c r="AK7" s="114" t="b">
        <f t="shared" si="14"/>
        <v>0</v>
      </c>
      <c r="AL7" s="114" t="b">
        <f t="shared" si="15"/>
        <v>0</v>
      </c>
      <c r="AM7" s="114" t="b">
        <v>0</v>
      </c>
      <c r="AN7" s="114" t="b">
        <f t="shared" si="16"/>
        <v>0</v>
      </c>
      <c r="AO7" s="114" t="b">
        <f t="shared" si="17"/>
        <v>0</v>
      </c>
      <c r="AP7" s="114" t="b">
        <f t="shared" si="18"/>
        <v>0</v>
      </c>
      <c r="AS7" s="114" t="e">
        <f>_xlfn.CONCAT(VLOOKUP(M7,_Chiller!$A$18:$D$22,2,FALSE),Z7,AA7)</f>
        <v>#N/A</v>
      </c>
    </row>
    <row r="8" spans="1:45" x14ac:dyDescent="0.4">
      <c r="A8" s="429" t="str">
        <f t="shared" si="1"/>
        <v>INVALID</v>
      </c>
      <c r="B8" s="430" t="str">
        <f t="shared" si="5"/>
        <v>CH 7</v>
      </c>
      <c r="C8" s="431">
        <f t="shared" si="6"/>
        <v>0</v>
      </c>
      <c r="D8" s="430">
        <f t="shared" si="7"/>
        <v>0</v>
      </c>
      <c r="E8" s="430"/>
      <c r="F8" s="430">
        <f t="shared" si="8"/>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678</v>
      </c>
      <c r="M8" s="430"/>
      <c r="N8" s="430"/>
      <c r="O8" s="430"/>
      <c r="P8" s="430"/>
      <c r="Q8" s="430"/>
      <c r="R8" s="430"/>
      <c r="S8" s="430"/>
      <c r="T8" s="430"/>
      <c r="U8" s="430"/>
      <c r="V8" s="432" t="str">
        <f t="shared" si="2"/>
        <v/>
      </c>
      <c r="W8" s="114">
        <f t="shared" si="3"/>
        <v>0</v>
      </c>
      <c r="X8" s="114" t="str">
        <f>_xlfn.CONCAT(E8," (",VLOOKUP(E8,[1]Backend!C:D,2,FALSE),")")</f>
        <v xml:space="preserve"> (Zero)</v>
      </c>
      <c r="Y8" s="114" t="e">
        <f>_xlfn.CONCAT(W8," - Electrical power supply and controls to ",X8,VLOOKUP(M8,_Chiller!$A$18:$D$22,2,FALSE))</f>
        <v>#N/A</v>
      </c>
      <c r="Z8" s="114" t="str">
        <f t="shared" si="9"/>
        <v xml:space="preserve"> with: </v>
      </c>
      <c r="AA8" s="114" t="str">
        <f>_xlfn.CONCAT(
IF(AI8,VLOOKUP(N8,_Chiller!$N:$T,4,FALSE),""),
IF(AJ8,VLOOKUP($O$1,_Chiller!$N:$T,4,FALSE),""),
IF(AK8,VLOOKUP($P$1,_Chiller!$N:$T,4,FALSE),""),
IF(AL8,VLOOKUP($Q$1,_Chiller!$N:$T,4,FALSE),""),
IF(AM8,VLOOKUP($R$1,_Chiller!$N:$T,4,FALSE),""))</f>
        <v/>
      </c>
      <c r="AB8" s="114" t="str">
        <f t="shared" si="10"/>
        <v>from MSSB Power Supply</v>
      </c>
      <c r="AC8" s="114" t="e">
        <f t="shared" si="20"/>
        <v>#N/A</v>
      </c>
      <c r="AD8" s="114" t="str">
        <f t="shared" si="11"/>
        <v>0.1 - This includes supply and install of power and controls.</v>
      </c>
      <c r="AE8" s="114" t="e">
        <f>_xlfn.CONCAT(W8,".2 - Power for system includes: CB and cabling to ",VLOOKUP(M8,_Chiller!$A$18:$D$22,4,FALSE)," from MSSB, and local isolator,")</f>
        <v>#N/A</v>
      </c>
      <c r="AF8" s="114" t="str">
        <f t="shared" si="19"/>
        <v xml:space="preserve">0.3 - Controls for system includes: { CONTROLS FOR: 0}, { CONTROLS FOR: 0}, </v>
      </c>
      <c r="AG8" s="114" t="str">
        <f>_xlfn.CONCAT(VLOOKUP(M8,_Chiller!AF:AG,2,FALSE),
IF(AI8,VLOOKUP(N8,_Chiller!AF:AG,2,FALSE),""),
IF(AJ8,VLOOKUP($AJ$1,_Chiller!AF:AG,2,FALSE),""),
IF(AK8,VLOOKUP($AK$1,_Chiller!AF:AG,2,FALSE),""),
IF(AL8,VLOOKUP($AL$1,_Chiller!AF:AG,2,FALSE),""),
IF(AM8,VLOOKUP($AM$1,_Chiller!AF:AG,2,FALSE),""),
IF(AN8,VLOOKUP($AN$1,_Chiller!AF:AG,2,FALSE),""),
IF(AO8,VLOOKUP($AO$1,_Chiller!AF:AG,2,FALSE),""),
IF(AP8,VLOOKUP($AP$1,_Chiller!AF:AG,2,FALSE),""),
)</f>
        <v xml:space="preserve">{ CONTROLS FOR: 0}, { CONTROLS FOR: 0}, </v>
      </c>
      <c r="AI8" s="114" t="b">
        <f t="shared" si="12"/>
        <v>1</v>
      </c>
      <c r="AJ8" s="114" t="b">
        <f t="shared" si="13"/>
        <v>0</v>
      </c>
      <c r="AK8" s="114" t="b">
        <f t="shared" si="14"/>
        <v>0</v>
      </c>
      <c r="AL8" s="114" t="b">
        <f t="shared" si="15"/>
        <v>0</v>
      </c>
      <c r="AM8" s="114" t="b">
        <v>0</v>
      </c>
      <c r="AN8" s="114" t="b">
        <f t="shared" si="16"/>
        <v>0</v>
      </c>
      <c r="AO8" s="114" t="b">
        <f t="shared" si="17"/>
        <v>0</v>
      </c>
      <c r="AP8" s="114" t="b">
        <f t="shared" si="18"/>
        <v>0</v>
      </c>
      <c r="AS8" s="114" t="e">
        <f>_xlfn.CONCAT(VLOOKUP(M8,_Chiller!$A$18:$D$22,2,FALSE),Z8,AA8)</f>
        <v>#N/A</v>
      </c>
    </row>
    <row r="9" spans="1:45" x14ac:dyDescent="0.4">
      <c r="A9" s="429" t="str">
        <f t="shared" si="1"/>
        <v>INVALID</v>
      </c>
      <c r="B9" s="430" t="str">
        <f t="shared" si="5"/>
        <v>CH 8</v>
      </c>
      <c r="C9" s="431">
        <f t="shared" si="6"/>
        <v>0</v>
      </c>
      <c r="D9" s="430">
        <f t="shared" si="7"/>
        <v>0</v>
      </c>
      <c r="E9" s="430"/>
      <c r="F9" s="430">
        <f t="shared" si="8"/>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678</v>
      </c>
      <c r="M9" s="430"/>
      <c r="N9" s="430"/>
      <c r="O9" s="430"/>
      <c r="P9" s="430"/>
      <c r="Q9" s="430"/>
      <c r="R9" s="430"/>
      <c r="S9" s="430"/>
      <c r="T9" s="430"/>
      <c r="U9" s="430"/>
      <c r="V9" s="432" t="str">
        <f t="shared" si="2"/>
        <v/>
      </c>
      <c r="W9" s="114">
        <f t="shared" si="3"/>
        <v>0</v>
      </c>
      <c r="X9" s="114" t="str">
        <f>_xlfn.CONCAT(E9," (",VLOOKUP(E9,[1]Backend!C:D,2,FALSE),")")</f>
        <v xml:space="preserve"> (Zero)</v>
      </c>
      <c r="Y9" s="114" t="e">
        <f>_xlfn.CONCAT(W9," - Electrical power supply and controls to ",X9,VLOOKUP(M9,_Chiller!$A$18:$D$22,2,FALSE))</f>
        <v>#N/A</v>
      </c>
      <c r="Z9" s="114" t="str">
        <f t="shared" si="9"/>
        <v xml:space="preserve"> with: </v>
      </c>
      <c r="AA9" s="114" t="str">
        <f>_xlfn.CONCAT(
IF(AI9,VLOOKUP(N9,_Chiller!$N:$T,4,FALSE),""),
IF(AJ9,VLOOKUP($O$1,_Chiller!$N:$T,4,FALSE),""),
IF(AK9,VLOOKUP($P$1,_Chiller!$N:$T,4,FALSE),""),
IF(AL9,VLOOKUP($Q$1,_Chiller!$N:$T,4,FALSE),""),
IF(AM9,VLOOKUP($R$1,_Chiller!$N:$T,4,FALSE),""))</f>
        <v/>
      </c>
      <c r="AB9" s="114" t="str">
        <f t="shared" si="10"/>
        <v>from MSSB Power Supply</v>
      </c>
      <c r="AC9" s="114" t="e">
        <f t="shared" si="20"/>
        <v>#N/A</v>
      </c>
      <c r="AD9" s="114" t="str">
        <f t="shared" si="11"/>
        <v>0.1 - This includes supply and install of power and controls.</v>
      </c>
      <c r="AE9" s="114" t="e">
        <f>_xlfn.CONCAT(W9,".2 - Power for system includes: CB and cabling to ",VLOOKUP(M9,_Chiller!$A$18:$D$22,4,FALSE)," from MSSB, and local isolator,")</f>
        <v>#N/A</v>
      </c>
      <c r="AF9" s="114" t="str">
        <f t="shared" si="19"/>
        <v xml:space="preserve">0.3 - Controls for system includes: { CONTROLS FOR: 0}, { CONTROLS FOR: 0}, </v>
      </c>
      <c r="AG9" s="114" t="str">
        <f>_xlfn.CONCAT(VLOOKUP(M9,_Chiller!AF:AG,2,FALSE),
IF(AI9,VLOOKUP(N9,_Chiller!AF:AG,2,FALSE),""),
IF(AJ9,VLOOKUP($AJ$1,_Chiller!AF:AG,2,FALSE),""),
IF(AK9,VLOOKUP($AK$1,_Chiller!AF:AG,2,FALSE),""),
IF(AL9,VLOOKUP($AL$1,_Chiller!AF:AG,2,FALSE),""),
IF(AM9,VLOOKUP($AM$1,_Chiller!AF:AG,2,FALSE),""),
IF(AN9,VLOOKUP($AN$1,_Chiller!AF:AG,2,FALSE),""),
IF(AO9,VLOOKUP($AO$1,_Chiller!AF:AG,2,FALSE),""),
IF(AP9,VLOOKUP($AP$1,_Chiller!AF:AG,2,FALSE),""),
)</f>
        <v xml:space="preserve">{ CONTROLS FOR: 0}, { CONTROLS FOR: 0}, </v>
      </c>
      <c r="AI9" s="114" t="b">
        <f t="shared" si="12"/>
        <v>1</v>
      </c>
      <c r="AJ9" s="114" t="b">
        <f t="shared" si="13"/>
        <v>0</v>
      </c>
      <c r="AK9" s="114" t="b">
        <f t="shared" si="14"/>
        <v>0</v>
      </c>
      <c r="AL9" s="114" t="b">
        <f t="shared" si="15"/>
        <v>0</v>
      </c>
      <c r="AM9" s="114" t="b">
        <v>0</v>
      </c>
      <c r="AN9" s="114" t="b">
        <f t="shared" si="16"/>
        <v>0</v>
      </c>
      <c r="AO9" s="114" t="b">
        <f t="shared" si="17"/>
        <v>0</v>
      </c>
      <c r="AP9" s="114" t="b">
        <f t="shared" si="18"/>
        <v>0</v>
      </c>
      <c r="AS9" s="114" t="e">
        <f>_xlfn.CONCAT(VLOOKUP(M9,_Chiller!$A$18:$D$22,2,FALSE),Z9,AA9)</f>
        <v>#N/A</v>
      </c>
    </row>
    <row r="10" spans="1:45" x14ac:dyDescent="0.4">
      <c r="A10" s="429" t="str">
        <f t="shared" si="1"/>
        <v>INVALID</v>
      </c>
      <c r="B10" s="430" t="str">
        <f t="shared" si="5"/>
        <v>CH 9</v>
      </c>
      <c r="C10" s="431">
        <f t="shared" si="6"/>
        <v>0</v>
      </c>
      <c r="D10" s="430">
        <f t="shared" si="7"/>
        <v>0</v>
      </c>
      <c r="E10" s="430"/>
      <c r="F10" s="430">
        <f t="shared" si="8"/>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678</v>
      </c>
      <c r="M10" s="430"/>
      <c r="N10" s="430"/>
      <c r="O10" s="430"/>
      <c r="P10" s="430"/>
      <c r="Q10" s="430"/>
      <c r="R10" s="430"/>
      <c r="S10" s="430"/>
      <c r="T10" s="430"/>
      <c r="U10" s="430"/>
      <c r="V10" s="432" t="str">
        <f t="shared" si="2"/>
        <v/>
      </c>
      <c r="W10" s="114">
        <f t="shared" si="3"/>
        <v>0</v>
      </c>
      <c r="X10" s="114" t="str">
        <f>_xlfn.CONCAT(E10," (",VLOOKUP(E10,[1]Backend!C:D,2,FALSE),")")</f>
        <v xml:space="preserve"> (Zero)</v>
      </c>
      <c r="Y10" s="114" t="e">
        <f>_xlfn.CONCAT(W10," - Electrical power supply and controls to ",X10,VLOOKUP(M10,_Chiller!$A$18:$D$22,2,FALSE))</f>
        <v>#N/A</v>
      </c>
      <c r="Z10" s="114" t="str">
        <f t="shared" si="9"/>
        <v xml:space="preserve"> with: </v>
      </c>
      <c r="AA10" s="114" t="str">
        <f>_xlfn.CONCAT(
IF(AI10,VLOOKUP(N10,_Chiller!$N:$T,4,FALSE),""),
IF(AJ10,VLOOKUP($O$1,_Chiller!$N:$T,4,FALSE),""),
IF(AK10,VLOOKUP($P$1,_Chiller!$N:$T,4,FALSE),""),
IF(AL10,VLOOKUP($Q$1,_Chiller!$N:$T,4,FALSE),""),
IF(AM10,VLOOKUP($R$1,_Chiller!$N:$T,4,FALSE),""))</f>
        <v/>
      </c>
      <c r="AB10" s="114" t="str">
        <f t="shared" si="10"/>
        <v>from MSSB Power Supply</v>
      </c>
      <c r="AC10" s="114" t="e">
        <f t="shared" si="20"/>
        <v>#N/A</v>
      </c>
      <c r="AD10" s="114" t="str">
        <f t="shared" si="11"/>
        <v>0.1 - This includes supply and install of power and controls.</v>
      </c>
      <c r="AE10" s="114" t="e">
        <f>_xlfn.CONCAT(W10,".2 - Power for system includes: CB and cabling to ",VLOOKUP(M10,_Chiller!$A$18:$D$22,4,FALSE)," from MSSB, and local isolator,")</f>
        <v>#N/A</v>
      </c>
      <c r="AF10" s="114" t="str">
        <f t="shared" si="19"/>
        <v xml:space="preserve">0.3 - Controls for system includes: { CONTROLS FOR: 0}, { CONTROLS FOR: 0}, </v>
      </c>
      <c r="AG10" s="114" t="str">
        <f>_xlfn.CONCAT(VLOOKUP(M10,_Chiller!AF:AG,2,FALSE),
IF(AI10,VLOOKUP(N10,_Chiller!AF:AG,2,FALSE),""),
IF(AJ10,VLOOKUP($AJ$1,_Chiller!AF:AG,2,FALSE),""),
IF(AK10,VLOOKUP($AK$1,_Chiller!AF:AG,2,FALSE),""),
IF(AL10,VLOOKUP($AL$1,_Chiller!AF:AG,2,FALSE),""),
IF(AM10,VLOOKUP($AM$1,_Chiller!AF:AG,2,FALSE),""),
IF(AN10,VLOOKUP($AN$1,_Chiller!AF:AG,2,FALSE),""),
IF(AO10,VLOOKUP($AO$1,_Chiller!AF:AG,2,FALSE),""),
IF(AP10,VLOOKUP($AP$1,_Chiller!AF:AG,2,FALSE),""),
)</f>
        <v xml:space="preserve">{ CONTROLS FOR: 0}, { CONTROLS FOR: 0}, </v>
      </c>
      <c r="AI10" s="114" t="b">
        <f t="shared" si="12"/>
        <v>1</v>
      </c>
      <c r="AJ10" s="114" t="b">
        <f t="shared" si="13"/>
        <v>0</v>
      </c>
      <c r="AK10" s="114" t="b">
        <f t="shared" si="14"/>
        <v>0</v>
      </c>
      <c r="AL10" s="114" t="b">
        <f t="shared" si="15"/>
        <v>0</v>
      </c>
      <c r="AM10" s="114" t="b">
        <v>0</v>
      </c>
      <c r="AN10" s="114" t="b">
        <f t="shared" si="16"/>
        <v>0</v>
      </c>
      <c r="AO10" s="114" t="b">
        <f t="shared" si="17"/>
        <v>0</v>
      </c>
      <c r="AP10" s="114" t="b">
        <f t="shared" si="18"/>
        <v>0</v>
      </c>
      <c r="AS10" s="114" t="e">
        <f>_xlfn.CONCAT(VLOOKUP(M10,_Chiller!$A$18:$D$22,2,FALSE),Z10,AA10)</f>
        <v>#N/A</v>
      </c>
    </row>
    <row r="11" spans="1:45" x14ac:dyDescent="0.4">
      <c r="A11" s="429" t="str">
        <f t="shared" si="1"/>
        <v>INVALID</v>
      </c>
      <c r="B11" s="430" t="str">
        <f t="shared" si="5"/>
        <v>CH 10</v>
      </c>
      <c r="C11" s="431">
        <f t="shared" si="6"/>
        <v>0</v>
      </c>
      <c r="D11" s="430">
        <f t="shared" si="7"/>
        <v>0</v>
      </c>
      <c r="E11" s="430"/>
      <c r="F11" s="430">
        <f t="shared" si="8"/>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678</v>
      </c>
      <c r="M11" s="430"/>
      <c r="N11" s="430"/>
      <c r="O11" s="430"/>
      <c r="P11" s="430"/>
      <c r="Q11" s="430"/>
      <c r="R11" s="430"/>
      <c r="S11" s="430"/>
      <c r="T11" s="430"/>
      <c r="U11" s="430"/>
      <c r="V11" s="432" t="str">
        <f t="shared" ref="V11:V22" si="21">IF(A11="VALID",_xlfn.CONCAT("
",AC11,"
",REPT(" ",8),AD11,"
",REPT(" ",8),AE11,"
",REPT(" ", 8),AF11, "
"),"")</f>
        <v/>
      </c>
      <c r="W11" s="114">
        <f t="shared" si="3"/>
        <v>0</v>
      </c>
      <c r="X11" s="114" t="str">
        <f>_xlfn.CONCAT(E11," (",VLOOKUP(E11,[1]Backend!C:D,2,FALSE),")")</f>
        <v xml:space="preserve"> (Zero)</v>
      </c>
      <c r="Y11" s="114" t="e">
        <f>_xlfn.CONCAT(W11," - Electrical power supply and controls to ",X11,VLOOKUP(M11,_Chiller!$A$18:$D$22,2,FALSE))</f>
        <v>#N/A</v>
      </c>
      <c r="Z11" s="114" t="str">
        <f t="shared" si="9"/>
        <v xml:space="preserve"> with: </v>
      </c>
      <c r="AA11" s="114" t="str">
        <f>_xlfn.CONCAT(
IF(AI11,VLOOKUP(N11,_Chiller!$N:$T,4,FALSE),""),
IF(AJ11,VLOOKUP($O$1,_Chiller!$N:$T,4,FALSE),""),
IF(AK11,VLOOKUP($P$1,_Chiller!$N:$T,4,FALSE),""),
IF(AL11,VLOOKUP($Q$1,_Chiller!$N:$T,4,FALSE),""),
IF(AM11,VLOOKUP($R$1,_Chiller!$N:$T,4,FALSE),""))</f>
        <v/>
      </c>
      <c r="AB11" s="114" t="str">
        <f t="shared" si="10"/>
        <v>from MSSB Power Supply</v>
      </c>
      <c r="AC11" s="114" t="e">
        <f t="shared" si="20"/>
        <v>#N/A</v>
      </c>
      <c r="AD11" s="114" t="str">
        <f t="shared" si="11"/>
        <v>0.1 - This includes supply and install of power and controls.</v>
      </c>
      <c r="AE11" s="114" t="e">
        <f>_xlfn.CONCAT(W11,".2 - Power for system includes: CB and cabling to ",VLOOKUP(M11,_Chiller!$A$18:$D$22,4,FALSE)," from MSSB, and local isolator,")</f>
        <v>#N/A</v>
      </c>
      <c r="AF11" s="114" t="str">
        <f t="shared" si="19"/>
        <v xml:space="preserve">0.3 - Controls for system includes: { CONTROLS FOR: 0}, { CONTROLS FOR: 0}, </v>
      </c>
      <c r="AG11" s="114" t="str">
        <f>_xlfn.CONCAT(VLOOKUP(M11,_Chiller!AF:AG,2,FALSE),
IF(AI11,VLOOKUP(N11,_Chiller!AF:AG,2,FALSE),""),
IF(AJ11,VLOOKUP($AJ$1,_Chiller!AF:AG,2,FALSE),""),
IF(AK11,VLOOKUP($AK$1,_Chiller!AF:AG,2,FALSE),""),
IF(AL11,VLOOKUP($AL$1,_Chiller!AF:AG,2,FALSE),""),
IF(AM11,VLOOKUP($AM$1,_Chiller!AF:AG,2,FALSE),""),
IF(AN11,VLOOKUP($AN$1,_Chiller!AF:AG,2,FALSE),""),
IF(AO11,VLOOKUP($AO$1,_Chiller!AF:AG,2,FALSE),""),
IF(AP11,VLOOKUP($AP$1,_Chiller!AF:AG,2,FALSE),""),
)</f>
        <v xml:space="preserve">{ CONTROLS FOR: 0}, { CONTROLS FOR: 0}, </v>
      </c>
      <c r="AI11" s="114" t="b">
        <f t="shared" si="12"/>
        <v>1</v>
      </c>
      <c r="AJ11" s="114" t="b">
        <f t="shared" si="13"/>
        <v>0</v>
      </c>
      <c r="AK11" s="114" t="b">
        <f t="shared" si="14"/>
        <v>0</v>
      </c>
      <c r="AL11" s="114" t="b">
        <f t="shared" si="15"/>
        <v>0</v>
      </c>
      <c r="AM11" s="114" t="b">
        <v>0</v>
      </c>
      <c r="AN11" s="114" t="b">
        <f t="shared" si="16"/>
        <v>0</v>
      </c>
      <c r="AO11" s="114" t="b">
        <f t="shared" si="17"/>
        <v>0</v>
      </c>
      <c r="AP11" s="114" t="b">
        <f t="shared" si="18"/>
        <v>0</v>
      </c>
      <c r="AS11" s="114" t="e">
        <f>_xlfn.CONCAT(VLOOKUP(M11,_Chiller!$A$18:$D$22,2,FALSE),Z11,AA11)</f>
        <v>#N/A</v>
      </c>
    </row>
    <row r="12" spans="1:45" x14ac:dyDescent="0.4">
      <c r="A12" s="429" t="str">
        <f t="shared" si="1"/>
        <v>INVALID</v>
      </c>
      <c r="B12" s="430" t="str">
        <f t="shared" si="5"/>
        <v>CH 11</v>
      </c>
      <c r="C12" s="431">
        <f t="shared" si="6"/>
        <v>0</v>
      </c>
      <c r="D12" s="430">
        <f t="shared" si="7"/>
        <v>0</v>
      </c>
      <c r="E12" s="430"/>
      <c r="F12" s="430">
        <f t="shared" si="8"/>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678</v>
      </c>
      <c r="M12" s="430"/>
      <c r="N12" s="430"/>
      <c r="O12" s="430"/>
      <c r="P12" s="430"/>
      <c r="Q12" s="430"/>
      <c r="R12" s="430"/>
      <c r="S12" s="430"/>
      <c r="T12" s="430"/>
      <c r="U12" s="430"/>
      <c r="V12" s="432" t="str">
        <f t="shared" si="21"/>
        <v/>
      </c>
      <c r="W12" s="114">
        <f t="shared" si="3"/>
        <v>0</v>
      </c>
      <c r="X12" s="114" t="str">
        <f>_xlfn.CONCAT(E12," (",VLOOKUP(E12,[1]Backend!C:D,2,FALSE),")")</f>
        <v xml:space="preserve"> (Zero)</v>
      </c>
      <c r="Y12" s="114" t="e">
        <f>_xlfn.CONCAT(W12," - Electrical power supply and controls to ",X12,VLOOKUP(M12,_Chiller!$A$18:$D$22,2,FALSE))</f>
        <v>#N/A</v>
      </c>
      <c r="Z12" s="114" t="str">
        <f t="shared" si="9"/>
        <v xml:space="preserve"> with: </v>
      </c>
      <c r="AA12" s="114" t="str">
        <f>_xlfn.CONCAT(
IF(AI12,VLOOKUP(N12,_Chiller!$N:$T,4,FALSE),""),
IF(AJ12,VLOOKUP($O$1,_Chiller!$N:$T,4,FALSE),""),
IF(AK12,VLOOKUP($P$1,_Chiller!$N:$T,4,FALSE),""),
IF(AL12,VLOOKUP($Q$1,_Chiller!$N:$T,4,FALSE),""),
IF(AM12,VLOOKUP($R$1,_Chiller!$N:$T,4,FALSE),""))</f>
        <v/>
      </c>
      <c r="AB12" s="114" t="str">
        <f t="shared" si="10"/>
        <v>from MSSB Power Supply</v>
      </c>
      <c r="AC12" s="114" t="e">
        <f t="shared" si="20"/>
        <v>#N/A</v>
      </c>
      <c r="AD12" s="114" t="str">
        <f t="shared" si="11"/>
        <v>0.1 - This includes supply and install of power and controls.</v>
      </c>
      <c r="AE12" s="114" t="e">
        <f>_xlfn.CONCAT(W12,".2 - Power for system includes: CB and cabling to ",VLOOKUP(M12,_Chiller!$A$18:$D$22,4,FALSE)," from MSSB, and local isolator,")</f>
        <v>#N/A</v>
      </c>
      <c r="AF12" s="114" t="str">
        <f t="shared" si="19"/>
        <v xml:space="preserve">0.3 - Controls for system includes: { CONTROLS FOR: 0}, { CONTROLS FOR: 0}, </v>
      </c>
      <c r="AG12" s="114" t="str">
        <f>_xlfn.CONCAT(VLOOKUP(M12,_Chiller!AF:AG,2,FALSE),
IF(AI12,VLOOKUP(N12,_Chiller!AF:AG,2,FALSE),""),
IF(AJ12,VLOOKUP($AJ$1,_Chiller!AF:AG,2,FALSE),""),
IF(AK12,VLOOKUP($AK$1,_Chiller!AF:AG,2,FALSE),""),
IF(AL12,VLOOKUP($AL$1,_Chiller!AF:AG,2,FALSE),""),
IF(AM12,VLOOKUP($AM$1,_Chiller!AF:AG,2,FALSE),""),
IF(AN12,VLOOKUP($AN$1,_Chiller!AF:AG,2,FALSE),""),
IF(AO12,VLOOKUP($AO$1,_Chiller!AF:AG,2,FALSE),""),
IF(AP12,VLOOKUP($AP$1,_Chiller!AF:AG,2,FALSE),""),
)</f>
        <v xml:space="preserve">{ CONTROLS FOR: 0}, { CONTROLS FOR: 0}, </v>
      </c>
      <c r="AI12" s="114" t="b">
        <f t="shared" si="12"/>
        <v>1</v>
      </c>
      <c r="AJ12" s="114" t="b">
        <f t="shared" si="13"/>
        <v>0</v>
      </c>
      <c r="AK12" s="114" t="b">
        <f t="shared" si="14"/>
        <v>0</v>
      </c>
      <c r="AL12" s="114" t="b">
        <f t="shared" si="15"/>
        <v>0</v>
      </c>
      <c r="AM12" s="114" t="b">
        <v>0</v>
      </c>
      <c r="AN12" s="114" t="b">
        <f t="shared" si="16"/>
        <v>0</v>
      </c>
      <c r="AO12" s="114" t="b">
        <f t="shared" si="17"/>
        <v>0</v>
      </c>
      <c r="AP12" s="114" t="b">
        <f t="shared" si="18"/>
        <v>0</v>
      </c>
      <c r="AS12" s="114" t="e">
        <f>_xlfn.CONCAT(VLOOKUP(M12,_Chiller!$A$18:$D$22,2,FALSE),Z12,AA12)</f>
        <v>#N/A</v>
      </c>
    </row>
    <row r="13" spans="1:45" x14ac:dyDescent="0.4">
      <c r="A13" s="429" t="str">
        <f t="shared" si="1"/>
        <v>INVALID</v>
      </c>
      <c r="B13" s="430" t="str">
        <f t="shared" si="5"/>
        <v>CH 12</v>
      </c>
      <c r="C13" s="431">
        <f t="shared" si="6"/>
        <v>0</v>
      </c>
      <c r="D13" s="430">
        <f t="shared" si="7"/>
        <v>0</v>
      </c>
      <c r="E13" s="430"/>
      <c r="F13" s="430">
        <f t="shared" si="8"/>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678</v>
      </c>
      <c r="M13" s="430"/>
      <c r="N13" s="430"/>
      <c r="O13" s="430"/>
      <c r="P13" s="430"/>
      <c r="Q13" s="430"/>
      <c r="R13" s="430"/>
      <c r="S13" s="430"/>
      <c r="T13" s="430"/>
      <c r="U13" s="430"/>
      <c r="V13" s="432" t="str">
        <f t="shared" si="21"/>
        <v/>
      </c>
      <c r="W13" s="114">
        <f t="shared" si="3"/>
        <v>0</v>
      </c>
      <c r="X13" s="114" t="str">
        <f>_xlfn.CONCAT(E13," (",VLOOKUP(E13,[1]Backend!C:D,2,FALSE),")")</f>
        <v xml:space="preserve"> (Zero)</v>
      </c>
      <c r="Y13" s="114" t="e">
        <f>_xlfn.CONCAT(W13," - Electrical power supply and controls to ",X13,VLOOKUP(M13,_Chiller!$A$18:$D$22,2,FALSE))</f>
        <v>#N/A</v>
      </c>
      <c r="Z13" s="114" t="str">
        <f t="shared" si="9"/>
        <v xml:space="preserve"> with: </v>
      </c>
      <c r="AA13" s="114" t="str">
        <f>_xlfn.CONCAT(
IF(AI13,VLOOKUP(N13,_Chiller!$N:$T,4,FALSE),""),
IF(AJ13,VLOOKUP($O$1,_Chiller!$N:$T,4,FALSE),""),
IF(AK13,VLOOKUP($P$1,_Chiller!$N:$T,4,FALSE),""),
IF(AL13,VLOOKUP($Q$1,_Chiller!$N:$T,4,FALSE),""),
IF(AM13,VLOOKUP($R$1,_Chiller!$N:$T,4,FALSE),""))</f>
        <v/>
      </c>
      <c r="AB13" s="114" t="str">
        <f t="shared" si="10"/>
        <v>from MSSB Power Supply</v>
      </c>
      <c r="AC13" s="114" t="e">
        <f t="shared" si="20"/>
        <v>#N/A</v>
      </c>
      <c r="AD13" s="114" t="str">
        <f t="shared" si="11"/>
        <v>0.1 - This includes supply and install of power and controls.</v>
      </c>
      <c r="AE13" s="114" t="e">
        <f>_xlfn.CONCAT(W13,".2 - Power for system includes: CB and cabling to ",VLOOKUP(M13,_Chiller!$A$18:$D$22,4,FALSE)," from MSSB, and local isolator,")</f>
        <v>#N/A</v>
      </c>
      <c r="AF13" s="114" t="str">
        <f t="shared" si="19"/>
        <v xml:space="preserve">0.3 - Controls for system includes: { CONTROLS FOR: 0}, { CONTROLS FOR: 0}, </v>
      </c>
      <c r="AG13" s="114" t="str">
        <f>_xlfn.CONCAT(VLOOKUP(M13,_Chiller!AF:AG,2,FALSE),
IF(AI13,VLOOKUP(N13,_Chiller!AF:AG,2,FALSE),""),
IF(AJ13,VLOOKUP($AJ$1,_Chiller!AF:AG,2,FALSE),""),
IF(AK13,VLOOKUP($AK$1,_Chiller!AF:AG,2,FALSE),""),
IF(AL13,VLOOKUP($AL$1,_Chiller!AF:AG,2,FALSE),""),
IF(AM13,VLOOKUP($AM$1,_Chiller!AF:AG,2,FALSE),""),
IF(AN13,VLOOKUP($AN$1,_Chiller!AF:AG,2,FALSE),""),
IF(AO13,VLOOKUP($AO$1,_Chiller!AF:AG,2,FALSE),""),
IF(AP13,VLOOKUP($AP$1,_Chiller!AF:AG,2,FALSE),""),
)</f>
        <v xml:space="preserve">{ CONTROLS FOR: 0}, { CONTROLS FOR: 0}, </v>
      </c>
      <c r="AI13" s="114" t="b">
        <f t="shared" si="12"/>
        <v>1</v>
      </c>
      <c r="AJ13" s="114" t="b">
        <f t="shared" si="13"/>
        <v>0</v>
      </c>
      <c r="AK13" s="114" t="b">
        <f t="shared" si="14"/>
        <v>0</v>
      </c>
      <c r="AL13" s="114" t="b">
        <f t="shared" si="15"/>
        <v>0</v>
      </c>
      <c r="AM13" s="114" t="b">
        <v>0</v>
      </c>
      <c r="AN13" s="114" t="b">
        <f t="shared" si="16"/>
        <v>0</v>
      </c>
      <c r="AO13" s="114" t="b">
        <f t="shared" si="17"/>
        <v>0</v>
      </c>
      <c r="AP13" s="114" t="b">
        <f t="shared" si="18"/>
        <v>0</v>
      </c>
      <c r="AS13" s="114" t="e">
        <f>_xlfn.CONCAT(VLOOKUP(M13,_Chiller!$A$18:$D$22,2,FALSE),Z13,AA13)</f>
        <v>#N/A</v>
      </c>
    </row>
    <row r="14" spans="1:45" x14ac:dyDescent="0.4">
      <c r="A14" s="429" t="str">
        <f t="shared" si="1"/>
        <v>INVALID</v>
      </c>
      <c r="B14" s="430" t="str">
        <f t="shared" si="5"/>
        <v>CH 13</v>
      </c>
      <c r="C14" s="431">
        <f t="shared" si="6"/>
        <v>0</v>
      </c>
      <c r="D14" s="430">
        <f t="shared" si="7"/>
        <v>0</v>
      </c>
      <c r="E14" s="430"/>
      <c r="F14" s="430">
        <f t="shared" si="8"/>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678</v>
      </c>
      <c r="M14" s="430"/>
      <c r="N14" s="430"/>
      <c r="O14" s="430"/>
      <c r="P14" s="430"/>
      <c r="Q14" s="430"/>
      <c r="R14" s="430"/>
      <c r="S14" s="430"/>
      <c r="T14" s="430"/>
      <c r="U14" s="430"/>
      <c r="V14" s="432" t="str">
        <f t="shared" si="21"/>
        <v/>
      </c>
      <c r="W14" s="114">
        <f t="shared" si="3"/>
        <v>0</v>
      </c>
      <c r="X14" s="114" t="str">
        <f>_xlfn.CONCAT(E14," (",VLOOKUP(E14,[1]Backend!C:D,2,FALSE),")")</f>
        <v xml:space="preserve"> (Zero)</v>
      </c>
      <c r="Y14" s="114" t="e">
        <f>_xlfn.CONCAT(W14," - Electrical power supply and controls to ",X14,VLOOKUP(M14,_Chiller!$A$18:$D$22,2,FALSE))</f>
        <v>#N/A</v>
      </c>
      <c r="Z14" s="114" t="str">
        <f t="shared" si="9"/>
        <v xml:space="preserve"> with: </v>
      </c>
      <c r="AA14" s="114" t="str">
        <f>_xlfn.CONCAT(
IF(AI14,VLOOKUP(N14,_Chiller!$N:$T,4,FALSE),""),
IF(AJ14,VLOOKUP($O$1,_Chiller!$N:$T,4,FALSE),""),
IF(AK14,VLOOKUP($P$1,_Chiller!$N:$T,4,FALSE),""),
IF(AL14,VLOOKUP($Q$1,_Chiller!$N:$T,4,FALSE),""),
IF(AM14,VLOOKUP($R$1,_Chiller!$N:$T,4,FALSE),""))</f>
        <v/>
      </c>
      <c r="AB14" s="114" t="str">
        <f t="shared" si="10"/>
        <v>from MSSB Power Supply</v>
      </c>
      <c r="AC14" s="114" t="e">
        <f t="shared" si="20"/>
        <v>#N/A</v>
      </c>
      <c r="AD14" s="114" t="str">
        <f t="shared" si="11"/>
        <v>0.1 - This includes supply and install of power and controls.</v>
      </c>
      <c r="AE14" s="114" t="e">
        <f>_xlfn.CONCAT(W14,".2 - Power for system includes: CB and cabling to ",VLOOKUP(M14,_Chiller!$A$18:$D$22,4,FALSE)," from MSSB, and local isolator,")</f>
        <v>#N/A</v>
      </c>
      <c r="AF14" s="114" t="str">
        <f t="shared" si="19"/>
        <v xml:space="preserve">0.3 - Controls for system includes: { CONTROLS FOR: 0}, { CONTROLS FOR: 0}, </v>
      </c>
      <c r="AG14" s="114" t="str">
        <f>_xlfn.CONCAT(VLOOKUP(M14,_Chiller!AF:AG,2,FALSE),
IF(AI14,VLOOKUP(N14,_Chiller!AF:AG,2,FALSE),""),
IF(AJ14,VLOOKUP($AJ$1,_Chiller!AF:AG,2,FALSE),""),
IF(AK14,VLOOKUP($AK$1,_Chiller!AF:AG,2,FALSE),""),
IF(AL14,VLOOKUP($AL$1,_Chiller!AF:AG,2,FALSE),""),
IF(AM14,VLOOKUP($AM$1,_Chiller!AF:AG,2,FALSE),""),
IF(AN14,VLOOKUP($AN$1,_Chiller!AF:AG,2,FALSE),""),
IF(AO14,VLOOKUP($AO$1,_Chiller!AF:AG,2,FALSE),""),
IF(AP14,VLOOKUP($AP$1,_Chiller!AF:AG,2,FALSE),""),
)</f>
        <v xml:space="preserve">{ CONTROLS FOR: 0}, { CONTROLS FOR: 0}, </v>
      </c>
      <c r="AI14" s="114" t="b">
        <f t="shared" si="12"/>
        <v>1</v>
      </c>
      <c r="AJ14" s="114" t="b">
        <f t="shared" si="13"/>
        <v>0</v>
      </c>
      <c r="AK14" s="114" t="b">
        <f t="shared" si="14"/>
        <v>0</v>
      </c>
      <c r="AL14" s="114" t="b">
        <f t="shared" si="15"/>
        <v>0</v>
      </c>
      <c r="AM14" s="114" t="b">
        <v>0</v>
      </c>
      <c r="AN14" s="114" t="b">
        <f t="shared" si="16"/>
        <v>0</v>
      </c>
      <c r="AO14" s="114" t="b">
        <f t="shared" si="17"/>
        <v>0</v>
      </c>
      <c r="AP14" s="114" t="b">
        <f t="shared" si="18"/>
        <v>0</v>
      </c>
      <c r="AS14" s="114" t="e">
        <f>_xlfn.CONCAT(VLOOKUP(M14,_Chiller!$A$18:$D$22,2,FALSE),Z14,AA14)</f>
        <v>#N/A</v>
      </c>
    </row>
    <row r="15" spans="1:45" x14ac:dyDescent="0.4">
      <c r="A15" s="429" t="str">
        <f t="shared" si="1"/>
        <v>INVALID</v>
      </c>
      <c r="B15" s="430" t="str">
        <f t="shared" si="5"/>
        <v>CH 14</v>
      </c>
      <c r="C15" s="431">
        <f t="shared" si="6"/>
        <v>0</v>
      </c>
      <c r="D15" s="430">
        <f t="shared" si="7"/>
        <v>0</v>
      </c>
      <c r="E15" s="430"/>
      <c r="F15" s="430">
        <f t="shared" si="8"/>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678</v>
      </c>
      <c r="M15" s="430"/>
      <c r="N15" s="430"/>
      <c r="O15" s="430"/>
      <c r="P15" s="430"/>
      <c r="Q15" s="430"/>
      <c r="R15" s="430"/>
      <c r="S15" s="430"/>
      <c r="T15" s="430"/>
      <c r="U15" s="430"/>
      <c r="V15" s="432" t="str">
        <f t="shared" si="21"/>
        <v/>
      </c>
      <c r="W15" s="114">
        <f t="shared" si="3"/>
        <v>0</v>
      </c>
      <c r="X15" s="114" t="str">
        <f>_xlfn.CONCAT(E15," (",VLOOKUP(E15,[1]Backend!C:D,2,FALSE),")")</f>
        <v xml:space="preserve"> (Zero)</v>
      </c>
      <c r="Y15" s="114" t="e">
        <f>_xlfn.CONCAT(W15," - Electrical power supply and controls to ",X15,VLOOKUP(M15,_Chiller!$A$18:$D$22,2,FALSE))</f>
        <v>#N/A</v>
      </c>
      <c r="Z15" s="114" t="str">
        <f t="shared" si="9"/>
        <v xml:space="preserve"> with: </v>
      </c>
      <c r="AA15" s="114" t="str">
        <f>_xlfn.CONCAT(
IF(AI15,VLOOKUP(N15,_Chiller!$N:$T,4,FALSE),""),
IF(AJ15,VLOOKUP($O$1,_Chiller!$N:$T,4,FALSE),""),
IF(AK15,VLOOKUP($P$1,_Chiller!$N:$T,4,FALSE),""),
IF(AL15,VLOOKUP($Q$1,_Chiller!$N:$T,4,FALSE),""),
IF(AM15,VLOOKUP($R$1,_Chiller!$N:$T,4,FALSE),""))</f>
        <v/>
      </c>
      <c r="AB15" s="114" t="str">
        <f t="shared" si="10"/>
        <v>from MSSB Power Supply</v>
      </c>
      <c r="AC15" s="114" t="e">
        <f t="shared" si="20"/>
        <v>#N/A</v>
      </c>
      <c r="AD15" s="114" t="str">
        <f t="shared" si="11"/>
        <v>0.1 - This includes supply and install of power and controls.</v>
      </c>
      <c r="AE15" s="114" t="e">
        <f>_xlfn.CONCAT(W15,".2 - Power for system includes: CB and cabling to ",VLOOKUP(M15,_Chiller!$A$18:$D$22,4,FALSE)," from MSSB, and local isolator,")</f>
        <v>#N/A</v>
      </c>
      <c r="AF15" s="114" t="str">
        <f t="shared" si="19"/>
        <v xml:space="preserve">0.3 - Controls for system includes: { CONTROLS FOR: 0}, { CONTROLS FOR: 0}, </v>
      </c>
      <c r="AG15" s="114" t="str">
        <f>_xlfn.CONCAT(VLOOKUP(M15,_Chiller!AF:AG,2,FALSE),
IF(AI15,VLOOKUP(N15,_Chiller!AF:AG,2,FALSE),""),
IF(AJ15,VLOOKUP($AJ$1,_Chiller!AF:AG,2,FALSE),""),
IF(AK15,VLOOKUP($AK$1,_Chiller!AF:AG,2,FALSE),""),
IF(AL15,VLOOKUP($AL$1,_Chiller!AF:AG,2,FALSE),""),
IF(AM15,VLOOKUP($AM$1,_Chiller!AF:AG,2,FALSE),""),
IF(AN15,VLOOKUP($AN$1,_Chiller!AF:AG,2,FALSE),""),
IF(AO15,VLOOKUP($AO$1,_Chiller!AF:AG,2,FALSE),""),
IF(AP15,VLOOKUP($AP$1,_Chiller!AF:AG,2,FALSE),""),
)</f>
        <v xml:space="preserve">{ CONTROLS FOR: 0}, { CONTROLS FOR: 0}, </v>
      </c>
      <c r="AI15" s="114" t="b">
        <f t="shared" si="12"/>
        <v>1</v>
      </c>
      <c r="AJ15" s="114" t="b">
        <f t="shared" si="13"/>
        <v>0</v>
      </c>
      <c r="AK15" s="114" t="b">
        <f t="shared" si="14"/>
        <v>0</v>
      </c>
      <c r="AL15" s="114" t="b">
        <f t="shared" si="15"/>
        <v>0</v>
      </c>
      <c r="AM15" s="114" t="b">
        <v>0</v>
      </c>
      <c r="AN15" s="114" t="b">
        <f t="shared" si="16"/>
        <v>0</v>
      </c>
      <c r="AO15" s="114" t="b">
        <f t="shared" si="17"/>
        <v>0</v>
      </c>
      <c r="AP15" s="114" t="b">
        <f t="shared" si="18"/>
        <v>0</v>
      </c>
      <c r="AS15" s="114" t="e">
        <f>_xlfn.CONCAT(VLOOKUP(M15,_Chiller!$A$18:$D$22,2,FALSE),Z15,AA15)</f>
        <v>#N/A</v>
      </c>
    </row>
    <row r="16" spans="1:45" x14ac:dyDescent="0.4">
      <c r="A16" s="429" t="str">
        <f t="shared" si="1"/>
        <v>INVALID</v>
      </c>
      <c r="B16" s="430" t="str">
        <f t="shared" si="5"/>
        <v>CH 15</v>
      </c>
      <c r="C16" s="431">
        <f t="shared" si="6"/>
        <v>0</v>
      </c>
      <c r="D16" s="430">
        <f t="shared" si="7"/>
        <v>0</v>
      </c>
      <c r="E16" s="430"/>
      <c r="F16" s="430">
        <f t="shared" si="8"/>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678</v>
      </c>
      <c r="M16" s="430"/>
      <c r="N16" s="430"/>
      <c r="O16" s="430"/>
      <c r="P16" s="430"/>
      <c r="Q16" s="430"/>
      <c r="R16" s="430"/>
      <c r="S16" s="430"/>
      <c r="T16" s="430"/>
      <c r="U16" s="430"/>
      <c r="V16" s="432" t="str">
        <f t="shared" si="21"/>
        <v/>
      </c>
      <c r="W16" s="114">
        <f t="shared" si="3"/>
        <v>0</v>
      </c>
      <c r="X16" s="114" t="str">
        <f>_xlfn.CONCAT(E16," (",VLOOKUP(E16,[1]Backend!C:D,2,FALSE),")")</f>
        <v xml:space="preserve"> (Zero)</v>
      </c>
      <c r="Y16" s="114" t="e">
        <f>_xlfn.CONCAT(W16," - Electrical power supply and controls to ",X16,VLOOKUP(M16,_Chiller!$A$18:$D$22,2,FALSE))</f>
        <v>#N/A</v>
      </c>
      <c r="Z16" s="114" t="str">
        <f t="shared" si="9"/>
        <v xml:space="preserve"> with: </v>
      </c>
      <c r="AA16" s="114" t="str">
        <f>_xlfn.CONCAT(
IF(AI16,VLOOKUP(N16,_Chiller!$N:$T,4,FALSE),""),
IF(AJ16,VLOOKUP($O$1,_Chiller!$N:$T,4,FALSE),""),
IF(AK16,VLOOKUP($P$1,_Chiller!$N:$T,4,FALSE),""),
IF(AL16,VLOOKUP($Q$1,_Chiller!$N:$T,4,FALSE),""),
IF(AM16,VLOOKUP($R$1,_Chiller!$N:$T,4,FALSE),""))</f>
        <v/>
      </c>
      <c r="AB16" s="114" t="str">
        <f t="shared" si="10"/>
        <v>from MSSB Power Supply</v>
      </c>
      <c r="AC16" s="114" t="e">
        <f t="shared" si="20"/>
        <v>#N/A</v>
      </c>
      <c r="AD16" s="114" t="str">
        <f t="shared" si="11"/>
        <v>0.1 - This includes supply and install of power and controls.</v>
      </c>
      <c r="AE16" s="114" t="e">
        <f>_xlfn.CONCAT(W16,".2 - Power for system includes: CB and cabling to ",VLOOKUP(M16,_Chiller!$A$18:$D$22,4,FALSE)," from MSSB, and local isolator,")</f>
        <v>#N/A</v>
      </c>
      <c r="AF16" s="114" t="str">
        <f t="shared" si="19"/>
        <v xml:space="preserve">0.3 - Controls for system includes: { CONTROLS FOR: 0}, { CONTROLS FOR: 0}, </v>
      </c>
      <c r="AG16" s="114" t="str">
        <f>_xlfn.CONCAT(VLOOKUP(M16,_Chiller!AF:AG,2,FALSE),
IF(AI16,VLOOKUP(N16,_Chiller!AF:AG,2,FALSE),""),
IF(AJ16,VLOOKUP($AJ$1,_Chiller!AF:AG,2,FALSE),""),
IF(AK16,VLOOKUP($AK$1,_Chiller!AF:AG,2,FALSE),""),
IF(AL16,VLOOKUP($AL$1,_Chiller!AF:AG,2,FALSE),""),
IF(AM16,VLOOKUP($AM$1,_Chiller!AF:AG,2,FALSE),""),
IF(AN16,VLOOKUP($AN$1,_Chiller!AF:AG,2,FALSE),""),
IF(AO16,VLOOKUP($AO$1,_Chiller!AF:AG,2,FALSE),""),
IF(AP16,VLOOKUP($AP$1,_Chiller!AF:AG,2,FALSE),""),
)</f>
        <v xml:space="preserve">{ CONTROLS FOR: 0}, { CONTROLS FOR: 0}, </v>
      </c>
      <c r="AI16" s="114" t="b">
        <f t="shared" si="12"/>
        <v>1</v>
      </c>
      <c r="AJ16" s="114" t="b">
        <f t="shared" si="13"/>
        <v>0</v>
      </c>
      <c r="AK16" s="114" t="b">
        <f t="shared" si="14"/>
        <v>0</v>
      </c>
      <c r="AL16" s="114" t="b">
        <f t="shared" si="15"/>
        <v>0</v>
      </c>
      <c r="AM16" s="114" t="b">
        <v>0</v>
      </c>
      <c r="AN16" s="114" t="b">
        <f t="shared" si="16"/>
        <v>0</v>
      </c>
      <c r="AO16" s="114" t="b">
        <f t="shared" si="17"/>
        <v>0</v>
      </c>
      <c r="AP16" s="114" t="b">
        <f t="shared" si="18"/>
        <v>0</v>
      </c>
      <c r="AS16" s="114" t="e">
        <f>_xlfn.CONCAT(VLOOKUP(M16,_Chiller!$A$18:$D$22,2,FALSE),Z16,AA16)</f>
        <v>#N/A</v>
      </c>
    </row>
    <row r="17" spans="1:45" x14ac:dyDescent="0.4">
      <c r="A17" s="429" t="str">
        <f t="shared" si="1"/>
        <v>INVALID</v>
      </c>
      <c r="B17" s="430" t="str">
        <f t="shared" si="5"/>
        <v>CH 16</v>
      </c>
      <c r="C17" s="431">
        <f t="shared" si="6"/>
        <v>0</v>
      </c>
      <c r="D17" s="430">
        <f t="shared" si="7"/>
        <v>0</v>
      </c>
      <c r="E17" s="430"/>
      <c r="F17" s="430">
        <f t="shared" si="8"/>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678</v>
      </c>
      <c r="M17" s="430"/>
      <c r="N17" s="430"/>
      <c r="O17" s="430"/>
      <c r="P17" s="430"/>
      <c r="Q17" s="430"/>
      <c r="R17" s="430"/>
      <c r="S17" s="430"/>
      <c r="T17" s="430"/>
      <c r="U17" s="430"/>
      <c r="V17" s="432" t="str">
        <f t="shared" si="21"/>
        <v/>
      </c>
      <c r="W17" s="114">
        <f t="shared" si="3"/>
        <v>0</v>
      </c>
      <c r="X17" s="114" t="str">
        <f>_xlfn.CONCAT(E17," (",VLOOKUP(E17,[1]Backend!C:D,2,FALSE),")")</f>
        <v xml:space="preserve"> (Zero)</v>
      </c>
      <c r="Y17" s="114" t="e">
        <f>_xlfn.CONCAT(W17," - Electrical power supply and controls to ",X17,VLOOKUP(M17,_Chiller!$A$18:$D$22,2,FALSE))</f>
        <v>#N/A</v>
      </c>
      <c r="Z17" s="114" t="str">
        <f t="shared" si="9"/>
        <v xml:space="preserve"> with: </v>
      </c>
      <c r="AA17" s="114" t="str">
        <f>_xlfn.CONCAT(
IF(AI17,VLOOKUP(N17,_Chiller!$N:$T,4,FALSE),""),
IF(AJ17,VLOOKUP($O$1,_Chiller!$N:$T,4,FALSE),""),
IF(AK17,VLOOKUP($P$1,_Chiller!$N:$T,4,FALSE),""),
IF(AL17,VLOOKUP($Q$1,_Chiller!$N:$T,4,FALSE),""),
IF(AM17,VLOOKUP($R$1,_Chiller!$N:$T,4,FALSE),""))</f>
        <v/>
      </c>
      <c r="AB17" s="114" t="str">
        <f t="shared" si="10"/>
        <v>from MSSB Power Supply</v>
      </c>
      <c r="AC17" s="114" t="e">
        <f t="shared" si="20"/>
        <v>#N/A</v>
      </c>
      <c r="AD17" s="114" t="str">
        <f t="shared" si="11"/>
        <v>0.1 - This includes supply and install of power and controls.</v>
      </c>
      <c r="AE17" s="114" t="e">
        <f>_xlfn.CONCAT(W17,".2 - Power for system includes: CB and cabling to ",VLOOKUP(M17,_Chiller!$A$18:$D$22,4,FALSE)," from MSSB, and local isolator,")</f>
        <v>#N/A</v>
      </c>
      <c r="AF17" s="114" t="str">
        <f t="shared" si="19"/>
        <v xml:space="preserve">0.3 - Controls for system includes: { CONTROLS FOR: 0}, { CONTROLS FOR: 0}, </v>
      </c>
      <c r="AG17" s="114" t="str">
        <f>_xlfn.CONCAT(VLOOKUP(M17,_Chiller!AF:AG,2,FALSE),
IF(AI17,VLOOKUP(N17,_Chiller!AF:AG,2,FALSE),""),
IF(AJ17,VLOOKUP($AJ$1,_Chiller!AF:AG,2,FALSE),""),
IF(AK17,VLOOKUP($AK$1,_Chiller!AF:AG,2,FALSE),""),
IF(AL17,VLOOKUP($AL$1,_Chiller!AF:AG,2,FALSE),""),
IF(AM17,VLOOKUP($AM$1,_Chiller!AF:AG,2,FALSE),""),
IF(AN17,VLOOKUP($AN$1,_Chiller!AF:AG,2,FALSE),""),
IF(AO17,VLOOKUP($AO$1,_Chiller!AF:AG,2,FALSE),""),
IF(AP17,VLOOKUP($AP$1,_Chiller!AF:AG,2,FALSE),""),
)</f>
        <v xml:space="preserve">{ CONTROLS FOR: 0}, { CONTROLS FOR: 0}, </v>
      </c>
      <c r="AI17" s="114" t="b">
        <f t="shared" si="12"/>
        <v>1</v>
      </c>
      <c r="AJ17" s="114" t="b">
        <f t="shared" si="13"/>
        <v>0</v>
      </c>
      <c r="AK17" s="114" t="b">
        <f t="shared" si="14"/>
        <v>0</v>
      </c>
      <c r="AL17" s="114" t="b">
        <f t="shared" si="15"/>
        <v>0</v>
      </c>
      <c r="AM17" s="114" t="b">
        <v>0</v>
      </c>
      <c r="AN17" s="114" t="b">
        <f t="shared" si="16"/>
        <v>0</v>
      </c>
      <c r="AO17" s="114" t="b">
        <f t="shared" si="17"/>
        <v>0</v>
      </c>
      <c r="AP17" s="114" t="b">
        <f t="shared" si="18"/>
        <v>0</v>
      </c>
      <c r="AS17" s="114" t="e">
        <f>_xlfn.CONCAT(VLOOKUP(M17,_Chiller!$A$18:$D$22,2,FALSE),Z17,AA17)</f>
        <v>#N/A</v>
      </c>
    </row>
    <row r="18" spans="1:45" x14ac:dyDescent="0.4">
      <c r="A18" s="429" t="str">
        <f t="shared" si="1"/>
        <v>INVALID</v>
      </c>
      <c r="B18" s="430" t="str">
        <f t="shared" si="5"/>
        <v>CH 17</v>
      </c>
      <c r="C18" s="431">
        <f t="shared" si="6"/>
        <v>0</v>
      </c>
      <c r="D18" s="430">
        <f t="shared" si="7"/>
        <v>0</v>
      </c>
      <c r="E18" s="430"/>
      <c r="F18" s="430">
        <f t="shared" si="8"/>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678</v>
      </c>
      <c r="M18" s="430"/>
      <c r="N18" s="430"/>
      <c r="O18" s="430"/>
      <c r="P18" s="430"/>
      <c r="Q18" s="430"/>
      <c r="R18" s="430"/>
      <c r="S18" s="430"/>
      <c r="T18" s="430"/>
      <c r="U18" s="430"/>
      <c r="V18" s="432" t="str">
        <f t="shared" si="21"/>
        <v/>
      </c>
      <c r="W18" s="114">
        <f t="shared" si="3"/>
        <v>0</v>
      </c>
      <c r="X18" s="114" t="str">
        <f>_xlfn.CONCAT(E18," (",VLOOKUP(E18,[1]Backend!C:D,2,FALSE),")")</f>
        <v xml:space="preserve"> (Zero)</v>
      </c>
      <c r="Y18" s="114" t="e">
        <f>_xlfn.CONCAT(W18," - Electrical power supply and controls to ",X18,VLOOKUP(M18,_Chiller!$A$18:$D$22,2,FALSE))</f>
        <v>#N/A</v>
      </c>
      <c r="Z18" s="114" t="str">
        <f t="shared" si="9"/>
        <v xml:space="preserve"> with: </v>
      </c>
      <c r="AA18" s="114" t="str">
        <f>_xlfn.CONCAT(
IF(AI18,VLOOKUP(N18,_Chiller!$N:$T,4,FALSE),""),
IF(AJ18,VLOOKUP($O$1,_Chiller!$N:$T,4,FALSE),""),
IF(AK18,VLOOKUP($P$1,_Chiller!$N:$T,4,FALSE),""),
IF(AL18,VLOOKUP($Q$1,_Chiller!$N:$T,4,FALSE),""),
IF(AM18,VLOOKUP($R$1,_Chiller!$N:$T,4,FALSE),""))</f>
        <v/>
      </c>
      <c r="AB18" s="114" t="str">
        <f t="shared" si="10"/>
        <v>from MSSB Power Supply</v>
      </c>
      <c r="AC18" s="114" t="e">
        <f t="shared" si="20"/>
        <v>#N/A</v>
      </c>
      <c r="AD18" s="114" t="str">
        <f t="shared" si="11"/>
        <v>0.1 - This includes supply and install of power and controls.</v>
      </c>
      <c r="AE18" s="114" t="e">
        <f>_xlfn.CONCAT(W18,".2 - Power for system includes: CB and cabling to ",VLOOKUP(M18,_Chiller!$A$18:$D$22,4,FALSE)," from MSSB, and local isolator,")</f>
        <v>#N/A</v>
      </c>
      <c r="AF18" s="114" t="str">
        <f t="shared" si="19"/>
        <v xml:space="preserve">0.3 - Controls for system includes: { CONTROLS FOR: 0}, { CONTROLS FOR: 0}, </v>
      </c>
      <c r="AG18" s="114" t="str">
        <f>_xlfn.CONCAT(VLOOKUP(M18,_Chiller!AF:AG,2,FALSE),
IF(AI18,VLOOKUP(N18,_Chiller!AF:AG,2,FALSE),""),
IF(AJ18,VLOOKUP($AJ$1,_Chiller!AF:AG,2,FALSE),""),
IF(AK18,VLOOKUP($AK$1,_Chiller!AF:AG,2,FALSE),""),
IF(AL18,VLOOKUP($AL$1,_Chiller!AF:AG,2,FALSE),""),
IF(AM18,VLOOKUP($AM$1,_Chiller!AF:AG,2,FALSE),""),
IF(AN18,VLOOKUP($AN$1,_Chiller!AF:AG,2,FALSE),""),
IF(AO18,VLOOKUP($AO$1,_Chiller!AF:AG,2,FALSE),""),
IF(AP18,VLOOKUP($AP$1,_Chiller!AF:AG,2,FALSE),""),
)</f>
        <v xml:space="preserve">{ CONTROLS FOR: 0}, { CONTROLS FOR: 0}, </v>
      </c>
      <c r="AI18" s="114" t="b">
        <f t="shared" si="12"/>
        <v>1</v>
      </c>
      <c r="AJ18" s="114" t="b">
        <f t="shared" si="13"/>
        <v>0</v>
      </c>
      <c r="AK18" s="114" t="b">
        <f t="shared" si="14"/>
        <v>0</v>
      </c>
      <c r="AL18" s="114" t="b">
        <f t="shared" si="15"/>
        <v>0</v>
      </c>
      <c r="AM18" s="114" t="b">
        <v>0</v>
      </c>
      <c r="AN18" s="114" t="b">
        <f t="shared" si="16"/>
        <v>0</v>
      </c>
      <c r="AO18" s="114" t="b">
        <f t="shared" si="17"/>
        <v>0</v>
      </c>
      <c r="AP18" s="114" t="b">
        <f t="shared" si="18"/>
        <v>0</v>
      </c>
      <c r="AS18" s="114" t="e">
        <f>_xlfn.CONCAT(VLOOKUP(M18,_Chiller!$A$18:$D$22,2,FALSE),Z18,AA18)</f>
        <v>#N/A</v>
      </c>
    </row>
    <row r="19" spans="1:45" x14ac:dyDescent="0.4">
      <c r="A19" s="429" t="str">
        <f t="shared" si="1"/>
        <v>INVALID</v>
      </c>
      <c r="B19" s="430" t="str">
        <f t="shared" si="5"/>
        <v>CH 18</v>
      </c>
      <c r="C19" s="431">
        <f t="shared" si="6"/>
        <v>0</v>
      </c>
      <c r="D19" s="430">
        <f t="shared" si="7"/>
        <v>0</v>
      </c>
      <c r="E19" s="430"/>
      <c r="F19" s="430">
        <f t="shared" si="8"/>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678</v>
      </c>
      <c r="M19" s="430"/>
      <c r="N19" s="430"/>
      <c r="O19" s="430"/>
      <c r="P19" s="430"/>
      <c r="Q19" s="430"/>
      <c r="R19" s="430"/>
      <c r="S19" s="430"/>
      <c r="T19" s="430"/>
      <c r="U19" s="430"/>
      <c r="V19" s="432" t="str">
        <f t="shared" si="21"/>
        <v/>
      </c>
      <c r="W19" s="114">
        <f t="shared" si="3"/>
        <v>0</v>
      </c>
      <c r="X19" s="114" t="str">
        <f>_xlfn.CONCAT(E19," (",VLOOKUP(E19,[1]Backend!C:D,2,FALSE),")")</f>
        <v xml:space="preserve"> (Zero)</v>
      </c>
      <c r="Y19" s="114" t="e">
        <f>_xlfn.CONCAT(W19," - Electrical power supply and controls to ",X19,VLOOKUP(M19,_Chiller!$A$18:$D$22,2,FALSE))</f>
        <v>#N/A</v>
      </c>
      <c r="Z19" s="114" t="str">
        <f t="shared" si="9"/>
        <v xml:space="preserve"> with: </v>
      </c>
      <c r="AA19" s="114" t="str">
        <f>_xlfn.CONCAT(
IF(AI19,VLOOKUP(N19,_Chiller!$N:$T,4,FALSE),""),
IF(AJ19,VLOOKUP($O$1,_Chiller!$N:$T,4,FALSE),""),
IF(AK19,VLOOKUP($P$1,_Chiller!$N:$T,4,FALSE),""),
IF(AL19,VLOOKUP($Q$1,_Chiller!$N:$T,4,FALSE),""),
IF(AM19,VLOOKUP($R$1,_Chiller!$N:$T,4,FALSE),""))</f>
        <v/>
      </c>
      <c r="AB19" s="114" t="str">
        <f t="shared" si="10"/>
        <v>from MSSB Power Supply</v>
      </c>
      <c r="AC19" s="114" t="e">
        <f t="shared" si="20"/>
        <v>#N/A</v>
      </c>
      <c r="AD19" s="114" t="str">
        <f t="shared" si="11"/>
        <v>0.1 - This includes supply and install of power and controls.</v>
      </c>
      <c r="AE19" s="114" t="e">
        <f>_xlfn.CONCAT(W19,".2 - Power for system includes: CB and cabling to ",VLOOKUP(M19,_Chiller!$A$18:$D$22,4,FALSE)," from MSSB, and local isolator,")</f>
        <v>#N/A</v>
      </c>
      <c r="AF19" s="114" t="str">
        <f t="shared" si="19"/>
        <v xml:space="preserve">0.3 - Controls for system includes: { CONTROLS FOR: 0}, { CONTROLS FOR: 0}, </v>
      </c>
      <c r="AG19" s="114" t="str">
        <f>_xlfn.CONCAT(VLOOKUP(M19,_Chiller!AF:AG,2,FALSE),
IF(AI19,VLOOKUP(N19,_Chiller!AF:AG,2,FALSE),""),
IF(AJ19,VLOOKUP($AJ$1,_Chiller!AF:AG,2,FALSE),""),
IF(AK19,VLOOKUP($AK$1,_Chiller!AF:AG,2,FALSE),""),
IF(AL19,VLOOKUP($AL$1,_Chiller!AF:AG,2,FALSE),""),
IF(AM19,VLOOKUP($AM$1,_Chiller!AF:AG,2,FALSE),""),
IF(AN19,VLOOKUP($AN$1,_Chiller!AF:AG,2,FALSE),""),
IF(AO19,VLOOKUP($AO$1,_Chiller!AF:AG,2,FALSE),""),
IF(AP19,VLOOKUP($AP$1,_Chiller!AF:AG,2,FALSE),""),
)</f>
        <v xml:space="preserve">{ CONTROLS FOR: 0}, { CONTROLS FOR: 0}, </v>
      </c>
      <c r="AI19" s="114" t="b">
        <f t="shared" si="12"/>
        <v>1</v>
      </c>
      <c r="AJ19" s="114" t="b">
        <f t="shared" si="13"/>
        <v>0</v>
      </c>
      <c r="AK19" s="114" t="b">
        <f t="shared" si="14"/>
        <v>0</v>
      </c>
      <c r="AL19" s="114" t="b">
        <f t="shared" si="15"/>
        <v>0</v>
      </c>
      <c r="AM19" s="114" t="b">
        <v>0</v>
      </c>
      <c r="AN19" s="114" t="b">
        <f t="shared" si="16"/>
        <v>0</v>
      </c>
      <c r="AO19" s="114" t="b">
        <f t="shared" si="17"/>
        <v>0</v>
      </c>
      <c r="AP19" s="114" t="b">
        <f t="shared" si="18"/>
        <v>0</v>
      </c>
      <c r="AS19" s="114" t="e">
        <f>_xlfn.CONCAT(VLOOKUP(M19,_Chiller!$A$18:$D$22,2,FALSE),Z19,AA19)</f>
        <v>#N/A</v>
      </c>
    </row>
    <row r="20" spans="1:45" x14ac:dyDescent="0.4">
      <c r="A20" s="429" t="str">
        <f t="shared" si="1"/>
        <v>INVALID</v>
      </c>
      <c r="B20" s="430" t="str">
        <f t="shared" si="5"/>
        <v>CH 19</v>
      </c>
      <c r="C20" s="431">
        <f t="shared" si="6"/>
        <v>0</v>
      </c>
      <c r="D20" s="430">
        <f t="shared" si="7"/>
        <v>0</v>
      </c>
      <c r="E20" s="430"/>
      <c r="F20" s="430">
        <f t="shared" si="8"/>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678</v>
      </c>
      <c r="M20" s="430"/>
      <c r="N20" s="430"/>
      <c r="O20" s="430"/>
      <c r="P20" s="430"/>
      <c r="Q20" s="430"/>
      <c r="R20" s="430"/>
      <c r="S20" s="430"/>
      <c r="T20" s="430"/>
      <c r="U20" s="430"/>
      <c r="V20" s="432" t="str">
        <f t="shared" si="21"/>
        <v/>
      </c>
      <c r="W20" s="114">
        <f t="shared" si="3"/>
        <v>0</v>
      </c>
      <c r="X20" s="114" t="str">
        <f>_xlfn.CONCAT(E20," (",VLOOKUP(E20,[1]Backend!C:D,2,FALSE),")")</f>
        <v xml:space="preserve"> (Zero)</v>
      </c>
      <c r="Y20" s="114" t="e">
        <f>_xlfn.CONCAT(W20," - Electrical power supply and controls to ",X20,VLOOKUP(M20,_Chiller!$A$18:$D$22,2,FALSE))</f>
        <v>#N/A</v>
      </c>
      <c r="Z20" s="114" t="str">
        <f t="shared" si="9"/>
        <v xml:space="preserve"> with: </v>
      </c>
      <c r="AA20" s="114" t="str">
        <f>_xlfn.CONCAT(
IF(AI20,VLOOKUP(N20,_Chiller!$N:$T,4,FALSE),""),
IF(AJ20,VLOOKUP($O$1,_Chiller!$N:$T,4,FALSE),""),
IF(AK20,VLOOKUP($P$1,_Chiller!$N:$T,4,FALSE),""),
IF(AL20,VLOOKUP($Q$1,_Chiller!$N:$T,4,FALSE),""),
IF(AM20,VLOOKUP($R$1,_Chiller!$N:$T,4,FALSE),""))</f>
        <v/>
      </c>
      <c r="AB20" s="114" t="str">
        <f t="shared" si="10"/>
        <v>from MSSB Power Supply</v>
      </c>
      <c r="AC20" s="114" t="e">
        <f t="shared" si="20"/>
        <v>#N/A</v>
      </c>
      <c r="AD20" s="114" t="str">
        <f t="shared" si="11"/>
        <v>0.1 - This includes supply and install of power and controls.</v>
      </c>
      <c r="AE20" s="114" t="e">
        <f>_xlfn.CONCAT(W20,".2 - Power for system includes: CB and cabling to ",VLOOKUP(M20,_Chiller!$A$18:$D$22,4,FALSE)," from MSSB, and local isolator,")</f>
        <v>#N/A</v>
      </c>
      <c r="AF20" s="114" t="str">
        <f t="shared" si="19"/>
        <v xml:space="preserve">0.3 - Controls for system includes: { CONTROLS FOR: 0}, { CONTROLS FOR: 0}, </v>
      </c>
      <c r="AG20" s="114" t="str">
        <f>_xlfn.CONCAT(VLOOKUP(M20,_Chiller!AF:AG,2,FALSE),
IF(AI20,VLOOKUP(N20,_Chiller!AF:AG,2,FALSE),""),
IF(AJ20,VLOOKUP($AJ$1,_Chiller!AF:AG,2,FALSE),""),
IF(AK20,VLOOKUP($AK$1,_Chiller!AF:AG,2,FALSE),""),
IF(AL20,VLOOKUP($AL$1,_Chiller!AF:AG,2,FALSE),""),
IF(AM20,VLOOKUP($AM$1,_Chiller!AF:AG,2,FALSE),""),
IF(AN20,VLOOKUP($AN$1,_Chiller!AF:AG,2,FALSE),""),
IF(AO20,VLOOKUP($AO$1,_Chiller!AF:AG,2,FALSE),""),
IF(AP20,VLOOKUP($AP$1,_Chiller!AF:AG,2,FALSE),""),
)</f>
        <v xml:space="preserve">{ CONTROLS FOR: 0}, { CONTROLS FOR: 0}, </v>
      </c>
      <c r="AI20" s="114" t="b">
        <f t="shared" si="12"/>
        <v>1</v>
      </c>
      <c r="AJ20" s="114" t="b">
        <f t="shared" si="13"/>
        <v>0</v>
      </c>
      <c r="AK20" s="114" t="b">
        <f t="shared" si="14"/>
        <v>0</v>
      </c>
      <c r="AL20" s="114" t="b">
        <f t="shared" si="15"/>
        <v>0</v>
      </c>
      <c r="AM20" s="114" t="b">
        <v>0</v>
      </c>
      <c r="AN20" s="114" t="b">
        <f t="shared" si="16"/>
        <v>0</v>
      </c>
      <c r="AO20" s="114" t="b">
        <f t="shared" si="17"/>
        <v>0</v>
      </c>
      <c r="AP20" s="114" t="b">
        <f t="shared" si="18"/>
        <v>0</v>
      </c>
      <c r="AS20" s="114" t="e">
        <f>_xlfn.CONCAT(VLOOKUP(M20,_Chiller!$A$18:$D$22,2,FALSE),Z20,AA20)</f>
        <v>#N/A</v>
      </c>
    </row>
    <row r="21" spans="1:45" x14ac:dyDescent="0.4">
      <c r="A21" s="429" t="str">
        <f t="shared" si="1"/>
        <v>INVALID</v>
      </c>
      <c r="B21" s="430" t="str">
        <f t="shared" si="5"/>
        <v>CH 20</v>
      </c>
      <c r="C21" s="431">
        <f t="shared" si="6"/>
        <v>0</v>
      </c>
      <c r="D21" s="430">
        <f t="shared" si="7"/>
        <v>0</v>
      </c>
      <c r="E21" s="430"/>
      <c r="F21" s="430">
        <f t="shared" si="8"/>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678</v>
      </c>
      <c r="M21" s="430"/>
      <c r="N21" s="430"/>
      <c r="O21" s="430"/>
      <c r="P21" s="430"/>
      <c r="Q21" s="430"/>
      <c r="R21" s="430"/>
      <c r="S21" s="430"/>
      <c r="T21" s="430"/>
      <c r="U21" s="430"/>
      <c r="V21" s="432" t="str">
        <f t="shared" si="21"/>
        <v/>
      </c>
      <c r="W21" s="114">
        <f t="shared" si="3"/>
        <v>0</v>
      </c>
      <c r="X21" s="114" t="str">
        <f>_xlfn.CONCAT(E21," (",VLOOKUP(E21,[1]Backend!C:D,2,FALSE),")")</f>
        <v xml:space="preserve"> (Zero)</v>
      </c>
      <c r="Y21" s="114" t="e">
        <f>_xlfn.CONCAT(W21," - Electrical power supply and controls to ",X21,VLOOKUP(M21,_Chiller!$A$18:$D$22,2,FALSE))</f>
        <v>#N/A</v>
      </c>
      <c r="Z21" s="114" t="str">
        <f t="shared" si="9"/>
        <v xml:space="preserve"> with: </v>
      </c>
      <c r="AA21" s="114" t="str">
        <f>_xlfn.CONCAT(
IF(AI21,VLOOKUP(N21,_Chiller!$N:$T,4,FALSE),""),
IF(AJ21,VLOOKUP($O$1,_Chiller!$N:$T,4,FALSE),""),
IF(AK21,VLOOKUP($P$1,_Chiller!$N:$T,4,FALSE),""),
IF(AL21,VLOOKUP($Q$1,_Chiller!$N:$T,4,FALSE),""),
IF(AM21,VLOOKUP($R$1,_Chiller!$N:$T,4,FALSE),""))</f>
        <v/>
      </c>
      <c r="AB21" s="114" t="str">
        <f t="shared" si="10"/>
        <v>from MSSB Power Supply</v>
      </c>
      <c r="AC21" s="114" t="e">
        <f t="shared" si="20"/>
        <v>#N/A</v>
      </c>
      <c r="AD21" s="114" t="str">
        <f t="shared" si="11"/>
        <v>0.1 - This includes supply and install of power and controls.</v>
      </c>
      <c r="AE21" s="114" t="e">
        <f>_xlfn.CONCAT(W21,".2 - Power for system includes: CB and cabling to ",VLOOKUP(M21,_Chiller!$A$18:$D$22,4,FALSE)," from MSSB, and local isolator,")</f>
        <v>#N/A</v>
      </c>
      <c r="AF21" s="114" t="str">
        <f t="shared" si="19"/>
        <v xml:space="preserve">0.3 - Controls for system includes: { CONTROLS FOR: 0}, { CONTROLS FOR: 0}, </v>
      </c>
      <c r="AG21" s="114" t="str">
        <f>_xlfn.CONCAT(VLOOKUP(M21,_Chiller!AF:AG,2,FALSE),
IF(AI21,VLOOKUP(N21,_Chiller!AF:AG,2,FALSE),""),
IF(AJ21,VLOOKUP($AJ$1,_Chiller!AF:AG,2,FALSE),""),
IF(AK21,VLOOKUP($AK$1,_Chiller!AF:AG,2,FALSE),""),
IF(AL21,VLOOKUP($AL$1,_Chiller!AF:AG,2,FALSE),""),
IF(AM21,VLOOKUP($AM$1,_Chiller!AF:AG,2,FALSE),""),
IF(AN21,VLOOKUP($AN$1,_Chiller!AF:AG,2,FALSE),""),
IF(AO21,VLOOKUP($AO$1,_Chiller!AF:AG,2,FALSE),""),
IF(AP21,VLOOKUP($AP$1,_Chiller!AF:AG,2,FALSE),""),
)</f>
        <v xml:space="preserve">{ CONTROLS FOR: 0}, { CONTROLS FOR: 0}, </v>
      </c>
      <c r="AI21" s="114" t="b">
        <f t="shared" si="12"/>
        <v>1</v>
      </c>
      <c r="AJ21" s="114" t="b">
        <f t="shared" si="13"/>
        <v>0</v>
      </c>
      <c r="AK21" s="114" t="b">
        <f t="shared" si="14"/>
        <v>0</v>
      </c>
      <c r="AL21" s="114" t="b">
        <f t="shared" si="15"/>
        <v>0</v>
      </c>
      <c r="AM21" s="114" t="b">
        <v>0</v>
      </c>
      <c r="AN21" s="114" t="b">
        <f t="shared" si="16"/>
        <v>0</v>
      </c>
      <c r="AO21" s="114" t="b">
        <f t="shared" si="17"/>
        <v>0</v>
      </c>
      <c r="AP21" s="114" t="b">
        <f t="shared" si="18"/>
        <v>0</v>
      </c>
      <c r="AS21" s="114" t="e">
        <f>_xlfn.CONCAT(VLOOKUP(M21,_Chiller!$A$18:$D$22,2,FALSE),Z21,AA21)</f>
        <v>#N/A</v>
      </c>
    </row>
    <row r="22" spans="1:45" x14ac:dyDescent="0.4">
      <c r="A22" s="429" t="str">
        <f t="shared" si="1"/>
        <v>INVALID</v>
      </c>
      <c r="B22" s="430" t="str">
        <f t="shared" si="5"/>
        <v>CH 21</v>
      </c>
      <c r="C22" s="431">
        <f t="shared" si="6"/>
        <v>0</v>
      </c>
      <c r="D22" s="430">
        <f t="shared" si="7"/>
        <v>0</v>
      </c>
      <c r="E22" s="430"/>
      <c r="F22" s="430">
        <f t="shared" si="8"/>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678</v>
      </c>
      <c r="M22" s="430"/>
      <c r="N22" s="430"/>
      <c r="O22" s="430"/>
      <c r="P22" s="430"/>
      <c r="Q22" s="430"/>
      <c r="R22" s="430"/>
      <c r="S22" s="430"/>
      <c r="T22" s="430"/>
      <c r="U22" s="430"/>
      <c r="V22" s="432" t="str">
        <f t="shared" si="21"/>
        <v/>
      </c>
      <c r="W22" s="114">
        <f t="shared" si="3"/>
        <v>0</v>
      </c>
      <c r="X22" s="114" t="str">
        <f>_xlfn.CONCAT(E22," (",VLOOKUP(E22,[1]Backend!C:D,2,FALSE),")")</f>
        <v xml:space="preserve"> (Zero)</v>
      </c>
      <c r="Y22" s="114" t="e">
        <f>_xlfn.CONCAT(W22," - Electrical power supply and controls to ",X22,VLOOKUP(M22,_Chiller!$A$18:$D$22,2,FALSE))</f>
        <v>#N/A</v>
      </c>
      <c r="Z22" s="114" t="str">
        <f t="shared" si="9"/>
        <v xml:space="preserve"> with: </v>
      </c>
      <c r="AA22" s="114" t="str">
        <f>_xlfn.CONCAT(
IF(AI22,VLOOKUP(N22,_Chiller!$N:$T,4,FALSE),""),
IF(AJ22,VLOOKUP($O$1,_Chiller!$N:$T,4,FALSE),""),
IF(AK22,VLOOKUP($P$1,_Chiller!$N:$T,4,FALSE),""),
IF(AL22,VLOOKUP($Q$1,_Chiller!$N:$T,4,FALSE),""),
IF(AM22,VLOOKUP($R$1,_Chiller!$N:$T,4,FALSE),""))</f>
        <v/>
      </c>
      <c r="AB22" s="114" t="str">
        <f t="shared" si="10"/>
        <v>from MSSB Power Supply</v>
      </c>
      <c r="AC22" s="114" t="e">
        <f t="shared" si="20"/>
        <v>#N/A</v>
      </c>
      <c r="AD22" s="114" t="str">
        <f t="shared" si="11"/>
        <v>0.1 - This includes supply and install of power and controls.</v>
      </c>
      <c r="AE22" s="114" t="e">
        <f>_xlfn.CONCAT(W22,".2 - Power for system includes: CB and cabling to ",VLOOKUP(M22,_Chiller!$A$18:$D$22,4,FALSE)," from MSSB, and local isolator,")</f>
        <v>#N/A</v>
      </c>
      <c r="AF22" s="114" t="str">
        <f t="shared" si="19"/>
        <v xml:space="preserve">0.3 - Controls for system includes: { CONTROLS FOR: 0}, { CONTROLS FOR: 0}, </v>
      </c>
      <c r="AG22" s="114" t="str">
        <f>_xlfn.CONCAT(VLOOKUP(M22,_Chiller!AF:AG,2,FALSE),
IF(AI22,VLOOKUP(N22,_Chiller!AF:AG,2,FALSE),""),
IF(AJ22,VLOOKUP($AJ$1,_Chiller!AF:AG,2,FALSE),""),
IF(AK22,VLOOKUP($AK$1,_Chiller!AF:AG,2,FALSE),""),
IF(AL22,VLOOKUP($AL$1,_Chiller!AF:AG,2,FALSE),""),
IF(AM22,VLOOKUP($AM$1,_Chiller!AF:AG,2,FALSE),""),
IF(AN22,VLOOKUP($AN$1,_Chiller!AF:AG,2,FALSE),""),
IF(AO22,VLOOKUP($AO$1,_Chiller!AF:AG,2,FALSE),""),
IF(AP22,VLOOKUP($AP$1,_Chiller!AF:AG,2,FALSE),""),
)</f>
        <v xml:space="preserve">{ CONTROLS FOR: 0}, { CONTROLS FOR: 0}, </v>
      </c>
      <c r="AI22" s="114" t="b">
        <f t="shared" si="12"/>
        <v>1</v>
      </c>
      <c r="AJ22" s="114" t="b">
        <f t="shared" si="13"/>
        <v>0</v>
      </c>
      <c r="AK22" s="114" t="b">
        <f t="shared" si="14"/>
        <v>0</v>
      </c>
      <c r="AL22" s="114" t="b">
        <f t="shared" si="15"/>
        <v>0</v>
      </c>
      <c r="AM22" s="114" t="b">
        <v>0</v>
      </c>
      <c r="AN22" s="114" t="b">
        <f t="shared" si="16"/>
        <v>0</v>
      </c>
      <c r="AO22" s="114" t="b">
        <f t="shared" si="17"/>
        <v>0</v>
      </c>
      <c r="AP22" s="114" t="b">
        <f t="shared" si="18"/>
        <v>0</v>
      </c>
      <c r="AS22" s="114" t="e">
        <f>_xlfn.CONCAT(VLOOKUP(M22,_Chiller!$A$18:$D$22,2,FALSE),Z22,AA22)</f>
        <v>#N/A</v>
      </c>
    </row>
    <row r="23" spans="1:45" x14ac:dyDescent="0.4">
      <c r="B23" s="296"/>
      <c r="F23" s="430"/>
    </row>
    <row r="24" spans="1:45" x14ac:dyDescent="0.4">
      <c r="B24" s="296"/>
      <c r="F24" s="430"/>
    </row>
    <row r="25" spans="1:45" x14ac:dyDescent="0.4">
      <c r="B25" s="296"/>
    </row>
  </sheetData>
  <conditionalFormatting sqref="A2:A22">
    <cfRule type="cellIs" dxfId="353" priority="15" operator="equal">
      <formula>"INVALID"</formula>
    </cfRule>
    <cfRule type="cellIs" dxfId="352" priority="16" operator="equal">
      <formula>"VALID"</formula>
    </cfRule>
  </conditionalFormatting>
  <conditionalFormatting sqref="L3:U22">
    <cfRule type="cellIs" dxfId="351" priority="14" operator="equal">
      <formula>$ZO$2</formula>
    </cfRule>
  </conditionalFormatting>
  <conditionalFormatting sqref="AF1:AF1048576">
    <cfRule type="colorScale" priority="13">
      <colorScale>
        <cfvo type="min"/>
        <cfvo type="max"/>
        <color rgb="FF63BE7B"/>
        <color rgb="FFFCFCFF"/>
      </colorScale>
    </cfRule>
  </conditionalFormatting>
  <conditionalFormatting sqref="L2:U2">
    <cfRule type="cellIs" dxfId="350" priority="2" operator="equal">
      <formula>$ZO$2</formula>
    </cfRule>
  </conditionalFormatting>
  <conditionalFormatting sqref="M2:U2">
    <cfRule type="cellIs" dxfId="349"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J2:J22" xr:uid="{00000000-0002-0000-0C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1000000}">
          <x14:formula1>
            <xm:f>'C:\Users\Samuel\Desktop\[18-0010 - Gallipoli Barracks - MechElec - 2.3.xlsx]_Chiller'!#REF!</xm:f>
          </x14:formula1>
          <xm:sqref>M2:U2</xm:sqref>
        </x14:dataValidation>
        <x14:dataValidation type="list" allowBlank="1" showInputMessage="1" showErrorMessage="1" xr:uid="{00000000-0002-0000-0C00-000002000000}">
          <x14:formula1>
            <xm:f>'C:\Users\Samuel\Desktop\[18-0010 - Gallipoli Barracks - MechElec - 2.3.xlsx]_Fan'!#REF!</xm:f>
          </x14:formula1>
          <xm:sqref>L2</xm:sqref>
        </x14:dataValidation>
        <x14:dataValidation type="list" allowBlank="1" showInputMessage="1" showErrorMessage="1" xr:uid="{00000000-0002-0000-0C00-000003000000}">
          <x14:formula1>
            <xm:f>_Fan!A$2:A$3</xm:f>
          </x14:formula1>
          <xm:sqref>L3:L22</xm:sqref>
        </x14:dataValidation>
        <x14:dataValidation type="list" allowBlank="1" showInputMessage="1" showErrorMessage="1" xr:uid="{00000000-0002-0000-0C00-000004000000}">
          <x14:formula1>
            <xm:f>_Chiller!B$2:B$6</xm:f>
          </x14:formula1>
          <xm:sqref>M3:U22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8"/>
  <sheetViews>
    <sheetView topLeftCell="Q1" workbookViewId="0">
      <selection activeCell="D26" sqref="D26"/>
    </sheetView>
  </sheetViews>
  <sheetFormatPr defaultColWidth="9.23046875" defaultRowHeight="14.6" x14ac:dyDescent="0.4"/>
  <cols>
    <col min="1" max="3" width="12.23046875" style="114" customWidth="1"/>
    <col min="4" max="4" width="29.84375" style="114" customWidth="1"/>
    <col min="5" max="10" width="12.23046875" style="114" customWidth="1"/>
    <col min="11" max="13" width="9.23046875" style="114"/>
    <col min="14" max="14" width="27.765625" style="114" customWidth="1"/>
    <col min="15" max="17" width="9.23046875" style="114"/>
    <col min="18" max="18" width="21.3046875" style="114" customWidth="1"/>
    <col min="19" max="19" width="28.07421875" style="114" customWidth="1"/>
    <col min="20" max="20" width="40.84375" style="114" customWidth="1"/>
    <col min="21" max="16384" width="9.23046875" style="114"/>
  </cols>
  <sheetData>
    <row r="1" spans="1:33" s="418" customFormat="1" ht="29.15" x14ac:dyDescent="0.4">
      <c r="A1" s="418" t="s">
        <v>676</v>
      </c>
      <c r="B1" s="418" t="str">
        <f>'@Chiller'!M1</f>
        <v>Type</v>
      </c>
      <c r="C1" s="418" t="str">
        <f>'@Chiller'!N1</f>
        <v>Size</v>
      </c>
      <c r="D1" s="418" t="str">
        <f>'@Chiller'!O1</f>
        <v>Dual Fan [CW AHU]</v>
      </c>
      <c r="E1" s="418" t="str">
        <f>'@Chiller'!P1</f>
        <v>Fire Ess. [CW AHU]</v>
      </c>
      <c r="F1" s="418" t="str">
        <f>'@Chiller'!Q1</f>
        <v>DOL
[PUMP]</v>
      </c>
      <c r="G1" s="418" t="str">
        <f>'@Chiller'!R1</f>
        <v>Precision Cooling</v>
      </c>
      <c r="H1" s="418" t="str">
        <f>'@Chiller'!S1</f>
        <v>Run On Timer</v>
      </c>
      <c r="I1" s="418" t="str">
        <f>'@Chiller'!T1</f>
        <v>Push Button</v>
      </c>
      <c r="J1" s="418" t="str">
        <f>'@Chiller'!U1</f>
        <v>Run Status Light</v>
      </c>
      <c r="N1" s="418" t="s">
        <v>994</v>
      </c>
      <c r="O1" s="418" t="s">
        <v>995</v>
      </c>
      <c r="P1" s="418" t="s">
        <v>996</v>
      </c>
      <c r="AG1" s="418" t="s">
        <v>1327</v>
      </c>
    </row>
    <row r="2" spans="1:33" x14ac:dyDescent="0.4">
      <c r="A2" s="114" t="s">
        <v>990</v>
      </c>
      <c r="B2" s="114" t="s">
        <v>1299</v>
      </c>
      <c r="C2" s="114" t="s">
        <v>1303</v>
      </c>
      <c r="D2" s="114" t="s">
        <v>885</v>
      </c>
      <c r="E2" s="114" t="s">
        <v>885</v>
      </c>
      <c r="F2" s="114" t="s">
        <v>885</v>
      </c>
      <c r="G2" s="114" t="s">
        <v>885</v>
      </c>
      <c r="H2" s="114" t="s">
        <v>885</v>
      </c>
      <c r="I2" s="114" t="s">
        <v>885</v>
      </c>
      <c r="J2" s="114" t="s">
        <v>885</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997</v>
      </c>
      <c r="R2" s="114" t="s">
        <v>253</v>
      </c>
      <c r="S2" s="114" t="s">
        <v>998</v>
      </c>
      <c r="T2" s="114" t="s">
        <v>268</v>
      </c>
      <c r="U2" s="114" t="s">
        <v>999</v>
      </c>
      <c r="V2" s="114" t="s">
        <v>1000</v>
      </c>
      <c r="AF2" s="114" t="str">
        <f>N2</f>
        <v>Local</v>
      </c>
    </row>
    <row r="3" spans="1:33" x14ac:dyDescent="0.4">
      <c r="A3" s="114" t="s">
        <v>678</v>
      </c>
      <c r="B3" s="114" t="s">
        <v>1298</v>
      </c>
      <c r="C3" s="114" t="s">
        <v>1304</v>
      </c>
      <c r="D3" s="114" t="s">
        <v>886</v>
      </c>
      <c r="E3" s="114" t="s">
        <v>886</v>
      </c>
      <c r="F3" s="114" t="s">
        <v>886</v>
      </c>
      <c r="G3" s="114" t="s">
        <v>886</v>
      </c>
      <c r="H3" s="114" t="s">
        <v>886</v>
      </c>
      <c r="I3" s="114" t="s">
        <v>886</v>
      </c>
      <c r="J3" s="114" t="s">
        <v>886</v>
      </c>
      <c r="R3" s="114">
        <v>1</v>
      </c>
      <c r="S3" s="114">
        <v>1</v>
      </c>
      <c r="T3" s="114" t="s">
        <v>1001</v>
      </c>
      <c r="U3" s="114">
        <v>1</v>
      </c>
      <c r="V3" s="114">
        <v>1</v>
      </c>
    </row>
    <row r="4" spans="1:33" x14ac:dyDescent="0.4">
      <c r="B4" s="114" t="s">
        <v>1300</v>
      </c>
      <c r="C4" s="114" t="s">
        <v>1305</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1034</v>
      </c>
      <c r="R4" s="114" t="s">
        <v>253</v>
      </c>
      <c r="S4" s="114" t="s">
        <v>998</v>
      </c>
      <c r="T4" s="114" t="s">
        <v>268</v>
      </c>
      <c r="U4" s="114" t="s">
        <v>304</v>
      </c>
      <c r="V4" s="114" t="s">
        <v>1344</v>
      </c>
      <c r="W4" s="114" t="s">
        <v>1003</v>
      </c>
      <c r="X4" s="114" t="s">
        <v>1004</v>
      </c>
      <c r="Y4" s="114" t="s">
        <v>1000</v>
      </c>
      <c r="AF4" s="114" t="str">
        <f t="shared" ref="AF4:AF38" si="0">N4</f>
        <v>MSSB</v>
      </c>
    </row>
    <row r="5" spans="1:33" x14ac:dyDescent="0.4">
      <c r="B5" s="114" t="s">
        <v>1301</v>
      </c>
      <c r="C5" s="480" t="s">
        <v>886</v>
      </c>
      <c r="R5" s="114">
        <v>1</v>
      </c>
      <c r="S5" s="114">
        <v>1</v>
      </c>
      <c r="T5" s="114" t="s">
        <v>1001</v>
      </c>
      <c r="U5" s="114">
        <v>1</v>
      </c>
      <c r="V5" s="114">
        <v>1</v>
      </c>
      <c r="W5" s="114">
        <v>1</v>
      </c>
      <c r="X5" s="114">
        <v>1</v>
      </c>
      <c r="Y5" s="114">
        <v>1</v>
      </c>
      <c r="Z5" s="114">
        <v>1</v>
      </c>
    </row>
    <row r="6" spans="1:33" x14ac:dyDescent="0.4">
      <c r="B6" s="114" t="s">
        <v>1302</v>
      </c>
      <c r="N6" s="114" t="s">
        <v>1302</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1039</v>
      </c>
      <c r="S6" s="114" t="s">
        <v>1040</v>
      </c>
      <c r="T6" s="114" t="s">
        <v>1004</v>
      </c>
      <c r="U6" s="114" t="s">
        <v>476</v>
      </c>
      <c r="V6" s="114" t="s">
        <v>477</v>
      </c>
      <c r="W6" s="114" t="s">
        <v>1344</v>
      </c>
      <c r="X6" s="114" t="s">
        <v>1003</v>
      </c>
      <c r="Y6" s="114" t="s">
        <v>322</v>
      </c>
      <c r="Z6" s="441" t="s">
        <v>269</v>
      </c>
      <c r="AA6" s="114" t="s">
        <v>267</v>
      </c>
      <c r="AF6" s="114" t="str">
        <f t="shared" si="0"/>
        <v>EDH</v>
      </c>
      <c r="AG6" s="114" t="str">
        <f>_xlfn.CONCAT(T6,", ",U6,", ",V6,", ",W6,", ",X6,", ",Y6,", ",Z6,", ",AA6,", ")</f>
        <v xml:space="preserve">Traffolyte Labelling, SSR (3 phase), HPT, Contactors &amp; Overloads, Run &amp; Fault LEDs, Interface for fire trade fan control, 7030 2 pair TCAS7302P, 4mm Cable 3 core and Earth, </v>
      </c>
    </row>
    <row r="7" spans="1:33" x14ac:dyDescent="0.4">
      <c r="Q7" s="114" t="str">
        <f t="shared" ref="Q7:Q28" si="1">IF(N7=M7,"",_xlfn.CONCAT("[",N7,"]"))</f>
        <v/>
      </c>
      <c r="R7" s="114">
        <v>1</v>
      </c>
      <c r="S7" s="114">
        <v>1</v>
      </c>
      <c r="T7" s="114">
        <v>1</v>
      </c>
      <c r="U7" s="114">
        <v>1</v>
      </c>
      <c r="V7" s="114">
        <v>1</v>
      </c>
      <c r="W7" s="114">
        <v>1</v>
      </c>
      <c r="X7" s="114">
        <v>2</v>
      </c>
      <c r="Y7" s="114">
        <v>1</v>
      </c>
      <c r="Z7" s="114" t="s">
        <v>1001</v>
      </c>
      <c r="AA7" s="114" t="s">
        <v>1001</v>
      </c>
    </row>
    <row r="8" spans="1:33" x14ac:dyDescent="0.4">
      <c r="N8" s="114" t="s">
        <v>1299</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1"/>
        <v>[Chilled Water FCU]</v>
      </c>
      <c r="R8" s="114" t="s">
        <v>1039</v>
      </c>
      <c r="S8" s="114" t="s">
        <v>1040</v>
      </c>
      <c r="T8" s="114" t="s">
        <v>304</v>
      </c>
      <c r="U8" s="114" t="s">
        <v>1344</v>
      </c>
      <c r="V8" s="114" t="s">
        <v>1003</v>
      </c>
      <c r="W8" s="114" t="s">
        <v>1004</v>
      </c>
      <c r="X8" s="114" t="s">
        <v>1253</v>
      </c>
      <c r="Y8" s="114" t="s">
        <v>322</v>
      </c>
      <c r="Z8" s="114" t="s">
        <v>278</v>
      </c>
      <c r="AA8" s="114" t="s">
        <v>267</v>
      </c>
      <c r="AF8" s="114" t="str">
        <f t="shared" si="0"/>
        <v>Chilled Water FCU</v>
      </c>
      <c r="AG8" s="114" t="str">
        <f>_xlfn.CONCAT(T8,", ",U8,", ",V8,", ",W8,", ",X8,", ",Y8,", ",Z8,", ",AA8,", ")</f>
        <v xml:space="preserve">Auto/Off/On switch, Contactors &amp; Overloads, Run &amp; Fault LEDs, Traffolyte Labelling, Air Pressure Switch, Interface for fire trade fan control, 003 Keyed Padlocks, 4mm Cable 3 core and Earth, </v>
      </c>
    </row>
    <row r="9" spans="1:33" x14ac:dyDescent="0.4">
      <c r="Q9" s="114" t="str">
        <f t="shared" si="1"/>
        <v/>
      </c>
      <c r="R9" s="114">
        <v>1</v>
      </c>
      <c r="S9" s="114">
        <v>1</v>
      </c>
      <c r="T9" s="114">
        <v>1</v>
      </c>
      <c r="U9" s="114">
        <v>1</v>
      </c>
      <c r="V9" s="114">
        <v>2</v>
      </c>
      <c r="W9" s="114">
        <v>1</v>
      </c>
      <c r="X9" s="114">
        <v>1</v>
      </c>
      <c r="Y9" s="114">
        <v>1</v>
      </c>
      <c r="Z9" s="114">
        <v>1</v>
      </c>
      <c r="AA9" s="114" t="s">
        <v>1001</v>
      </c>
      <c r="AB9" s="114" t="s">
        <v>1001</v>
      </c>
    </row>
    <row r="10" spans="1:33" x14ac:dyDescent="0.4">
      <c r="N10" s="114" t="s">
        <v>1298</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1"/>
        <v>[Chilled Water AHU]</v>
      </c>
      <c r="R10" s="114" t="s">
        <v>1309</v>
      </c>
      <c r="S10" s="114" t="s">
        <v>1040</v>
      </c>
      <c r="T10" s="114" t="s">
        <v>304</v>
      </c>
      <c r="U10" s="114" t="s">
        <v>1344</v>
      </c>
      <c r="V10" s="114" t="s">
        <v>1003</v>
      </c>
      <c r="W10" s="114" t="s">
        <v>1004</v>
      </c>
      <c r="X10" s="114" t="s">
        <v>1253</v>
      </c>
      <c r="Y10" s="114" t="s">
        <v>322</v>
      </c>
      <c r="Z10" s="441" t="s">
        <v>269</v>
      </c>
      <c r="AA10" s="114" t="s">
        <v>267</v>
      </c>
      <c r="AF10" s="114" t="str">
        <f t="shared" si="0"/>
        <v>Chilled Water AHU</v>
      </c>
      <c r="AG10" s="114" t="str">
        <f>_xlfn.CONCAT(T10,", ",U10,", ",V10,", ",W10,", ",X10,", ",Y10,", ",Z10,", ",AA10,", ")</f>
        <v xml:space="preserve">Auto/Off/On switch, Contactors &amp; Overloads, Run &amp; Fault LEDs, Traffolyte Labelling, Air Pressure Switch, Interface for fire trade fan control, 7030 2 pair TCAS7302P, 4mm Cable 3 core and Earth, </v>
      </c>
    </row>
    <row r="11" spans="1:33" x14ac:dyDescent="0.4">
      <c r="Q11" s="114" t="str">
        <f t="shared" si="1"/>
        <v/>
      </c>
      <c r="S11" s="114">
        <v>1</v>
      </c>
      <c r="T11" s="114">
        <v>1</v>
      </c>
      <c r="U11" s="114">
        <v>1</v>
      </c>
      <c r="V11" s="114">
        <v>2</v>
      </c>
      <c r="W11" s="114">
        <v>1</v>
      </c>
      <c r="X11" s="114">
        <v>1</v>
      </c>
      <c r="Y11" s="114">
        <v>1</v>
      </c>
      <c r="Z11" s="441" t="s">
        <v>1001</v>
      </c>
      <c r="AA11" s="114" t="s">
        <v>1001</v>
      </c>
    </row>
    <row r="12" spans="1:33" x14ac:dyDescent="0.4">
      <c r="N12" s="114" t="s">
        <v>1300</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1"/>
        <v>[Air Cooled Chiller]</v>
      </c>
      <c r="S12" s="114" t="s">
        <v>1310</v>
      </c>
      <c r="AF12" s="114" t="str">
        <f t="shared" si="0"/>
        <v>Air Cooled Chiller</v>
      </c>
      <c r="AG12" s="114" t="s">
        <v>1343</v>
      </c>
    </row>
    <row r="13" spans="1:33" x14ac:dyDescent="0.4">
      <c r="Q13" s="114" t="str">
        <f t="shared" si="1"/>
        <v/>
      </c>
      <c r="S13" s="114">
        <v>1</v>
      </c>
    </row>
    <row r="14" spans="1:33" x14ac:dyDescent="0.4">
      <c r="A14" s="33" t="s">
        <v>974</v>
      </c>
      <c r="N14" s="114" t="s">
        <v>1301</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1"/>
        <v>[Pump]</v>
      </c>
      <c r="S14" s="114" t="s">
        <v>1040</v>
      </c>
      <c r="T14" s="114" t="s">
        <v>304</v>
      </c>
      <c r="U14" s="114" t="s">
        <v>1344</v>
      </c>
      <c r="V14" s="114" t="s">
        <v>1003</v>
      </c>
      <c r="W14" s="114" t="s">
        <v>1004</v>
      </c>
      <c r="X14" s="114" t="s">
        <v>268</v>
      </c>
      <c r="Y14" s="114" t="s">
        <v>418</v>
      </c>
      <c r="AF14" s="114" t="str">
        <f t="shared" si="0"/>
        <v>Pump</v>
      </c>
      <c r="AG14" s="114" t="str">
        <f>_xlfn.CONCAT(T14,", ",U14,", ",V14,", ",W14,", ",X14,", ",Y14,", ")</f>
        <v xml:space="preserve">Auto/Off/On switch, Contactors &amp; Overloads, Run &amp; Fault LEDs, Traffolyte Labelling, 2.5mm Twin and Earth, Switchboard Cable 1mm, </v>
      </c>
    </row>
    <row r="15" spans="1:33" x14ac:dyDescent="0.4">
      <c r="A15" s="114" t="s">
        <v>964</v>
      </c>
      <c r="B15" s="114" t="s">
        <v>976</v>
      </c>
      <c r="Q15" s="114" t="str">
        <f t="shared" si="1"/>
        <v/>
      </c>
      <c r="S15" s="114">
        <v>1</v>
      </c>
      <c r="T15" s="114">
        <v>1</v>
      </c>
      <c r="U15" s="114">
        <v>1</v>
      </c>
      <c r="V15" s="114">
        <v>2</v>
      </c>
      <c r="W15" s="114">
        <v>1</v>
      </c>
      <c r="X15" s="114" t="s">
        <v>1001</v>
      </c>
      <c r="Y15" s="114" t="s">
        <v>1001</v>
      </c>
    </row>
    <row r="16" spans="1:33" x14ac:dyDescent="0.4">
      <c r="A16" s="114" t="s">
        <v>977</v>
      </c>
      <c r="B16" s="114" t="s">
        <v>978</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1"/>
        <v>[Dual Fan [CW AHU]]</v>
      </c>
      <c r="AF16" s="114" t="str">
        <f t="shared" si="0"/>
        <v>Dual Fan [CW AHU]</v>
      </c>
    </row>
    <row r="17" spans="1:33" x14ac:dyDescent="0.4">
      <c r="Q17" s="114" t="str">
        <f t="shared" si="1"/>
        <v/>
      </c>
    </row>
    <row r="18" spans="1:33" x14ac:dyDescent="0.4">
      <c r="A18" s="114" t="s">
        <v>1299</v>
      </c>
      <c r="B18" s="114" t="s">
        <v>1321</v>
      </c>
      <c r="C18" s="114" t="s">
        <v>1313</v>
      </c>
      <c r="D18" s="114" t="s">
        <v>1311</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1"/>
        <v>[Fire Ess. [CW AHU]]</v>
      </c>
      <c r="R18" s="114" t="s">
        <v>325</v>
      </c>
      <c r="S18" s="114" t="s">
        <v>278</v>
      </c>
      <c r="AF18" s="114" t="str">
        <f t="shared" si="0"/>
        <v>Fire Ess. [CW AHU]</v>
      </c>
      <c r="AG18" s="114" t="str">
        <f>_xlfn.CONCAT(R18,", ",S18,", ")</f>
        <v xml:space="preserve">Spring return damper actuator, 003 Keyed Padlocks, </v>
      </c>
    </row>
    <row r="19" spans="1:33" x14ac:dyDescent="0.4">
      <c r="A19" s="114" t="s">
        <v>1298</v>
      </c>
      <c r="B19" s="114" t="s">
        <v>1322</v>
      </c>
      <c r="C19" s="114" t="s">
        <v>1314</v>
      </c>
      <c r="D19" s="114" t="s">
        <v>1312</v>
      </c>
      <c r="Q19" s="114" t="str">
        <f t="shared" si="1"/>
        <v/>
      </c>
      <c r="R19" s="114">
        <v>1</v>
      </c>
      <c r="S19" s="114">
        <v>1</v>
      </c>
    </row>
    <row r="20" spans="1:33" x14ac:dyDescent="0.4">
      <c r="A20" s="114" t="s">
        <v>1300</v>
      </c>
      <c r="B20" s="114" t="s">
        <v>1323</v>
      </c>
      <c r="C20" s="114" t="s">
        <v>1317</v>
      </c>
      <c r="D20" s="114" t="s">
        <v>1326</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1"/>
        <v>[DOL
[PUMP]]</v>
      </c>
      <c r="AF20" s="114" t="str">
        <f t="shared" si="0"/>
        <v>DOL
[PUMP]</v>
      </c>
    </row>
    <row r="21" spans="1:33" x14ac:dyDescent="0.4">
      <c r="A21" s="114" t="s">
        <v>1301</v>
      </c>
      <c r="B21" s="114" t="s">
        <v>1324</v>
      </c>
      <c r="C21" s="114" t="s">
        <v>1315</v>
      </c>
      <c r="D21" s="114" t="s">
        <v>1301</v>
      </c>
      <c r="Q21" s="114" t="str">
        <f t="shared" si="1"/>
        <v/>
      </c>
    </row>
    <row r="22" spans="1:33" x14ac:dyDescent="0.4">
      <c r="A22" s="114" t="s">
        <v>1302</v>
      </c>
      <c r="B22" s="114" t="s">
        <v>1325</v>
      </c>
      <c r="C22" s="114" t="s">
        <v>1316</v>
      </c>
      <c r="D22" s="114" t="s">
        <v>1302</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1"/>
        <v>[Precision Cooling]</v>
      </c>
      <c r="AF22" s="114" t="str">
        <f t="shared" si="0"/>
        <v>Precision Cooling</v>
      </c>
      <c r="AG22" s="114" t="str">
        <f t="shared" ref="AG22:AG38" si="2">_xlfn.CONCAT("{ CONTROLS FOR: ",AF22,"}, ")</f>
        <v xml:space="preserve">{ CONTROLS FOR: Precision Cooling}, </v>
      </c>
    </row>
    <row r="23" spans="1:33" x14ac:dyDescent="0.4">
      <c r="Q23" s="114" t="str">
        <f t="shared" si="1"/>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1"/>
        <v>[Small]</v>
      </c>
      <c r="R24" s="114" t="s">
        <v>1306</v>
      </c>
      <c r="S24" s="114" t="s">
        <v>1039</v>
      </c>
      <c r="AF24" s="114" t="str">
        <f t="shared" si="0"/>
        <v>Small</v>
      </c>
      <c r="AG24" s="114" t="str">
        <f>_xlfn.CONCAT(R24,", ",S24,", ")</f>
        <v xml:space="preserve">VSD Small (2k2), 3 Phase Isolator, </v>
      </c>
    </row>
    <row r="25" spans="1:33" x14ac:dyDescent="0.4">
      <c r="A25" s="114" t="s">
        <v>1303</v>
      </c>
      <c r="B25" s="114" t="s">
        <v>1318</v>
      </c>
      <c r="Q25" s="114" t="str">
        <f t="shared" si="1"/>
        <v/>
      </c>
      <c r="R25" s="114">
        <v>1</v>
      </c>
      <c r="S25" s="114">
        <v>1</v>
      </c>
    </row>
    <row r="26" spans="1:33" x14ac:dyDescent="0.4">
      <c r="A26" s="114" t="s">
        <v>1304</v>
      </c>
      <c r="B26" s="114" t="s">
        <v>1319</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1"/>
        <v>[Medium]</v>
      </c>
      <c r="R26" s="114" t="s">
        <v>1307</v>
      </c>
      <c r="S26" s="114" t="s">
        <v>1039</v>
      </c>
      <c r="AF26" s="114" t="str">
        <f t="shared" si="0"/>
        <v>Medium</v>
      </c>
      <c r="AG26" s="114" t="str">
        <f>_xlfn.CONCAT(R26,", ",S26,", ")</f>
        <v xml:space="preserve">VSD Medium (5k5), 3 Phase Isolator, </v>
      </c>
    </row>
    <row r="27" spans="1:33" x14ac:dyDescent="0.4">
      <c r="A27" s="114" t="s">
        <v>1305</v>
      </c>
      <c r="B27" s="114" t="s">
        <v>1320</v>
      </c>
      <c r="Q27" s="114" t="str">
        <f t="shared" si="1"/>
        <v/>
      </c>
      <c r="R27" s="114">
        <v>1</v>
      </c>
      <c r="S27" s="114">
        <v>1</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1"/>
        <v>[Large]</v>
      </c>
      <c r="R28" s="114" t="s">
        <v>1308</v>
      </c>
      <c r="S28" s="114" t="s">
        <v>1039</v>
      </c>
      <c r="AF28" s="114" t="str">
        <f t="shared" si="0"/>
        <v>Large</v>
      </c>
      <c r="AG28" s="114" t="str">
        <f>_xlfn.CONCAT(R28,", ",S28,", ")</f>
        <v xml:space="preserve">VSD Large (11k), 3 Phase Isolator, </v>
      </c>
    </row>
    <row r="29" spans="1:33" x14ac:dyDescent="0.4">
      <c r="R29" s="114">
        <v>1</v>
      </c>
      <c r="S29" s="114">
        <v>1</v>
      </c>
    </row>
    <row r="30" spans="1:33" x14ac:dyDescent="0.4">
      <c r="N30" s="114">
        <v>0</v>
      </c>
      <c r="O30" s="114">
        <v>0</v>
      </c>
      <c r="P30" s="114">
        <v>0</v>
      </c>
      <c r="AF30" s="114">
        <f t="shared" si="0"/>
        <v>0</v>
      </c>
      <c r="AG30" s="114" t="str">
        <f t="shared" si="2"/>
        <v xml:space="preserve">{ CONTROLS FOR: 0}, </v>
      </c>
    </row>
    <row r="31" spans="1:33" x14ac:dyDescent="0.4">
      <c r="AF31" s="114">
        <f t="shared" si="0"/>
        <v>0</v>
      </c>
    </row>
    <row r="32" spans="1:33" x14ac:dyDescent="0.4">
      <c r="N32" s="114" t="s">
        <v>986</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60</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1013</v>
      </c>
      <c r="R32" s="114" t="s">
        <v>986</v>
      </c>
      <c r="X32" s="117"/>
      <c r="Z32" s="135"/>
      <c r="AF32" s="114" t="str">
        <f t="shared" si="0"/>
        <v>Run On Timer</v>
      </c>
      <c r="AG32" s="114" t="str">
        <f>_xlfn.CONCAT(R32,", ",)</f>
        <v xml:space="preserve">Run On Timer, </v>
      </c>
    </row>
    <row r="33" spans="14:33" x14ac:dyDescent="0.4">
      <c r="R33" s="114">
        <v>1</v>
      </c>
      <c r="W33" s="117"/>
      <c r="X33" s="446"/>
      <c r="Y33" s="446"/>
      <c r="Z33" s="446"/>
      <c r="AA33" s="446"/>
      <c r="AB33" s="446"/>
      <c r="AF33" s="114">
        <f t="shared" si="0"/>
        <v>0</v>
      </c>
    </row>
    <row r="34" spans="14:33" x14ac:dyDescent="0.4">
      <c r="N34" s="114" t="s">
        <v>1023</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15.71</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0.5</v>
      </c>
      <c r="Q34" s="114" t="s">
        <v>1047</v>
      </c>
      <c r="R34" s="114" t="s">
        <v>268</v>
      </c>
      <c r="S34" s="114" t="s">
        <v>1023</v>
      </c>
      <c r="AF34" s="114" t="str">
        <f t="shared" si="0"/>
        <v>Push Button</v>
      </c>
      <c r="AG34" s="114" t="str">
        <f>_xlfn.CONCAT(R34,", ",S34,", ")</f>
        <v xml:space="preserve">2.5mm Twin and Earth, Push Button, </v>
      </c>
    </row>
    <row r="35" spans="14:33" x14ac:dyDescent="0.4">
      <c r="R35" s="114">
        <v>5</v>
      </c>
      <c r="S35" s="114">
        <v>1</v>
      </c>
      <c r="AF35" s="114">
        <f t="shared" si="0"/>
        <v>0</v>
      </c>
    </row>
    <row r="36" spans="14:33" x14ac:dyDescent="0.4">
      <c r="N36" s="114" t="s">
        <v>989</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20.25</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0.5</v>
      </c>
      <c r="Q36" s="114" t="s">
        <v>1016</v>
      </c>
      <c r="R36" s="114" t="s">
        <v>268</v>
      </c>
      <c r="S36" s="114" t="s">
        <v>989</v>
      </c>
      <c r="AA36" s="117"/>
      <c r="AB36" s="446"/>
      <c r="AE36" s="446"/>
      <c r="AF36" s="114" t="str">
        <f t="shared" si="0"/>
        <v>Run Status Light</v>
      </c>
      <c r="AG36" s="114" t="str">
        <f>_xlfn.CONCAT(R36,", ",S36,", ")</f>
        <v xml:space="preserve">2.5mm Twin and Earth, Run Status Light, </v>
      </c>
    </row>
    <row r="37" spans="14:33" x14ac:dyDescent="0.4">
      <c r="R37" s="114">
        <v>5</v>
      </c>
      <c r="S37" s="114">
        <v>1</v>
      </c>
      <c r="AF37" s="114">
        <f t="shared" si="0"/>
        <v>0</v>
      </c>
    </row>
    <row r="38" spans="14:33" x14ac:dyDescent="0.4">
      <c r="AF38" s="114">
        <f t="shared" si="0"/>
        <v>0</v>
      </c>
      <c r="AG38" s="114" t="str">
        <f t="shared" si="2"/>
        <v xml:space="preserve">{ CONTROLS FOR: 0}, </v>
      </c>
    </row>
  </sheetData>
  <conditionalFormatting sqref="W33:AB33">
    <cfRule type="expression" dxfId="348" priority="4">
      <formula>IF(ROW() = ROW(), TRUE, FALSE)</formula>
    </cfRule>
  </conditionalFormatting>
  <conditionalFormatting sqref="X32">
    <cfRule type="expression" dxfId="347" priority="3">
      <formula>IF(ROW() = ROW(), TRUE, FALSE)</formula>
    </cfRule>
  </conditionalFormatting>
  <conditionalFormatting sqref="AA36:AB36">
    <cfRule type="expression" dxfId="346" priority="2">
      <formula>IF(ROW() = ROW(), TRUE, FALSE)</formula>
    </cfRule>
  </conditionalFormatting>
  <conditionalFormatting sqref="AE36">
    <cfRule type="expression" dxfId="34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'Part List'!$A:$A</xm:f>
          </x14:formula1>
          <xm:sqref>Y4 H23:H25 R6 F23:F25 R12 R16:S16 S26 R14 S28 R22 R20:T20 R8 S24 R32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25"/>
  <sheetViews>
    <sheetView workbookViewId="0">
      <selection activeCell="J2" sqref="J2"/>
    </sheetView>
  </sheetViews>
  <sheetFormatPr defaultColWidth="9.23046875" defaultRowHeight="14.6" x14ac:dyDescent="0.4"/>
  <cols>
    <col min="1" max="1" width="7.69140625" style="422" bestFit="1" customWidth="1"/>
    <col min="2" max="2" width="10.07421875" style="114" bestFit="1" customWidth="1"/>
    <col min="3" max="3" width="13.69140625" style="423" bestFit="1" customWidth="1"/>
    <col min="4" max="4" width="6.23046875" style="114" bestFit="1" customWidth="1"/>
    <col min="5" max="5" width="4.07421875" style="114" bestFit="1" customWidth="1"/>
    <col min="6" max="6" width="4.07421875" style="114" customWidth="1"/>
    <col min="7" max="8" width="12.07421875" style="114" customWidth="1"/>
    <col min="9" max="10" width="13.3046875" style="114" customWidth="1"/>
    <col min="11" max="11" width="27.07421875" style="114" customWidth="1"/>
    <col min="12" max="12" width="19.69140625" style="114" customWidth="1"/>
    <col min="13" max="13" width="12.23046875" style="114" customWidth="1"/>
    <col min="14" max="14" width="12.3046875" style="424" hidden="1" customWidth="1"/>
    <col min="15" max="15" width="12.3046875" style="114" hidden="1" customWidth="1"/>
    <col min="16" max="16" width="16" style="114" hidden="1" customWidth="1"/>
    <col min="17" max="17" width="79.07421875" style="114" hidden="1" customWidth="1"/>
    <col min="18" max="18" width="9.23046875" style="114" hidden="1" customWidth="1"/>
    <col min="19" max="19" width="53.3046875" style="114" hidden="1" customWidth="1"/>
    <col min="20" max="20" width="28.304687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9140625" style="114" hidden="1" customWidth="1"/>
    <col min="26" max="31" width="9.23046875" style="114" hidden="1" customWidth="1"/>
    <col min="32" max="33" width="0" style="114" hidden="1" customWidth="1"/>
    <col min="34" max="16384" width="9.23046875" style="114"/>
  </cols>
  <sheetData>
    <row r="1" spans="1:31" s="299" customFormat="1" ht="29.15" x14ac:dyDescent="0.4">
      <c r="A1" s="425" t="s">
        <v>930</v>
      </c>
      <c r="B1" s="425" t="s">
        <v>931</v>
      </c>
      <c r="C1" s="426" t="s">
        <v>932</v>
      </c>
      <c r="D1" s="425" t="s">
        <v>933</v>
      </c>
      <c r="E1" s="425" t="s">
        <v>843</v>
      </c>
      <c r="F1" s="425"/>
      <c r="G1" s="427" t="s">
        <v>979</v>
      </c>
      <c r="H1" s="427" t="s">
        <v>980</v>
      </c>
      <c r="I1" s="425" t="s">
        <v>935</v>
      </c>
      <c r="J1" s="425" t="s">
        <v>936</v>
      </c>
      <c r="K1" s="427" t="s">
        <v>981</v>
      </c>
      <c r="L1" s="427" t="str">
        <f>_Other!B1</f>
        <v>Type</v>
      </c>
      <c r="M1" s="427" t="str">
        <f>_Other!C1</f>
        <v>Phase</v>
      </c>
      <c r="N1" s="428"/>
      <c r="O1" s="299">
        <f>MAX('@Chiller'!W:W)</f>
        <v>0</v>
      </c>
      <c r="AA1" s="299" t="str">
        <f>M1</f>
        <v>Phase</v>
      </c>
      <c r="AB1" s="299" t="str">
        <f>L1</f>
        <v>Type</v>
      </c>
    </row>
    <row r="2" spans="1:31"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 t="shared" ref="N2:N22" si="0">IF(A2="VALID",_xlfn.CONCAT("
",U2,"
",REPT(" ",8),V2,"
",REPT(" ",8),W2,"
",REPT(" ", 8),X2, "
"),"")</f>
        <v/>
      </c>
      <c r="O2" s="114">
        <f t="shared" ref="O2:O22" si="1"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IF((COUNTIF(AA2:AC2,TRUE) &gt; 0)," with: "," ")</f>
        <v xml:space="preserve"> with: </v>
      </c>
      <c r="S2" s="114" t="str">
        <f>_xlfn.CONCAT(
IF(AA2,VLOOKUP(M2,_Other!$N:$T,4,FALSE),""),
IF(AB2,VLOOKUP(L2,_Other!$N:$T,4,FALSE),""))</f>
        <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c r="AE2" s="114" t="str">
        <f>_xlfn.CONCAT(IF(L2="Make Safe &amp; Disconnect",_xlfn.CONCAT(O2," - ",VLOOKUP(L2,_Other!$A$18:$D$22,2,FALSE), " for ",P2," ",M2, " phase units")),R2,S2)</f>
        <v xml:space="preserve">FALSE with: </v>
      </c>
    </row>
    <row r="3" spans="1:31" x14ac:dyDescent="0.4">
      <c r="A3" s="429" t="str">
        <f t="shared" ref="A3:A22" si="2">IF(NOT(OR((K3="N/A"),(K3="INVALID"))),IF(COUNTBLANK(L3:M3)=0,"VALID","INVALID"),"INVALID")</f>
        <v>INVALID</v>
      </c>
      <c r="B3" s="430" t="str">
        <f t="shared" ref="B3:B22" si="3">_xlfn.CONCAT("Other ",(ROW()-1))</f>
        <v>Other 2</v>
      </c>
      <c r="C3" s="431">
        <f t="shared" ref="C3:C22" si="4">IFERROR(E3*I3,0)</f>
        <v>0</v>
      </c>
      <c r="D3" s="430">
        <f t="shared" ref="D3:D22" si="5">IFERROR(IF(ISBLANK(G3),J3*E3,G3*E3),0)</f>
        <v>0</v>
      </c>
      <c r="E3" s="430"/>
      <c r="F3" s="430">
        <f t="shared" ref="F3:F22" si="6">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 t="shared" si="0"/>
        <v/>
      </c>
      <c r="O3" s="114">
        <f t="shared" si="1"/>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7">IF((COUNTIF(AA3:AC3,TRUE) &gt; 0)," with: "," ")</f>
        <v xml:space="preserve"> with: </v>
      </c>
      <c r="S3" s="114" t="str">
        <f>_xlfn.CONCAT(
IF(AA3,VLOOKUP(M3,_Other!$N:$T,4,FALSE),""),
IF(AB3,VLOOKUP(L3,_Other!$N:$T,4,FALSE),""))</f>
        <v/>
      </c>
      <c r="T3" s="114" t="str">
        <f t="shared" ref="T3:T22" si="8">IF(L3="Make Safe &amp; Disconnect","",_xlfn.CONCAT("from ","MSSB", " Power Supply"))</f>
        <v>from MSSB Power Supply</v>
      </c>
      <c r="U3" s="114" t="e">
        <f>_xlfn.CONCAT(Q3,R3,S3,T3)</f>
        <v>#N/A</v>
      </c>
      <c r="V3" s="114" t="str">
        <f t="shared" ref="V3:V22" si="9">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10">AND(L3="Make Safe &amp; Disconnect",NOT(M3="No"))</f>
        <v>0</v>
      </c>
      <c r="AB3" s="114" t="b">
        <f t="shared" ref="AB3:AB22" si="11">NOT(L3="Make Safe &amp; Disconnect")</f>
        <v>1</v>
      </c>
      <c r="AE3" s="114" t="str">
        <f>_xlfn.CONCAT(IF(L3="Make Safe &amp; Disconnect",_xlfn.CONCAT(O3," - ",VLOOKUP(L3,_Other!$A$18:$D$22,2,FALSE), " for ",P3," ",M3, " phase units")),R3,S3)</f>
        <v xml:space="preserve">FALSE with: </v>
      </c>
    </row>
    <row r="4" spans="1:31" x14ac:dyDescent="0.4">
      <c r="A4" s="429" t="str">
        <f t="shared" si="2"/>
        <v>INVALID</v>
      </c>
      <c r="B4" s="430" t="str">
        <f t="shared" si="3"/>
        <v>Other 3</v>
      </c>
      <c r="C4" s="431">
        <f t="shared" si="4"/>
        <v>0</v>
      </c>
      <c r="D4" s="430">
        <f t="shared" si="5"/>
        <v>0</v>
      </c>
      <c r="E4" s="430"/>
      <c r="F4" s="430">
        <f t="shared" si="6"/>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 t="shared" si="0"/>
        <v/>
      </c>
      <c r="O4" s="114">
        <f t="shared" si="1"/>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7"/>
        <v xml:space="preserve"> with: </v>
      </c>
      <c r="S4" s="114" t="str">
        <f>_xlfn.CONCAT(
IF(AA4,VLOOKUP(M4,_Other!$N:$T,4,FALSE),""),
IF(AB4,VLOOKUP(L4,_Other!$N:$T,4,FALSE),""))</f>
        <v/>
      </c>
      <c r="T4" s="114" t="str">
        <f t="shared" si="8"/>
        <v>from MSSB Power Supply</v>
      </c>
      <c r="U4" s="114" t="e">
        <f>_xlfn.CONCAT(Q4,R4,S4,T4)</f>
        <v>#N/A</v>
      </c>
      <c r="V4" s="114" t="str">
        <f t="shared" si="9"/>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10"/>
        <v>0</v>
      </c>
      <c r="AB4" s="114" t="b">
        <f t="shared" si="11"/>
        <v>1</v>
      </c>
      <c r="AE4" s="114" t="str">
        <f>_xlfn.CONCAT(IF(L4="Make Safe &amp; Disconnect",_xlfn.CONCAT(O4," - ",VLOOKUP(L4,_Other!$A$18:$D$22,2,FALSE), " for ",P4," ",M4, " phase units")),R4,S4)</f>
        <v xml:space="preserve">FALSE with: </v>
      </c>
    </row>
    <row r="5" spans="1:31" x14ac:dyDescent="0.4">
      <c r="A5" s="429" t="str">
        <f t="shared" si="2"/>
        <v>INVALID</v>
      </c>
      <c r="B5" s="430" t="str">
        <f t="shared" si="3"/>
        <v>Other 4</v>
      </c>
      <c r="C5" s="431">
        <f t="shared" si="4"/>
        <v>0</v>
      </c>
      <c r="D5" s="430">
        <f t="shared" si="5"/>
        <v>0</v>
      </c>
      <c r="E5" s="430"/>
      <c r="F5" s="430">
        <f t="shared" si="6"/>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 t="shared" si="0"/>
        <v/>
      </c>
      <c r="O5" s="114">
        <f t="shared" si="1"/>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7"/>
        <v xml:space="preserve"> with: </v>
      </c>
      <c r="S5" s="114" t="str">
        <f>_xlfn.CONCAT(
IF(AA5,VLOOKUP(M5,_Other!$N:$T,4,FALSE),""),
IF(AB5,VLOOKUP(L5,_Other!$N:$T,4,FALSE),""))</f>
        <v/>
      </c>
      <c r="T5" s="114" t="str">
        <f t="shared" si="8"/>
        <v>from MSSB Power Supply</v>
      </c>
      <c r="U5" s="114" t="e">
        <f>_xlfn.CONCAT(Q5,R5,S5,T5)</f>
        <v>#N/A</v>
      </c>
      <c r="V5" s="114" t="str">
        <f t="shared" si="9"/>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10"/>
        <v>0</v>
      </c>
      <c r="AB5" s="114" t="b">
        <f t="shared" si="11"/>
        <v>1</v>
      </c>
      <c r="AE5" s="114" t="str">
        <f>_xlfn.CONCAT(IF(L5="Make Safe &amp; Disconnect",_xlfn.CONCAT(O5," - ",VLOOKUP(L5,_Other!$A$18:$D$22,2,FALSE), " for ",P5," ",M5, " phase units")),R5,S5)</f>
        <v xml:space="preserve">FALSE with: </v>
      </c>
    </row>
    <row r="6" spans="1:31" x14ac:dyDescent="0.4">
      <c r="A6" s="429" t="str">
        <f t="shared" si="2"/>
        <v>INVALID</v>
      </c>
      <c r="B6" s="430" t="str">
        <f t="shared" si="3"/>
        <v>Other 5</v>
      </c>
      <c r="C6" s="431">
        <f t="shared" si="4"/>
        <v>0</v>
      </c>
      <c r="D6" s="430">
        <f t="shared" si="5"/>
        <v>0</v>
      </c>
      <c r="E6" s="430"/>
      <c r="F6" s="430">
        <f t="shared" si="6"/>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 t="shared" si="0"/>
        <v/>
      </c>
      <c r="O6" s="114">
        <f t="shared" si="1"/>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7"/>
        <v xml:space="preserve"> with: </v>
      </c>
      <c r="S6" s="114" t="str">
        <f>_xlfn.CONCAT(
IF(AA6,VLOOKUP(M6,_Other!$N:$T,4,FALSE),""),
IF(AB6,VLOOKUP(L6,_Other!$N:$T,4,FALSE),""))</f>
        <v/>
      </c>
      <c r="T6" s="114" t="str">
        <f t="shared" si="8"/>
        <v>from MSSB Power Supply</v>
      </c>
      <c r="U6" s="114" t="e">
        <f t="shared" ref="U6:U22" si="12">_xlfn.CONCAT(Q6,R6,S6,T6)</f>
        <v>#N/A</v>
      </c>
      <c r="V6" s="114" t="str">
        <f t="shared" si="9"/>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10"/>
        <v>0</v>
      </c>
      <c r="AB6" s="114" t="b">
        <f t="shared" si="11"/>
        <v>1</v>
      </c>
      <c r="AE6" s="114" t="str">
        <f>_xlfn.CONCAT(IF(L6="Make Safe &amp; Disconnect",_xlfn.CONCAT(O6," - ",VLOOKUP(L6,_Other!$A$18:$D$22,2,FALSE), " for ",P6," ",M6, " phase units")),R6,S6)</f>
        <v xml:space="preserve">FALSE with: </v>
      </c>
    </row>
    <row r="7" spans="1:31" x14ac:dyDescent="0.4">
      <c r="A7" s="429" t="str">
        <f t="shared" si="2"/>
        <v>INVALID</v>
      </c>
      <c r="B7" s="430" t="str">
        <f t="shared" si="3"/>
        <v>Other 6</v>
      </c>
      <c r="C7" s="431">
        <f t="shared" si="4"/>
        <v>0</v>
      </c>
      <c r="D7" s="430">
        <f t="shared" si="5"/>
        <v>0</v>
      </c>
      <c r="E7" s="430"/>
      <c r="F7" s="430">
        <f t="shared" si="6"/>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 t="shared" si="0"/>
        <v/>
      </c>
      <c r="O7" s="114">
        <f t="shared" si="1"/>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7"/>
        <v xml:space="preserve"> with: </v>
      </c>
      <c r="S7" s="114" t="str">
        <f>_xlfn.CONCAT(
IF(AA7,VLOOKUP(M7,_Other!$N:$T,4,FALSE),""),
IF(AB7,VLOOKUP(L7,_Other!$N:$T,4,FALSE),""))</f>
        <v/>
      </c>
      <c r="T7" s="114" t="str">
        <f t="shared" si="8"/>
        <v>from MSSB Power Supply</v>
      </c>
      <c r="U7" s="114" t="e">
        <f t="shared" si="12"/>
        <v>#N/A</v>
      </c>
      <c r="V7" s="114" t="str">
        <f t="shared" si="9"/>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10"/>
        <v>0</v>
      </c>
      <c r="AB7" s="114" t="b">
        <f t="shared" si="11"/>
        <v>1</v>
      </c>
      <c r="AE7" s="114" t="str">
        <f>_xlfn.CONCAT(IF(L7="Make Safe &amp; Disconnect",_xlfn.CONCAT(O7," - ",VLOOKUP(L7,_Other!$A$18:$D$22,2,FALSE), " for ",P7," ",M7, " phase units")),R7,S7)</f>
        <v xml:space="preserve">FALSE with: </v>
      </c>
    </row>
    <row r="8" spans="1:31" x14ac:dyDescent="0.4">
      <c r="A8" s="429" t="str">
        <f t="shared" si="2"/>
        <v>INVALID</v>
      </c>
      <c r="B8" s="430" t="str">
        <f t="shared" si="3"/>
        <v>Other 7</v>
      </c>
      <c r="C8" s="431">
        <f t="shared" si="4"/>
        <v>0</v>
      </c>
      <c r="D8" s="430">
        <f t="shared" si="5"/>
        <v>0</v>
      </c>
      <c r="E8" s="430"/>
      <c r="F8" s="430">
        <f t="shared" si="6"/>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 t="shared" si="0"/>
        <v/>
      </c>
      <c r="O8" s="114">
        <f t="shared" si="1"/>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7"/>
        <v xml:space="preserve"> with: </v>
      </c>
      <c r="S8" s="114" t="str">
        <f>_xlfn.CONCAT(
IF(AA8,VLOOKUP(M8,_Other!$N:$T,4,FALSE),""),
IF(AB8,VLOOKUP(L8,_Other!$N:$T,4,FALSE),""))</f>
        <v/>
      </c>
      <c r="T8" s="114" t="str">
        <f t="shared" si="8"/>
        <v>from MSSB Power Supply</v>
      </c>
      <c r="U8" s="114" t="e">
        <f t="shared" si="12"/>
        <v>#N/A</v>
      </c>
      <c r="V8" s="114" t="str">
        <f t="shared" si="9"/>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10"/>
        <v>0</v>
      </c>
      <c r="AB8" s="114" t="b">
        <f t="shared" si="11"/>
        <v>1</v>
      </c>
      <c r="AE8" s="114" t="str">
        <f>_xlfn.CONCAT(IF(L8="Make Safe &amp; Disconnect",_xlfn.CONCAT(O8," - ",VLOOKUP(L8,_Other!$A$18:$D$22,2,FALSE), " for ",P8," ",M8, " phase units")),R8,S8)</f>
        <v xml:space="preserve">FALSE with: </v>
      </c>
    </row>
    <row r="9" spans="1:31" x14ac:dyDescent="0.4">
      <c r="A9" s="429" t="str">
        <f t="shared" si="2"/>
        <v>INVALID</v>
      </c>
      <c r="B9" s="430" t="str">
        <f t="shared" si="3"/>
        <v>Other 8</v>
      </c>
      <c r="C9" s="431">
        <f t="shared" si="4"/>
        <v>0</v>
      </c>
      <c r="D9" s="430">
        <f t="shared" si="5"/>
        <v>0</v>
      </c>
      <c r="E9" s="430"/>
      <c r="F9" s="430">
        <f t="shared" si="6"/>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 t="shared" si="0"/>
        <v/>
      </c>
      <c r="O9" s="114">
        <f t="shared" si="1"/>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7"/>
        <v xml:space="preserve"> with: </v>
      </c>
      <c r="S9" s="114" t="str">
        <f>_xlfn.CONCAT(
IF(AA9,VLOOKUP(M9,_Other!$N:$T,4,FALSE),""),
IF(AB9,VLOOKUP(L9,_Other!$N:$T,4,FALSE),""))</f>
        <v/>
      </c>
      <c r="T9" s="114" t="str">
        <f t="shared" si="8"/>
        <v>from MSSB Power Supply</v>
      </c>
      <c r="U9" s="114" t="e">
        <f t="shared" si="12"/>
        <v>#N/A</v>
      </c>
      <c r="V9" s="114" t="str">
        <f t="shared" si="9"/>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10"/>
        <v>0</v>
      </c>
      <c r="AB9" s="114" t="b">
        <f t="shared" si="11"/>
        <v>1</v>
      </c>
      <c r="AE9" s="114" t="str">
        <f>_xlfn.CONCAT(IF(L9="Make Safe &amp; Disconnect",_xlfn.CONCAT(O9," - ",VLOOKUP(L9,_Other!$A$18:$D$22,2,FALSE), " for ",P9," ",M9, " phase units")),R9,S9)</f>
        <v xml:space="preserve">FALSE with: </v>
      </c>
    </row>
    <row r="10" spans="1:31" x14ac:dyDescent="0.4">
      <c r="A10" s="429" t="str">
        <f t="shared" si="2"/>
        <v>INVALID</v>
      </c>
      <c r="B10" s="430" t="str">
        <f t="shared" si="3"/>
        <v>Other 9</v>
      </c>
      <c r="C10" s="431">
        <f t="shared" si="4"/>
        <v>0</v>
      </c>
      <c r="D10" s="430">
        <f t="shared" si="5"/>
        <v>0</v>
      </c>
      <c r="E10" s="430"/>
      <c r="F10" s="430">
        <f t="shared" si="6"/>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 t="shared" si="0"/>
        <v/>
      </c>
      <c r="O10" s="114">
        <f t="shared" si="1"/>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7"/>
        <v xml:space="preserve"> with: </v>
      </c>
      <c r="S10" s="114" t="str">
        <f>_xlfn.CONCAT(
IF(AA10,VLOOKUP(M10,_Other!$N:$T,4,FALSE),""),
IF(AB10,VLOOKUP(L10,_Other!$N:$T,4,FALSE),""))</f>
        <v/>
      </c>
      <c r="T10" s="114" t="str">
        <f t="shared" si="8"/>
        <v>from MSSB Power Supply</v>
      </c>
      <c r="U10" s="114" t="e">
        <f t="shared" si="12"/>
        <v>#N/A</v>
      </c>
      <c r="V10" s="114" t="str">
        <f t="shared" si="9"/>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10"/>
        <v>0</v>
      </c>
      <c r="AB10" s="114" t="b">
        <f t="shared" si="11"/>
        <v>1</v>
      </c>
      <c r="AE10" s="114" t="str">
        <f>_xlfn.CONCAT(IF(L10="Make Safe &amp; Disconnect",_xlfn.CONCAT(O10," - ",VLOOKUP(L10,_Other!$A$18:$D$22,2,FALSE), " for ",P10," ",M10, " phase units")),R10,S10)</f>
        <v xml:space="preserve">FALSE with: </v>
      </c>
    </row>
    <row r="11" spans="1:31" x14ac:dyDescent="0.4">
      <c r="A11" s="429" t="str">
        <f t="shared" si="2"/>
        <v>INVALID</v>
      </c>
      <c r="B11" s="430" t="str">
        <f t="shared" si="3"/>
        <v>Other 10</v>
      </c>
      <c r="C11" s="431">
        <f t="shared" si="4"/>
        <v>0</v>
      </c>
      <c r="D11" s="430">
        <f t="shared" si="5"/>
        <v>0</v>
      </c>
      <c r="E11" s="430"/>
      <c r="F11" s="430">
        <f t="shared" si="6"/>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 t="shared" si="0"/>
        <v/>
      </c>
      <c r="O11" s="114">
        <f t="shared" si="1"/>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7"/>
        <v xml:space="preserve"> with: </v>
      </c>
      <c r="S11" s="114" t="str">
        <f>_xlfn.CONCAT(
IF(AA11,VLOOKUP(M11,_Other!$N:$T,4,FALSE),""),
IF(AB11,VLOOKUP(L11,_Other!$N:$T,4,FALSE),""))</f>
        <v/>
      </c>
      <c r="T11" s="114" t="str">
        <f t="shared" si="8"/>
        <v>from MSSB Power Supply</v>
      </c>
      <c r="U11" s="114" t="e">
        <f t="shared" si="12"/>
        <v>#N/A</v>
      </c>
      <c r="V11" s="114" t="str">
        <f t="shared" si="9"/>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10"/>
        <v>0</v>
      </c>
      <c r="AB11" s="114" t="b">
        <f t="shared" si="11"/>
        <v>1</v>
      </c>
      <c r="AE11" s="114" t="str">
        <f>_xlfn.CONCAT(IF(L11="Make Safe &amp; Disconnect",_xlfn.CONCAT(O11," - ",VLOOKUP(L11,_Other!$A$18:$D$22,2,FALSE), " for ",P11," ",M11, " phase units")),R11,S11)</f>
        <v xml:space="preserve">FALSE with: </v>
      </c>
    </row>
    <row r="12" spans="1:31" x14ac:dyDescent="0.4">
      <c r="A12" s="429" t="str">
        <f t="shared" si="2"/>
        <v>INVALID</v>
      </c>
      <c r="B12" s="430" t="str">
        <f t="shared" si="3"/>
        <v>Other 11</v>
      </c>
      <c r="C12" s="431">
        <f t="shared" si="4"/>
        <v>0</v>
      </c>
      <c r="D12" s="430">
        <f t="shared" si="5"/>
        <v>0</v>
      </c>
      <c r="E12" s="430"/>
      <c r="F12" s="430">
        <f t="shared" si="6"/>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 t="shared" si="0"/>
        <v/>
      </c>
      <c r="O12" s="114">
        <f t="shared" si="1"/>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7"/>
        <v xml:space="preserve"> with: </v>
      </c>
      <c r="S12" s="114" t="str">
        <f>_xlfn.CONCAT(
IF(AA12,VLOOKUP(M12,_Other!$N:$T,4,FALSE),""),
IF(AB12,VLOOKUP(L12,_Other!$N:$T,4,FALSE),""))</f>
        <v/>
      </c>
      <c r="T12" s="114" t="str">
        <f t="shared" si="8"/>
        <v>from MSSB Power Supply</v>
      </c>
      <c r="U12" s="114" t="e">
        <f t="shared" si="12"/>
        <v>#N/A</v>
      </c>
      <c r="V12" s="114" t="str">
        <f t="shared" si="9"/>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10"/>
        <v>0</v>
      </c>
      <c r="AB12" s="114" t="b">
        <f t="shared" si="11"/>
        <v>1</v>
      </c>
      <c r="AE12" s="114" t="str">
        <f>_xlfn.CONCAT(IF(L12="Make Safe &amp; Disconnect",_xlfn.CONCAT(O12," - ",VLOOKUP(L12,_Other!$A$18:$D$22,2,FALSE), " for ",P12," ",M12, " phase units")),R12,S12)</f>
        <v xml:space="preserve">FALSE with: </v>
      </c>
    </row>
    <row r="13" spans="1:31" x14ac:dyDescent="0.4">
      <c r="A13" s="429" t="str">
        <f t="shared" si="2"/>
        <v>INVALID</v>
      </c>
      <c r="B13" s="430" t="str">
        <f t="shared" si="3"/>
        <v>Other 12</v>
      </c>
      <c r="C13" s="431">
        <f t="shared" si="4"/>
        <v>0</v>
      </c>
      <c r="D13" s="430">
        <f t="shared" si="5"/>
        <v>0</v>
      </c>
      <c r="E13" s="430"/>
      <c r="F13" s="430">
        <f t="shared" si="6"/>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 t="shared" si="0"/>
        <v/>
      </c>
      <c r="O13" s="114">
        <f t="shared" si="1"/>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7"/>
        <v xml:space="preserve"> with: </v>
      </c>
      <c r="S13" s="114" t="str">
        <f>_xlfn.CONCAT(
IF(AA13,VLOOKUP(M13,_Other!$N:$T,4,FALSE),""),
IF(AB13,VLOOKUP(L13,_Other!$N:$T,4,FALSE),""))</f>
        <v/>
      </c>
      <c r="T13" s="114" t="str">
        <f t="shared" si="8"/>
        <v>from MSSB Power Supply</v>
      </c>
      <c r="U13" s="114" t="e">
        <f t="shared" si="12"/>
        <v>#N/A</v>
      </c>
      <c r="V13" s="114" t="str">
        <f t="shared" si="9"/>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10"/>
        <v>0</v>
      </c>
      <c r="AB13" s="114" t="b">
        <f t="shared" si="11"/>
        <v>1</v>
      </c>
      <c r="AE13" s="114" t="str">
        <f>_xlfn.CONCAT(IF(L13="Make Safe &amp; Disconnect",_xlfn.CONCAT(O13," - ",VLOOKUP(L13,_Other!$A$18:$D$22,2,FALSE), " for ",P13," ",M13, " phase units")),R13,S13)</f>
        <v xml:space="preserve">FALSE with: </v>
      </c>
    </row>
    <row r="14" spans="1:31" x14ac:dyDescent="0.4">
      <c r="A14" s="429" t="str">
        <f t="shared" si="2"/>
        <v>INVALID</v>
      </c>
      <c r="B14" s="430" t="str">
        <f t="shared" si="3"/>
        <v>Other 13</v>
      </c>
      <c r="C14" s="431">
        <f t="shared" si="4"/>
        <v>0</v>
      </c>
      <c r="D14" s="430">
        <f t="shared" si="5"/>
        <v>0</v>
      </c>
      <c r="E14" s="430"/>
      <c r="F14" s="430">
        <f t="shared" si="6"/>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 t="shared" si="0"/>
        <v/>
      </c>
      <c r="O14" s="114">
        <f t="shared" si="1"/>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7"/>
        <v xml:space="preserve"> with: </v>
      </c>
      <c r="S14" s="114" t="str">
        <f>_xlfn.CONCAT(
IF(AA14,VLOOKUP(M14,_Other!$N:$T,4,FALSE),""),
IF(AB14,VLOOKUP(L14,_Other!$N:$T,4,FALSE),""))</f>
        <v/>
      </c>
      <c r="T14" s="114" t="str">
        <f t="shared" si="8"/>
        <v>from MSSB Power Supply</v>
      </c>
      <c r="U14" s="114" t="e">
        <f t="shared" si="12"/>
        <v>#N/A</v>
      </c>
      <c r="V14" s="114" t="str">
        <f t="shared" si="9"/>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10"/>
        <v>0</v>
      </c>
      <c r="AB14" s="114" t="b">
        <f t="shared" si="11"/>
        <v>1</v>
      </c>
      <c r="AE14" s="114" t="str">
        <f>_xlfn.CONCAT(IF(L14="Make Safe &amp; Disconnect",_xlfn.CONCAT(O14," - ",VLOOKUP(L14,_Other!$A$18:$D$22,2,FALSE), " for ",P14," ",M14, " phase units")),R14,S14)</f>
        <v xml:space="preserve">FALSE with: </v>
      </c>
    </row>
    <row r="15" spans="1:31" x14ac:dyDescent="0.4">
      <c r="A15" s="429" t="str">
        <f t="shared" si="2"/>
        <v>INVALID</v>
      </c>
      <c r="B15" s="430" t="str">
        <f t="shared" si="3"/>
        <v>Other 14</v>
      </c>
      <c r="C15" s="431">
        <f t="shared" si="4"/>
        <v>0</v>
      </c>
      <c r="D15" s="430">
        <f t="shared" si="5"/>
        <v>0</v>
      </c>
      <c r="E15" s="430"/>
      <c r="F15" s="430">
        <f t="shared" si="6"/>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 t="shared" si="0"/>
        <v/>
      </c>
      <c r="O15" s="114">
        <f t="shared" si="1"/>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7"/>
        <v xml:space="preserve"> with: </v>
      </c>
      <c r="S15" s="114" t="str">
        <f>_xlfn.CONCAT(
IF(AA15,VLOOKUP(M15,_Other!$N:$T,4,FALSE),""),
IF(AB15,VLOOKUP(L15,_Other!$N:$T,4,FALSE),""))</f>
        <v/>
      </c>
      <c r="T15" s="114" t="str">
        <f t="shared" si="8"/>
        <v>from MSSB Power Supply</v>
      </c>
      <c r="U15" s="114" t="e">
        <f t="shared" si="12"/>
        <v>#N/A</v>
      </c>
      <c r="V15" s="114" t="str">
        <f t="shared" si="9"/>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10"/>
        <v>0</v>
      </c>
      <c r="AB15" s="114" t="b">
        <f t="shared" si="11"/>
        <v>1</v>
      </c>
      <c r="AE15" s="114" t="str">
        <f>_xlfn.CONCAT(IF(L15="Make Safe &amp; Disconnect",_xlfn.CONCAT(O15," - ",VLOOKUP(L15,_Other!$A$18:$D$22,2,FALSE), " for ",P15," ",M15, " phase units")),R15,S15)</f>
        <v xml:space="preserve">FALSE with: </v>
      </c>
    </row>
    <row r="16" spans="1:31" x14ac:dyDescent="0.4">
      <c r="A16" s="429" t="str">
        <f t="shared" si="2"/>
        <v>INVALID</v>
      </c>
      <c r="B16" s="430" t="str">
        <f t="shared" si="3"/>
        <v>Other 15</v>
      </c>
      <c r="C16" s="431">
        <f t="shared" si="4"/>
        <v>0</v>
      </c>
      <c r="D16" s="430">
        <f t="shared" si="5"/>
        <v>0</v>
      </c>
      <c r="E16" s="430"/>
      <c r="F16" s="430">
        <f t="shared" si="6"/>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 t="shared" si="0"/>
        <v/>
      </c>
      <c r="O16" s="114">
        <f t="shared" si="1"/>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7"/>
        <v xml:space="preserve"> with: </v>
      </c>
      <c r="S16" s="114" t="str">
        <f>_xlfn.CONCAT(
IF(AA16,VLOOKUP(M16,_Other!$N:$T,4,FALSE),""),
IF(AB16,VLOOKUP(L16,_Other!$N:$T,4,FALSE),""))</f>
        <v/>
      </c>
      <c r="T16" s="114" t="str">
        <f t="shared" si="8"/>
        <v>from MSSB Power Supply</v>
      </c>
      <c r="U16" s="114" t="e">
        <f t="shared" si="12"/>
        <v>#N/A</v>
      </c>
      <c r="V16" s="114" t="str">
        <f t="shared" si="9"/>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10"/>
        <v>0</v>
      </c>
      <c r="AB16" s="114" t="b">
        <f t="shared" si="11"/>
        <v>1</v>
      </c>
      <c r="AE16" s="114" t="str">
        <f>_xlfn.CONCAT(IF(L16="Make Safe &amp; Disconnect",_xlfn.CONCAT(O16," - ",VLOOKUP(L16,_Other!$A$18:$D$22,2,FALSE), " for ",P16," ",M16, " phase units")),R16,S16)</f>
        <v xml:space="preserve">FALSE with: </v>
      </c>
    </row>
    <row r="17" spans="1:31" x14ac:dyDescent="0.4">
      <c r="A17" s="429" t="str">
        <f t="shared" si="2"/>
        <v>INVALID</v>
      </c>
      <c r="B17" s="430" t="str">
        <f t="shared" si="3"/>
        <v>Other 16</v>
      </c>
      <c r="C17" s="431">
        <f t="shared" si="4"/>
        <v>0</v>
      </c>
      <c r="D17" s="430">
        <f t="shared" si="5"/>
        <v>0</v>
      </c>
      <c r="E17" s="430"/>
      <c r="F17" s="430">
        <f t="shared" si="6"/>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 t="shared" si="0"/>
        <v/>
      </c>
      <c r="O17" s="114">
        <f t="shared" si="1"/>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7"/>
        <v xml:space="preserve"> with: </v>
      </c>
      <c r="S17" s="114" t="str">
        <f>_xlfn.CONCAT(
IF(AA17,VLOOKUP(M17,_Other!$N:$T,4,FALSE),""),
IF(AB17,VLOOKUP(L17,_Other!$N:$T,4,FALSE),""))</f>
        <v/>
      </c>
      <c r="T17" s="114" t="str">
        <f t="shared" si="8"/>
        <v>from MSSB Power Supply</v>
      </c>
      <c r="U17" s="114" t="e">
        <f t="shared" si="12"/>
        <v>#N/A</v>
      </c>
      <c r="V17" s="114" t="str">
        <f t="shared" si="9"/>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10"/>
        <v>0</v>
      </c>
      <c r="AB17" s="114" t="b">
        <f t="shared" si="11"/>
        <v>1</v>
      </c>
      <c r="AE17" s="114" t="str">
        <f>_xlfn.CONCAT(IF(L17="Make Safe &amp; Disconnect",_xlfn.CONCAT(O17," - ",VLOOKUP(L17,_Other!$A$18:$D$22,2,FALSE), " for ",P17," ",M17, " phase units")),R17,S17)</f>
        <v xml:space="preserve">FALSE with: </v>
      </c>
    </row>
    <row r="18" spans="1:31" x14ac:dyDescent="0.4">
      <c r="A18" s="429" t="str">
        <f t="shared" si="2"/>
        <v>INVALID</v>
      </c>
      <c r="B18" s="430" t="str">
        <f t="shared" si="3"/>
        <v>Other 17</v>
      </c>
      <c r="C18" s="431">
        <f t="shared" si="4"/>
        <v>0</v>
      </c>
      <c r="D18" s="430">
        <f t="shared" si="5"/>
        <v>0</v>
      </c>
      <c r="E18" s="430"/>
      <c r="F18" s="430">
        <f t="shared" si="6"/>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 t="shared" si="0"/>
        <v/>
      </c>
      <c r="O18" s="114">
        <f t="shared" si="1"/>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7"/>
        <v xml:space="preserve"> with: </v>
      </c>
      <c r="S18" s="114" t="str">
        <f>_xlfn.CONCAT(
IF(AA18,VLOOKUP(M18,_Other!$N:$T,4,FALSE),""),
IF(AB18,VLOOKUP(L18,_Other!$N:$T,4,FALSE),""))</f>
        <v/>
      </c>
      <c r="T18" s="114" t="str">
        <f t="shared" si="8"/>
        <v>from MSSB Power Supply</v>
      </c>
      <c r="U18" s="114" t="e">
        <f t="shared" si="12"/>
        <v>#N/A</v>
      </c>
      <c r="V18" s="114" t="str">
        <f t="shared" si="9"/>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10"/>
        <v>0</v>
      </c>
      <c r="AB18" s="114" t="b">
        <f t="shared" si="11"/>
        <v>1</v>
      </c>
      <c r="AE18" s="114" t="str">
        <f>_xlfn.CONCAT(IF(L18="Make Safe &amp; Disconnect",_xlfn.CONCAT(O18," - ",VLOOKUP(L18,_Other!$A$18:$D$22,2,FALSE), " for ",P18," ",M18, " phase units")),R18,S18)</f>
        <v xml:space="preserve">FALSE with: </v>
      </c>
    </row>
    <row r="19" spans="1:31" x14ac:dyDescent="0.4">
      <c r="A19" s="429" t="str">
        <f t="shared" si="2"/>
        <v>INVALID</v>
      </c>
      <c r="B19" s="430" t="str">
        <f t="shared" si="3"/>
        <v>Other 18</v>
      </c>
      <c r="C19" s="431">
        <f t="shared" si="4"/>
        <v>0</v>
      </c>
      <c r="D19" s="430">
        <f t="shared" si="5"/>
        <v>0</v>
      </c>
      <c r="E19" s="430"/>
      <c r="F19" s="430">
        <f t="shared" si="6"/>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 t="shared" si="0"/>
        <v/>
      </c>
      <c r="O19" s="114">
        <f t="shared" si="1"/>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7"/>
        <v xml:space="preserve"> with: </v>
      </c>
      <c r="S19" s="114" t="str">
        <f>_xlfn.CONCAT(
IF(AA19,VLOOKUP(M19,_Other!$N:$T,4,FALSE),""),
IF(AB19,VLOOKUP(L19,_Other!$N:$T,4,FALSE),""))</f>
        <v/>
      </c>
      <c r="T19" s="114" t="str">
        <f t="shared" si="8"/>
        <v>from MSSB Power Supply</v>
      </c>
      <c r="U19" s="114" t="e">
        <f t="shared" si="12"/>
        <v>#N/A</v>
      </c>
      <c r="V19" s="114" t="str">
        <f t="shared" si="9"/>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10"/>
        <v>0</v>
      </c>
      <c r="AB19" s="114" t="b">
        <f t="shared" si="11"/>
        <v>1</v>
      </c>
      <c r="AE19" s="114" t="str">
        <f>_xlfn.CONCAT(IF(L19="Make Safe &amp; Disconnect",_xlfn.CONCAT(O19," - ",VLOOKUP(L19,_Other!$A$18:$D$22,2,FALSE), " for ",P19," ",M19, " phase units")),R19,S19)</f>
        <v xml:space="preserve">FALSE with: </v>
      </c>
    </row>
    <row r="20" spans="1:31" x14ac:dyDescent="0.4">
      <c r="A20" s="429" t="str">
        <f t="shared" si="2"/>
        <v>INVALID</v>
      </c>
      <c r="B20" s="430" t="str">
        <f t="shared" si="3"/>
        <v>Other 19</v>
      </c>
      <c r="C20" s="431">
        <f t="shared" si="4"/>
        <v>0</v>
      </c>
      <c r="D20" s="430">
        <f t="shared" si="5"/>
        <v>0</v>
      </c>
      <c r="E20" s="430"/>
      <c r="F20" s="430">
        <f t="shared" si="6"/>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 t="shared" si="0"/>
        <v/>
      </c>
      <c r="O20" s="114">
        <f t="shared" si="1"/>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7"/>
        <v xml:space="preserve"> with: </v>
      </c>
      <c r="S20" s="114" t="str">
        <f>_xlfn.CONCAT(
IF(AA20,VLOOKUP(M20,_Other!$N:$T,4,FALSE),""),
IF(AB20,VLOOKUP(L20,_Other!$N:$T,4,FALSE),""))</f>
        <v/>
      </c>
      <c r="T20" s="114" t="str">
        <f t="shared" si="8"/>
        <v>from MSSB Power Supply</v>
      </c>
      <c r="U20" s="114" t="e">
        <f t="shared" si="12"/>
        <v>#N/A</v>
      </c>
      <c r="V20" s="114" t="str">
        <f t="shared" si="9"/>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10"/>
        <v>0</v>
      </c>
      <c r="AB20" s="114" t="b">
        <f t="shared" si="11"/>
        <v>1</v>
      </c>
      <c r="AE20" s="114" t="str">
        <f>_xlfn.CONCAT(IF(L20="Make Safe &amp; Disconnect",_xlfn.CONCAT(O20," - ",VLOOKUP(L20,_Other!$A$18:$D$22,2,FALSE), " for ",P20," ",M20, " phase units")),R20,S20)</f>
        <v xml:space="preserve">FALSE with: </v>
      </c>
    </row>
    <row r="21" spans="1:31" x14ac:dyDescent="0.4">
      <c r="A21" s="429" t="str">
        <f t="shared" si="2"/>
        <v>INVALID</v>
      </c>
      <c r="B21" s="430" t="str">
        <f t="shared" si="3"/>
        <v>Other 20</v>
      </c>
      <c r="C21" s="431">
        <f t="shared" si="4"/>
        <v>0</v>
      </c>
      <c r="D21" s="430">
        <f t="shared" si="5"/>
        <v>0</v>
      </c>
      <c r="E21" s="430"/>
      <c r="F21" s="430">
        <f t="shared" si="6"/>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 t="shared" si="0"/>
        <v/>
      </c>
      <c r="O21" s="114">
        <f t="shared" si="1"/>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7"/>
        <v xml:space="preserve"> with: </v>
      </c>
      <c r="S21" s="114" t="str">
        <f>_xlfn.CONCAT(
IF(AA21,VLOOKUP(M21,_Other!$N:$T,4,FALSE),""),
IF(AB21,VLOOKUP(L21,_Other!$N:$T,4,FALSE),""))</f>
        <v/>
      </c>
      <c r="T21" s="114" t="str">
        <f t="shared" si="8"/>
        <v>from MSSB Power Supply</v>
      </c>
      <c r="U21" s="114" t="e">
        <f t="shared" si="12"/>
        <v>#N/A</v>
      </c>
      <c r="V21" s="114" t="str">
        <f t="shared" si="9"/>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10"/>
        <v>0</v>
      </c>
      <c r="AB21" s="114" t="b">
        <f t="shared" si="11"/>
        <v>1</v>
      </c>
      <c r="AE21" s="114" t="str">
        <f>_xlfn.CONCAT(IF(L21="Make Safe &amp; Disconnect",_xlfn.CONCAT(O21," - ",VLOOKUP(L21,_Other!$A$18:$D$22,2,FALSE), " for ",P21," ",M21, " phase units")),R21,S21)</f>
        <v xml:space="preserve">FALSE with: </v>
      </c>
    </row>
    <row r="22" spans="1:31" x14ac:dyDescent="0.4">
      <c r="A22" s="429" t="str">
        <f t="shared" si="2"/>
        <v>INVALID</v>
      </c>
      <c r="B22" s="430" t="str">
        <f t="shared" si="3"/>
        <v>Other 21</v>
      </c>
      <c r="C22" s="431">
        <f t="shared" si="4"/>
        <v>0</v>
      </c>
      <c r="D22" s="430">
        <f t="shared" si="5"/>
        <v>0</v>
      </c>
      <c r="E22" s="430"/>
      <c r="F22" s="430">
        <f t="shared" si="6"/>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 t="shared" si="0"/>
        <v/>
      </c>
      <c r="O22" s="114">
        <f t="shared" si="1"/>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7"/>
        <v xml:space="preserve"> with: </v>
      </c>
      <c r="S22" s="114" t="str">
        <f>_xlfn.CONCAT(
IF(AA22,VLOOKUP(M22,_Other!$N:$T,4,FALSE),""),
IF(AB22,VLOOKUP(L22,_Other!$N:$T,4,FALSE),""))</f>
        <v/>
      </c>
      <c r="T22" s="114" t="str">
        <f t="shared" si="8"/>
        <v>from MSSB Power Supply</v>
      </c>
      <c r="U22" s="114" t="e">
        <f t="shared" si="12"/>
        <v>#N/A</v>
      </c>
      <c r="V22" s="114" t="str">
        <f t="shared" si="9"/>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10"/>
        <v>0</v>
      </c>
      <c r="AB22" s="114" t="b">
        <f t="shared" si="11"/>
        <v>1</v>
      </c>
      <c r="AE22" s="114" t="str">
        <f>_xlfn.CONCAT(IF(L22="Make Safe &amp; Disconnect",_xlfn.CONCAT(O22," - ",VLOOKUP(L22,_Other!$A$18:$D$22,2,FALSE), " for ",P22," ",M22, " phase units")),R22,S22)</f>
        <v xml:space="preserve">FALSE with: </v>
      </c>
    </row>
    <row r="23" spans="1:31" x14ac:dyDescent="0.4">
      <c r="B23" s="296"/>
      <c r="F23" s="430"/>
    </row>
    <row r="24" spans="1:31" x14ac:dyDescent="0.4">
      <c r="B24" s="296"/>
      <c r="F24" s="430"/>
    </row>
    <row r="25" spans="1:31" x14ac:dyDescent="0.4">
      <c r="B25" s="296"/>
    </row>
  </sheetData>
  <dataConsolidate/>
  <conditionalFormatting sqref="A2:A22">
    <cfRule type="cellIs" dxfId="344" priority="3" operator="equal">
      <formula>"INVALID"</formula>
    </cfRule>
    <cfRule type="cellIs" dxfId="343"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342"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E00-000000000000}">
          <x14:formula1>
            <xm:f>_Chiller!B$2:B$6</xm:f>
          </x14:formula1>
          <xm:sqref>L16:M22</xm:sqref>
        </x14:dataValidation>
        <x14:dataValidation type="list" allowBlank="1" showInputMessage="1" showErrorMessage="1" xr:uid="{00000000-0002-0000-0E00-000001000000}">
          <x14:formula1>
            <xm:f>_Other!B$2:B$6</xm:f>
          </x14:formula1>
          <xm:sqref>L2:M15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36"/>
  <sheetViews>
    <sheetView topLeftCell="A13" workbookViewId="0">
      <selection activeCell="D26" sqref="D26"/>
    </sheetView>
  </sheetViews>
  <sheetFormatPr defaultColWidth="9.23046875" defaultRowHeight="14.6" x14ac:dyDescent="0.4"/>
  <cols>
    <col min="1" max="3" width="12.23046875" style="114" customWidth="1"/>
    <col min="4" max="4" width="29.84375" style="114" customWidth="1"/>
    <col min="5" max="10" width="12.23046875" style="114" customWidth="1"/>
    <col min="11" max="13" width="9.23046875" style="114"/>
    <col min="14" max="14" width="27.765625" style="114" customWidth="1"/>
    <col min="15" max="17" width="9.23046875" style="114"/>
    <col min="18" max="18" width="21.304687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1333</v>
      </c>
      <c r="N1" s="418" t="s">
        <v>994</v>
      </c>
      <c r="O1" s="418" t="s">
        <v>995</v>
      </c>
      <c r="P1" s="418" t="s">
        <v>996</v>
      </c>
      <c r="AG1" s="418" t="s">
        <v>1327</v>
      </c>
    </row>
    <row r="2" spans="1:33" x14ac:dyDescent="0.4">
      <c r="B2" s="114" t="s">
        <v>1330</v>
      </c>
      <c r="C2" s="114" t="s">
        <v>886</v>
      </c>
      <c r="AF2" s="114">
        <f>N2</f>
        <v>0</v>
      </c>
      <c r="AG2" s="114" t="str">
        <f>_xlfn.CONCAT("{ CONTROLS FOR: ",AF2,"}, ")</f>
        <v xml:space="preserve">{ CONTROLS FOR: 0}, </v>
      </c>
    </row>
    <row r="3" spans="1:33" x14ac:dyDescent="0.4">
      <c r="B3" s="114" t="s">
        <v>1331</v>
      </c>
      <c r="C3" s="114" t="s">
        <v>1334</v>
      </c>
      <c r="AG3" s="114" t="str">
        <f t="shared" ref="AG3:AG30" si="0">_xlfn.CONCAT("{ CONTROLS FOR: ",AF3,"}, ")</f>
        <v xml:space="preserve">{ CONTROLS FOR: }, </v>
      </c>
    </row>
    <row r="4" spans="1:33" x14ac:dyDescent="0.4">
      <c r="B4" s="114" t="s">
        <v>1332</v>
      </c>
      <c r="C4" s="114" t="s">
        <v>1335</v>
      </c>
      <c r="AF4" s="114">
        <f t="shared" ref="AF4:AF30" si="1">N4</f>
        <v>0</v>
      </c>
      <c r="AG4" s="114" t="str">
        <f t="shared" si="0"/>
        <v xml:space="preserve">{ CONTROLS FOR: 0}, </v>
      </c>
    </row>
    <row r="5" spans="1:33" x14ac:dyDescent="0.4">
      <c r="C5" s="480"/>
      <c r="AG5" s="114" t="str">
        <f t="shared" si="0"/>
        <v xml:space="preserve">{ CONTROLS FOR: }, </v>
      </c>
    </row>
    <row r="6" spans="1:33" x14ac:dyDescent="0.4">
      <c r="Z6" s="441"/>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1"/>
      <c r="AF10" s="114">
        <f t="shared" si="1"/>
        <v>0</v>
      </c>
      <c r="AG10" s="114" t="str">
        <f t="shared" si="0"/>
        <v xml:space="preserve">{ CONTROLS FOR: 0}, </v>
      </c>
    </row>
    <row r="11" spans="1:33" x14ac:dyDescent="0.4">
      <c r="Z11" s="441"/>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974</v>
      </c>
      <c r="AF14" s="114">
        <f t="shared" si="1"/>
        <v>0</v>
      </c>
      <c r="AG14" s="114" t="str">
        <f t="shared" si="0"/>
        <v xml:space="preserve">{ CONTROLS FOR: 0}, </v>
      </c>
    </row>
    <row r="15" spans="1:33" x14ac:dyDescent="0.4">
      <c r="A15" s="114" t="s">
        <v>964</v>
      </c>
      <c r="B15" s="114" t="s">
        <v>976</v>
      </c>
      <c r="AG15" s="114" t="str">
        <f t="shared" si="0"/>
        <v xml:space="preserve">{ CONTROLS FOR: }, </v>
      </c>
    </row>
    <row r="16" spans="1:33" x14ac:dyDescent="0.4">
      <c r="A16" s="114" t="s">
        <v>977</v>
      </c>
      <c r="B16" s="114" t="s">
        <v>978</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1339</v>
      </c>
      <c r="C18" s="114" t="s">
        <v>1336</v>
      </c>
      <c r="AF18" s="114">
        <f t="shared" si="1"/>
        <v>0</v>
      </c>
      <c r="AG18" s="114" t="str">
        <f t="shared" si="0"/>
        <v xml:space="preserve">{ CONTROLS FOR: 0}, </v>
      </c>
    </row>
    <row r="19" spans="1:33" x14ac:dyDescent="0.4">
      <c r="A19" s="114" t="str">
        <f t="shared" ref="A19:A20" si="2">B3</f>
        <v>Smoke Damper</v>
      </c>
      <c r="B19" s="114" t="s">
        <v>1340</v>
      </c>
      <c r="C19" s="114" t="s">
        <v>1337</v>
      </c>
      <c r="AG19" s="114" t="str">
        <f t="shared" si="0"/>
        <v xml:space="preserve">{ CONTROLS FOR: }, </v>
      </c>
    </row>
    <row r="20" spans="1:33" x14ac:dyDescent="0.4">
      <c r="A20" s="114" t="str">
        <f t="shared" si="2"/>
        <v>Make Safe &amp; Disconnect</v>
      </c>
      <c r="B20" s="114" t="s">
        <v>1341</v>
      </c>
      <c r="C20" s="114" t="s">
        <v>1338</v>
      </c>
      <c r="N20" s="114" t="s">
        <v>1330</v>
      </c>
      <c r="O20" s="114">
        <v>99999</v>
      </c>
      <c r="P20" s="114">
        <v>99999</v>
      </c>
      <c r="Q20" s="114" t="str">
        <f t="shared" ref="Q20:Q28" si="3">IF(N20=M20,"",_xlfn.CONCAT("[",N20,"]"))</f>
        <v>[Motorised Damper]</v>
      </c>
      <c r="AF20" s="114" t="str">
        <f t="shared" si="1"/>
        <v>Motorised Damper</v>
      </c>
      <c r="AG20" s="114" t="str">
        <f t="shared" si="0"/>
        <v xml:space="preserve">{ CONTROLS FOR: Motorised Damper}, </v>
      </c>
    </row>
    <row r="21" spans="1:33" x14ac:dyDescent="0.4">
      <c r="A21" s="114" t="s">
        <v>1334</v>
      </c>
      <c r="C21" s="114">
        <v>1</v>
      </c>
      <c r="AG21" s="114" t="str">
        <f t="shared" si="0"/>
        <v xml:space="preserve">{ CONTROLS FOR: }, </v>
      </c>
    </row>
    <row r="22" spans="1:33" x14ac:dyDescent="0.4">
      <c r="A22" s="114" t="s">
        <v>1335</v>
      </c>
      <c r="C22" s="114">
        <v>3</v>
      </c>
      <c r="N22" s="114" t="s">
        <v>1331</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886</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6"/>
      <c r="Y33" s="446"/>
      <c r="Z33" s="446"/>
      <c r="AA33" s="446"/>
      <c r="AB33" s="446"/>
    </row>
    <row r="36" spans="23:31" x14ac:dyDescent="0.4">
      <c r="AA36" s="117"/>
      <c r="AB36" s="446"/>
      <c r="AE36" s="446"/>
    </row>
  </sheetData>
  <conditionalFormatting sqref="W33:AB33">
    <cfRule type="expression" dxfId="341" priority="4">
      <formula>IF(ROW() = ROW(), TRUE, FALSE)</formula>
    </cfRule>
  </conditionalFormatting>
  <conditionalFormatting sqref="X32">
    <cfRule type="expression" dxfId="340" priority="3">
      <formula>IF(ROW() = ROW(), TRUE, FALSE)</formula>
    </cfRule>
  </conditionalFormatting>
  <conditionalFormatting sqref="AA36:AB36">
    <cfRule type="expression" dxfId="339" priority="2">
      <formula>IF(ROW() = ROW(), TRUE, FALSE)</formula>
    </cfRule>
  </conditionalFormatting>
  <conditionalFormatting sqref="AE36">
    <cfRule type="expression" dxfId="338"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'Part List'!$A:$A</xm:f>
          </x14:formula1>
          <xm:sqref>Y4 H23:H25 R6 F23:F25 R12 R16:S16 S26 R14 S28 R22 R20:T20 R8 S24 R18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39"/>
  <sheetViews>
    <sheetView workbookViewId="0">
      <pane ySplit="1" topLeftCell="A8" activePane="bottomLeft" state="frozen"/>
      <selection activeCell="J2" sqref="J2"/>
      <selection pane="bottomLeft" activeCell="J2" sqref="J2"/>
    </sheetView>
  </sheetViews>
  <sheetFormatPr defaultColWidth="9.23046875"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844</v>
      </c>
      <c r="B1" s="33" t="s">
        <v>1059</v>
      </c>
      <c r="C1" s="423" t="s">
        <v>932</v>
      </c>
      <c r="D1" s="33" t="s">
        <v>749</v>
      </c>
      <c r="E1" s="33" t="s">
        <v>903</v>
      </c>
      <c r="F1" s="33" t="s">
        <v>929</v>
      </c>
      <c r="G1" s="33" t="s">
        <v>742</v>
      </c>
    </row>
    <row r="2" spans="1:7" x14ac:dyDescent="0.4">
      <c r="A2" s="114" t="s">
        <v>998</v>
      </c>
      <c r="B2" s="114" t="s">
        <v>744</v>
      </c>
      <c r="C2" s="423">
        <v>19.8</v>
      </c>
      <c r="D2" s="114" t="s">
        <v>833</v>
      </c>
      <c r="E2" s="114">
        <v>0</v>
      </c>
      <c r="G2" s="114" t="s">
        <v>747</v>
      </c>
    </row>
    <row r="3" spans="1:7" x14ac:dyDescent="0.4">
      <c r="A3" s="114" t="s">
        <v>1039</v>
      </c>
      <c r="B3" s="114" t="s">
        <v>743</v>
      </c>
      <c r="C3" s="423">
        <v>46.46</v>
      </c>
      <c r="D3" s="114" t="s">
        <v>833</v>
      </c>
      <c r="E3" s="114">
        <v>0</v>
      </c>
      <c r="G3" s="114" t="s">
        <v>747</v>
      </c>
    </row>
    <row r="4" spans="1:7" x14ac:dyDescent="0.4">
      <c r="A4" s="114" t="s">
        <v>268</v>
      </c>
      <c r="C4" s="423">
        <v>0.85</v>
      </c>
      <c r="D4" s="114" t="s">
        <v>773</v>
      </c>
      <c r="E4" s="332">
        <v>0.1</v>
      </c>
    </row>
    <row r="5" spans="1:7" x14ac:dyDescent="0.4">
      <c r="A5" s="114" t="s">
        <v>304</v>
      </c>
      <c r="B5" s="114" t="s">
        <v>765</v>
      </c>
      <c r="C5" s="423">
        <v>57.95</v>
      </c>
      <c r="D5" s="114" t="s">
        <v>833</v>
      </c>
      <c r="E5" s="114">
        <v>1</v>
      </c>
      <c r="G5" s="114" t="s">
        <v>760</v>
      </c>
    </row>
    <row r="6" spans="1:7" x14ac:dyDescent="0.4">
      <c r="A6" s="114" t="s">
        <v>253</v>
      </c>
      <c r="B6" s="114" t="s">
        <v>756</v>
      </c>
      <c r="C6" s="423">
        <v>8.4499999999999993</v>
      </c>
      <c r="D6" s="114" t="s">
        <v>833</v>
      </c>
      <c r="E6" s="114">
        <v>0</v>
      </c>
      <c r="G6" s="114" t="s">
        <v>762</v>
      </c>
    </row>
    <row r="7" spans="1:7" x14ac:dyDescent="0.4">
      <c r="A7" s="114" t="s">
        <v>1040</v>
      </c>
      <c r="B7" s="114" t="s">
        <v>758</v>
      </c>
      <c r="C7" s="423">
        <v>43.44</v>
      </c>
      <c r="D7" s="114" t="s">
        <v>833</v>
      </c>
      <c r="E7" s="114">
        <v>0</v>
      </c>
      <c r="G7" s="114" t="s">
        <v>762</v>
      </c>
    </row>
    <row r="8" spans="1:7" x14ac:dyDescent="0.4">
      <c r="A8" s="114" t="s">
        <v>1000</v>
      </c>
      <c r="C8" s="423">
        <v>0</v>
      </c>
      <c r="E8" s="114">
        <v>1</v>
      </c>
    </row>
    <row r="9" spans="1:7" ht="43.75" x14ac:dyDescent="0.4">
      <c r="A9" s="114" t="s">
        <v>1344</v>
      </c>
      <c r="B9" s="282" t="s">
        <v>778</v>
      </c>
      <c r="C9" s="423">
        <f>37.8 +
53.25</f>
        <v>91.05</v>
      </c>
    </row>
    <row r="10" spans="1:7" x14ac:dyDescent="0.4">
      <c r="A10" s="117" t="s">
        <v>326</v>
      </c>
      <c r="B10" s="114" t="s">
        <v>768</v>
      </c>
      <c r="C10" s="423">
        <v>24.2</v>
      </c>
      <c r="D10" s="114" t="s">
        <v>833</v>
      </c>
      <c r="G10" s="114" t="s">
        <v>767</v>
      </c>
    </row>
    <row r="11" spans="1:7" x14ac:dyDescent="0.4">
      <c r="A11" s="440" t="s">
        <v>588</v>
      </c>
      <c r="C11" s="423">
        <v>80</v>
      </c>
      <c r="E11" s="114">
        <v>2</v>
      </c>
    </row>
    <row r="12" spans="1:7" x14ac:dyDescent="0.4">
      <c r="A12" s="114" t="s">
        <v>669</v>
      </c>
      <c r="C12" s="423">
        <v>60</v>
      </c>
    </row>
    <row r="13" spans="1:7" x14ac:dyDescent="0.4">
      <c r="A13" s="114" t="s">
        <v>1003</v>
      </c>
      <c r="B13" s="114" t="s">
        <v>754</v>
      </c>
      <c r="C13" s="423">
        <v>16</v>
      </c>
      <c r="D13" s="114" t="s">
        <v>833</v>
      </c>
      <c r="G13" s="114" t="s">
        <v>753</v>
      </c>
    </row>
    <row r="14" spans="1:7" x14ac:dyDescent="0.4">
      <c r="A14" s="114" t="s">
        <v>418</v>
      </c>
      <c r="C14" s="423">
        <v>0.28000000000000003</v>
      </c>
      <c r="E14" s="114">
        <v>0.1</v>
      </c>
    </row>
    <row r="15" spans="1:7" x14ac:dyDescent="0.4">
      <c r="A15" s="114" t="s">
        <v>1004</v>
      </c>
      <c r="B15" s="114" t="s">
        <v>695</v>
      </c>
      <c r="C15" s="423">
        <v>360</v>
      </c>
    </row>
    <row r="16" spans="1:7" x14ac:dyDescent="0.4">
      <c r="A16" s="114" t="s">
        <v>985</v>
      </c>
      <c r="B16" s="114" t="s">
        <v>763</v>
      </c>
      <c r="C16" s="423">
        <v>307.2</v>
      </c>
    </row>
    <row r="17" spans="1:7" x14ac:dyDescent="0.4">
      <c r="A17" s="114" t="s">
        <v>999</v>
      </c>
      <c r="C17" s="423">
        <v>60</v>
      </c>
      <c r="F17" s="282"/>
    </row>
    <row r="18" spans="1:7" x14ac:dyDescent="0.4">
      <c r="A18" s="135" t="s">
        <v>831</v>
      </c>
      <c r="B18" s="114" t="s">
        <v>1060</v>
      </c>
      <c r="C18" s="423">
        <v>23.4</v>
      </c>
    </row>
    <row r="19" spans="1:7" x14ac:dyDescent="0.4">
      <c r="A19" s="441" t="s">
        <v>697</v>
      </c>
      <c r="B19" s="114" t="s">
        <v>768</v>
      </c>
      <c r="C19" s="423">
        <v>24.2</v>
      </c>
      <c r="D19" s="114" t="s">
        <v>833</v>
      </c>
    </row>
    <row r="20" spans="1:7" x14ac:dyDescent="0.4">
      <c r="A20" s="441" t="s">
        <v>986</v>
      </c>
      <c r="C20" s="423">
        <v>60</v>
      </c>
      <c r="E20" s="114">
        <v>1</v>
      </c>
    </row>
    <row r="21" spans="1:7" x14ac:dyDescent="0.4">
      <c r="A21" s="441" t="s">
        <v>269</v>
      </c>
      <c r="C21" s="423">
        <v>1.056</v>
      </c>
      <c r="E21" s="114">
        <v>0.1</v>
      </c>
      <c r="F21" s="282"/>
    </row>
    <row r="22" spans="1:7" x14ac:dyDescent="0.4">
      <c r="A22" s="114" t="s">
        <v>301</v>
      </c>
      <c r="E22" s="114">
        <v>0.25</v>
      </c>
      <c r="F22" s="282"/>
    </row>
    <row r="23" spans="1:7" x14ac:dyDescent="0.4">
      <c r="A23" s="114" t="s">
        <v>239</v>
      </c>
      <c r="E23" s="114">
        <v>1</v>
      </c>
      <c r="F23" s="282"/>
    </row>
    <row r="24" spans="1:7" x14ac:dyDescent="0.4">
      <c r="A24" s="114" t="s">
        <v>1035</v>
      </c>
      <c r="E24" s="114">
        <v>0.5</v>
      </c>
      <c r="F24" s="282"/>
    </row>
    <row r="25" spans="1:7" x14ac:dyDescent="0.4">
      <c r="A25" s="441" t="s">
        <v>1018</v>
      </c>
      <c r="E25" s="114">
        <v>1</v>
      </c>
      <c r="F25" s="282"/>
    </row>
    <row r="26" spans="1:7" x14ac:dyDescent="0.4">
      <c r="A26" s="441" t="s">
        <v>1038</v>
      </c>
      <c r="E26" s="114">
        <v>1</v>
      </c>
      <c r="F26" s="282"/>
    </row>
    <row r="27" spans="1:7" x14ac:dyDescent="0.4">
      <c r="A27" s="114" t="s">
        <v>1236</v>
      </c>
      <c r="C27" s="423">
        <v>360</v>
      </c>
      <c r="F27" s="282"/>
    </row>
    <row r="28" spans="1:7" x14ac:dyDescent="0.4">
      <c r="A28" s="441" t="s">
        <v>1250</v>
      </c>
      <c r="B28" s="297" t="s">
        <v>786</v>
      </c>
      <c r="C28" s="423">
        <v>971.52</v>
      </c>
      <c r="E28" s="114">
        <v>2</v>
      </c>
      <c r="F28" s="282"/>
    </row>
    <row r="29" spans="1:7" x14ac:dyDescent="0.4">
      <c r="A29" s="114" t="s">
        <v>1061</v>
      </c>
      <c r="B29" s="114" t="s">
        <v>960</v>
      </c>
      <c r="C29" s="423">
        <v>243.55</v>
      </c>
      <c r="D29" s="114" t="s">
        <v>833</v>
      </c>
      <c r="E29" s="114">
        <v>4</v>
      </c>
      <c r="G29" s="282"/>
    </row>
    <row r="30" spans="1:7" x14ac:dyDescent="0.4">
      <c r="A30" s="114" t="s">
        <v>1062</v>
      </c>
      <c r="B30" s="114" t="s">
        <v>745</v>
      </c>
      <c r="C30" s="423">
        <v>294.60000000000002</v>
      </c>
      <c r="D30" s="114" t="s">
        <v>833</v>
      </c>
      <c r="E30" s="114">
        <v>4</v>
      </c>
    </row>
    <row r="31" spans="1:7" x14ac:dyDescent="0.4">
      <c r="A31" s="114" t="s">
        <v>1063</v>
      </c>
      <c r="B31" s="114" t="s">
        <v>963</v>
      </c>
      <c r="C31" s="423">
        <v>488.25</v>
      </c>
      <c r="D31" s="114" t="s">
        <v>833</v>
      </c>
      <c r="E31" s="114">
        <v>4</v>
      </c>
      <c r="F31" s="282"/>
    </row>
    <row r="32" spans="1:7" x14ac:dyDescent="0.4">
      <c r="A32" s="114" t="s">
        <v>1064</v>
      </c>
      <c r="B32" s="114" t="s">
        <v>969</v>
      </c>
      <c r="C32" s="423">
        <v>700.9</v>
      </c>
      <c r="D32" s="114" t="s">
        <v>833</v>
      </c>
      <c r="E32" s="114">
        <v>4</v>
      </c>
    </row>
    <row r="33" spans="1:5" x14ac:dyDescent="0.4">
      <c r="A33" s="114" t="s">
        <v>1065</v>
      </c>
      <c r="B33" s="114" t="s">
        <v>970</v>
      </c>
      <c r="C33" s="423">
        <v>243.55</v>
      </c>
      <c r="D33" s="114" t="s">
        <v>833</v>
      </c>
      <c r="E33" s="114">
        <v>4</v>
      </c>
    </row>
    <row r="34" spans="1:5" x14ac:dyDescent="0.4">
      <c r="A34" s="114" t="s">
        <v>1066</v>
      </c>
      <c r="B34" s="114" t="s">
        <v>971</v>
      </c>
      <c r="C34" s="423">
        <v>356.4</v>
      </c>
      <c r="D34" s="114" t="s">
        <v>833</v>
      </c>
      <c r="E34" s="114">
        <v>4</v>
      </c>
    </row>
    <row r="35" spans="1:5" x14ac:dyDescent="0.4">
      <c r="A35" s="114" t="s">
        <v>1067</v>
      </c>
      <c r="B35" s="114" t="s">
        <v>972</v>
      </c>
      <c r="C35" s="423">
        <v>541.75</v>
      </c>
      <c r="D35" s="114" t="s">
        <v>833</v>
      </c>
      <c r="E35" s="114">
        <v>4</v>
      </c>
    </row>
    <row r="36" spans="1:5" x14ac:dyDescent="0.4">
      <c r="A36" s="114" t="s">
        <v>1068</v>
      </c>
      <c r="B36" s="114" t="s">
        <v>973</v>
      </c>
      <c r="C36" s="423">
        <v>651</v>
      </c>
      <c r="D36" s="114" t="s">
        <v>833</v>
      </c>
      <c r="E36" s="114">
        <v>4</v>
      </c>
    </row>
    <row r="37" spans="1:5" x14ac:dyDescent="0.4">
      <c r="A37" s="114" t="s">
        <v>1069</v>
      </c>
      <c r="B37" s="114" t="s">
        <v>969</v>
      </c>
      <c r="C37" s="423">
        <v>700.9</v>
      </c>
      <c r="D37" s="114" t="s">
        <v>833</v>
      </c>
      <c r="E37" s="114">
        <v>4</v>
      </c>
    </row>
    <row r="38" spans="1:5" x14ac:dyDescent="0.4">
      <c r="A38" s="114" t="s">
        <v>1070</v>
      </c>
      <c r="B38" s="114" t="s">
        <v>1071</v>
      </c>
      <c r="C38" s="423">
        <v>999999</v>
      </c>
      <c r="D38" s="114" t="s">
        <v>1072</v>
      </c>
      <c r="E38" s="114">
        <v>999999</v>
      </c>
    </row>
    <row r="39" spans="1:5" x14ac:dyDescent="0.4">
      <c r="A39" s="114" t="s">
        <v>1073</v>
      </c>
      <c r="B39" s="114" t="s">
        <v>1074</v>
      </c>
      <c r="C39" s="423">
        <v>999999</v>
      </c>
      <c r="D39" s="114" t="s">
        <v>1072</v>
      </c>
      <c r="E39" s="114">
        <v>999999</v>
      </c>
    </row>
    <row r="40" spans="1:5" x14ac:dyDescent="0.4">
      <c r="A40" s="114" t="s">
        <v>1075</v>
      </c>
      <c r="B40" s="114" t="s">
        <v>1076</v>
      </c>
      <c r="C40" s="423">
        <v>999999</v>
      </c>
      <c r="D40" s="114" t="s">
        <v>1072</v>
      </c>
      <c r="E40" s="114">
        <v>999999</v>
      </c>
    </row>
    <row r="41" spans="1:5" x14ac:dyDescent="0.4">
      <c r="A41" s="114" t="s">
        <v>1077</v>
      </c>
      <c r="B41" s="114" t="s">
        <v>1078</v>
      </c>
      <c r="C41" s="423">
        <v>999999</v>
      </c>
      <c r="D41" s="114" t="s">
        <v>1072</v>
      </c>
      <c r="E41" s="114">
        <v>999999</v>
      </c>
    </row>
    <row r="42" spans="1:5" x14ac:dyDescent="0.4">
      <c r="A42" s="114" t="s">
        <v>1079</v>
      </c>
      <c r="B42" s="114" t="s">
        <v>1080</v>
      </c>
      <c r="C42" s="423">
        <v>999999</v>
      </c>
      <c r="D42" s="114" t="s">
        <v>1072</v>
      </c>
      <c r="E42" s="114">
        <v>999999</v>
      </c>
    </row>
    <row r="43" spans="1:5" x14ac:dyDescent="0.4">
      <c r="A43" s="114" t="s">
        <v>1081</v>
      </c>
      <c r="B43" s="114" t="s">
        <v>1082</v>
      </c>
      <c r="C43" s="423">
        <v>999999</v>
      </c>
      <c r="D43" s="114" t="s">
        <v>1072</v>
      </c>
      <c r="E43" s="114">
        <v>999999</v>
      </c>
    </row>
    <row r="44" spans="1:5" x14ac:dyDescent="0.4">
      <c r="A44" s="114" t="s">
        <v>1083</v>
      </c>
      <c r="B44" s="114" t="s">
        <v>1084</v>
      </c>
      <c r="C44" s="423">
        <v>999999</v>
      </c>
      <c r="D44" s="114" t="s">
        <v>1072</v>
      </c>
      <c r="E44" s="114">
        <v>999999</v>
      </c>
    </row>
    <row r="45" spans="1:5" x14ac:dyDescent="0.4">
      <c r="A45" s="114" t="s">
        <v>1085</v>
      </c>
      <c r="B45" s="114" t="s">
        <v>1086</v>
      </c>
      <c r="C45" s="423">
        <v>999999</v>
      </c>
      <c r="D45" s="114" t="s">
        <v>1072</v>
      </c>
      <c r="E45" s="114">
        <v>999999</v>
      </c>
    </row>
    <row r="46" spans="1:5" x14ac:dyDescent="0.4">
      <c r="A46" s="114" t="s">
        <v>1087</v>
      </c>
      <c r="B46" s="114" t="s">
        <v>1088</v>
      </c>
      <c r="C46" s="423">
        <v>999999</v>
      </c>
      <c r="D46" s="114" t="s">
        <v>1072</v>
      </c>
      <c r="E46" s="114">
        <v>999999</v>
      </c>
    </row>
    <row r="47" spans="1:5" x14ac:dyDescent="0.4">
      <c r="A47" s="114" t="s">
        <v>1089</v>
      </c>
      <c r="B47" s="114" t="s">
        <v>1090</v>
      </c>
      <c r="C47" s="423">
        <v>999999</v>
      </c>
      <c r="D47" s="114" t="s">
        <v>1072</v>
      </c>
      <c r="E47" s="114">
        <v>999999</v>
      </c>
    </row>
    <row r="48" spans="1:5" x14ac:dyDescent="0.4">
      <c r="A48" s="114" t="s">
        <v>1091</v>
      </c>
      <c r="B48" s="114" t="s">
        <v>1092</v>
      </c>
      <c r="C48" s="423">
        <v>999999</v>
      </c>
      <c r="D48" s="114" t="s">
        <v>1072</v>
      </c>
      <c r="E48" s="114">
        <v>999999</v>
      </c>
    </row>
    <row r="49" spans="1:5" x14ac:dyDescent="0.4">
      <c r="A49" s="114" t="s">
        <v>1093</v>
      </c>
      <c r="B49" s="114" t="s">
        <v>1094</v>
      </c>
      <c r="C49" s="423">
        <v>999999</v>
      </c>
      <c r="D49" s="114" t="s">
        <v>1072</v>
      </c>
      <c r="E49" s="114">
        <v>999999</v>
      </c>
    </row>
    <row r="50" spans="1:5" x14ac:dyDescent="0.4">
      <c r="A50" s="114" t="s">
        <v>1095</v>
      </c>
      <c r="B50" s="114" t="s">
        <v>1096</v>
      </c>
      <c r="C50" s="423">
        <v>999999</v>
      </c>
      <c r="D50" s="114" t="s">
        <v>1072</v>
      </c>
      <c r="E50" s="114">
        <v>999999</v>
      </c>
    </row>
    <row r="51" spans="1:5" x14ac:dyDescent="0.4">
      <c r="A51" s="114" t="s">
        <v>1097</v>
      </c>
      <c r="B51" s="114" t="s">
        <v>1098</v>
      </c>
      <c r="C51" s="423">
        <v>999999</v>
      </c>
      <c r="D51" s="114" t="s">
        <v>1072</v>
      </c>
      <c r="E51" s="114">
        <v>999999</v>
      </c>
    </row>
    <row r="52" spans="1:5" x14ac:dyDescent="0.4">
      <c r="A52" s="114" t="s">
        <v>1099</v>
      </c>
      <c r="B52" s="114" t="s">
        <v>1100</v>
      </c>
      <c r="C52" s="423">
        <v>999999</v>
      </c>
      <c r="D52" s="114" t="s">
        <v>1072</v>
      </c>
      <c r="E52" s="114">
        <v>999999</v>
      </c>
    </row>
    <row r="53" spans="1:5" x14ac:dyDescent="0.4">
      <c r="A53" s="114" t="s">
        <v>1101</v>
      </c>
      <c r="B53" s="114" t="s">
        <v>1102</v>
      </c>
      <c r="C53" s="423">
        <v>999999</v>
      </c>
      <c r="D53" s="114" t="s">
        <v>1072</v>
      </c>
      <c r="E53" s="114">
        <v>999999</v>
      </c>
    </row>
    <row r="54" spans="1:5" x14ac:dyDescent="0.4">
      <c r="A54" s="114" t="s">
        <v>1103</v>
      </c>
      <c r="B54" s="114" t="s">
        <v>1104</v>
      </c>
      <c r="C54" s="423">
        <v>999999</v>
      </c>
      <c r="D54" s="114" t="s">
        <v>1072</v>
      </c>
      <c r="E54" s="114">
        <v>999999</v>
      </c>
    </row>
    <row r="55" spans="1:5" x14ac:dyDescent="0.4">
      <c r="A55" s="114" t="s">
        <v>1105</v>
      </c>
      <c r="B55" s="114" t="s">
        <v>1106</v>
      </c>
      <c r="C55" s="423">
        <v>999999</v>
      </c>
      <c r="D55" s="114" t="s">
        <v>1072</v>
      </c>
      <c r="E55" s="114">
        <v>999999</v>
      </c>
    </row>
    <row r="56" spans="1:5" x14ac:dyDescent="0.4">
      <c r="A56" s="114" t="s">
        <v>1107</v>
      </c>
      <c r="B56" s="114" t="s">
        <v>1108</v>
      </c>
      <c r="C56" s="423">
        <v>999999</v>
      </c>
      <c r="D56" s="114" t="s">
        <v>1072</v>
      </c>
      <c r="E56" s="114">
        <v>999999</v>
      </c>
    </row>
    <row r="57" spans="1:5" x14ac:dyDescent="0.4">
      <c r="A57" s="114" t="s">
        <v>1109</v>
      </c>
      <c r="B57" s="114" t="s">
        <v>1110</v>
      </c>
      <c r="C57" s="423">
        <v>999999</v>
      </c>
      <c r="D57" s="114" t="s">
        <v>1072</v>
      </c>
      <c r="E57" s="114">
        <v>999999</v>
      </c>
    </row>
    <row r="58" spans="1:5" x14ac:dyDescent="0.4">
      <c r="A58" s="114" t="s">
        <v>1111</v>
      </c>
      <c r="B58" s="114" t="s">
        <v>1112</v>
      </c>
      <c r="C58" s="423">
        <v>999999</v>
      </c>
      <c r="D58" s="114" t="s">
        <v>1072</v>
      </c>
      <c r="E58" s="114">
        <v>999999</v>
      </c>
    </row>
    <row r="59" spans="1:5" x14ac:dyDescent="0.4">
      <c r="A59" s="114" t="s">
        <v>1113</v>
      </c>
      <c r="B59" s="114" t="s">
        <v>1114</v>
      </c>
      <c r="C59" s="423">
        <v>999999</v>
      </c>
      <c r="D59" s="114" t="s">
        <v>1072</v>
      </c>
      <c r="E59" s="114">
        <v>999999</v>
      </c>
    </row>
    <row r="60" spans="1:5" x14ac:dyDescent="0.4">
      <c r="A60" s="114" t="s">
        <v>1115</v>
      </c>
      <c r="B60" s="114" t="s">
        <v>1116</v>
      </c>
      <c r="C60" s="423">
        <v>999999</v>
      </c>
      <c r="D60" s="114" t="s">
        <v>1072</v>
      </c>
      <c r="E60" s="114">
        <v>999999</v>
      </c>
    </row>
    <row r="61" spans="1:5" x14ac:dyDescent="0.4">
      <c r="A61" s="114" t="s">
        <v>1117</v>
      </c>
      <c r="B61" s="114" t="s">
        <v>1118</v>
      </c>
      <c r="C61" s="423">
        <v>999999</v>
      </c>
      <c r="D61" s="114" t="s">
        <v>1072</v>
      </c>
      <c r="E61" s="114">
        <v>999999</v>
      </c>
    </row>
    <row r="62" spans="1:5" x14ac:dyDescent="0.4">
      <c r="A62" s="114" t="s">
        <v>1119</v>
      </c>
      <c r="B62" s="114" t="s">
        <v>1120</v>
      </c>
      <c r="C62" s="423">
        <v>999999</v>
      </c>
      <c r="D62" s="114" t="s">
        <v>1072</v>
      </c>
      <c r="E62" s="114">
        <v>999999</v>
      </c>
    </row>
    <row r="63" spans="1:5" x14ac:dyDescent="0.4">
      <c r="A63" s="114" t="s">
        <v>1121</v>
      </c>
      <c r="B63" s="114" t="s">
        <v>1122</v>
      </c>
      <c r="C63" s="423">
        <v>999999</v>
      </c>
      <c r="D63" s="114" t="s">
        <v>1072</v>
      </c>
      <c r="E63" s="114">
        <v>999999</v>
      </c>
    </row>
    <row r="64" spans="1:5" x14ac:dyDescent="0.4">
      <c r="A64" s="114" t="s">
        <v>1123</v>
      </c>
      <c r="B64" s="114" t="s">
        <v>1124</v>
      </c>
      <c r="C64" s="423">
        <v>999999</v>
      </c>
      <c r="D64" s="114" t="s">
        <v>1072</v>
      </c>
      <c r="E64" s="114">
        <v>999999</v>
      </c>
    </row>
    <row r="65" spans="1:5" x14ac:dyDescent="0.4">
      <c r="A65" s="114" t="s">
        <v>1125</v>
      </c>
      <c r="B65" s="114" t="s">
        <v>1126</v>
      </c>
      <c r="C65" s="423">
        <v>999999</v>
      </c>
      <c r="D65" s="114" t="s">
        <v>1072</v>
      </c>
      <c r="E65" s="114">
        <v>999999</v>
      </c>
    </row>
    <row r="66" spans="1:5" x14ac:dyDescent="0.4">
      <c r="A66" s="114" t="s">
        <v>1127</v>
      </c>
      <c r="B66" s="114" t="s">
        <v>1128</v>
      </c>
      <c r="C66" s="423">
        <v>999999</v>
      </c>
      <c r="D66" s="114" t="s">
        <v>1072</v>
      </c>
      <c r="E66" s="114">
        <v>999999</v>
      </c>
    </row>
    <row r="67" spans="1:5" x14ac:dyDescent="0.4">
      <c r="A67" s="114" t="s">
        <v>1129</v>
      </c>
      <c r="B67" s="114" t="s">
        <v>1130</v>
      </c>
      <c r="C67" s="423">
        <v>999999</v>
      </c>
      <c r="D67" s="114" t="s">
        <v>1072</v>
      </c>
      <c r="E67" s="114">
        <v>999999</v>
      </c>
    </row>
    <row r="68" spans="1:5" x14ac:dyDescent="0.4">
      <c r="A68" s="114" t="s">
        <v>1131</v>
      </c>
      <c r="B68" s="114" t="s">
        <v>1132</v>
      </c>
      <c r="C68" s="423">
        <v>999999</v>
      </c>
      <c r="D68" s="114" t="s">
        <v>1072</v>
      </c>
      <c r="E68" s="114">
        <v>999999</v>
      </c>
    </row>
    <row r="69" spans="1:5" x14ac:dyDescent="0.4">
      <c r="A69" s="114" t="s">
        <v>1133</v>
      </c>
      <c r="B69" s="114" t="s">
        <v>1134</v>
      </c>
      <c r="C69" s="423">
        <v>999999</v>
      </c>
      <c r="D69" s="114" t="s">
        <v>1072</v>
      </c>
      <c r="E69" s="114">
        <v>999999</v>
      </c>
    </row>
    <row r="70" spans="1:5" x14ac:dyDescent="0.4">
      <c r="A70" s="114" t="s">
        <v>1135</v>
      </c>
      <c r="B70" s="114" t="s">
        <v>1136</v>
      </c>
      <c r="C70" s="423">
        <v>999999</v>
      </c>
      <c r="D70" s="114" t="s">
        <v>1072</v>
      </c>
      <c r="E70" s="114">
        <v>999999</v>
      </c>
    </row>
    <row r="71" spans="1:5" x14ac:dyDescent="0.4">
      <c r="A71" s="114" t="s">
        <v>1137</v>
      </c>
      <c r="B71" s="114" t="s">
        <v>1138</v>
      </c>
      <c r="C71" s="423">
        <v>999999</v>
      </c>
      <c r="D71" s="114" t="s">
        <v>1072</v>
      </c>
      <c r="E71" s="114">
        <v>999999</v>
      </c>
    </row>
    <row r="72" spans="1:5" x14ac:dyDescent="0.4">
      <c r="A72" s="114" t="s">
        <v>1139</v>
      </c>
      <c r="B72" s="114" t="s">
        <v>1140</v>
      </c>
      <c r="C72" s="423">
        <v>999999</v>
      </c>
      <c r="D72" s="114" t="s">
        <v>1072</v>
      </c>
      <c r="E72" s="114">
        <v>999999</v>
      </c>
    </row>
    <row r="73" spans="1:5" x14ac:dyDescent="0.4">
      <c r="A73" s="114" t="s">
        <v>1141</v>
      </c>
      <c r="B73" s="114" t="s">
        <v>1142</v>
      </c>
      <c r="C73" s="423">
        <v>999999</v>
      </c>
      <c r="D73" s="114" t="s">
        <v>1072</v>
      </c>
      <c r="E73" s="114">
        <v>999999</v>
      </c>
    </row>
    <row r="74" spans="1:5" x14ac:dyDescent="0.4">
      <c r="A74" s="114" t="s">
        <v>1143</v>
      </c>
      <c r="B74" s="114" t="s">
        <v>1144</v>
      </c>
      <c r="C74" s="423">
        <v>999999</v>
      </c>
      <c r="D74" s="114" t="s">
        <v>1072</v>
      </c>
      <c r="E74" s="114">
        <v>999999</v>
      </c>
    </row>
    <row r="75" spans="1:5" x14ac:dyDescent="0.4">
      <c r="A75" s="114" t="s">
        <v>1145</v>
      </c>
      <c r="B75" s="114" t="s">
        <v>1146</v>
      </c>
      <c r="C75" s="423">
        <v>999999</v>
      </c>
      <c r="D75" s="114" t="s">
        <v>1072</v>
      </c>
      <c r="E75" s="114">
        <v>999999</v>
      </c>
    </row>
    <row r="76" spans="1:5" x14ac:dyDescent="0.4">
      <c r="A76" s="114" t="s">
        <v>1147</v>
      </c>
      <c r="B76" s="114" t="s">
        <v>1148</v>
      </c>
      <c r="C76" s="423">
        <v>999999</v>
      </c>
      <c r="D76" s="114" t="s">
        <v>1072</v>
      </c>
      <c r="E76" s="114">
        <v>999999</v>
      </c>
    </row>
    <row r="77" spans="1:5" x14ac:dyDescent="0.4">
      <c r="A77" s="114" t="s">
        <v>1149</v>
      </c>
      <c r="B77" s="114" t="s">
        <v>1150</v>
      </c>
      <c r="C77" s="423">
        <v>999999</v>
      </c>
      <c r="D77" s="114" t="s">
        <v>1072</v>
      </c>
      <c r="E77" s="114">
        <v>999999</v>
      </c>
    </row>
    <row r="78" spans="1:5" x14ac:dyDescent="0.4">
      <c r="A78" s="114" t="s">
        <v>1151</v>
      </c>
      <c r="B78" s="114" t="s">
        <v>1152</v>
      </c>
      <c r="C78" s="423">
        <v>999999</v>
      </c>
      <c r="D78" s="114" t="s">
        <v>1072</v>
      </c>
      <c r="E78" s="114">
        <v>999999</v>
      </c>
    </row>
    <row r="79" spans="1:5" x14ac:dyDescent="0.4">
      <c r="A79" s="114" t="s">
        <v>1153</v>
      </c>
      <c r="B79" s="114" t="s">
        <v>1154</v>
      </c>
      <c r="C79" s="423">
        <v>999999</v>
      </c>
      <c r="D79" s="114" t="s">
        <v>1072</v>
      </c>
      <c r="E79" s="114">
        <v>999999</v>
      </c>
    </row>
    <row r="80" spans="1:5" x14ac:dyDescent="0.4">
      <c r="A80" s="114" t="s">
        <v>1155</v>
      </c>
      <c r="B80" s="114" t="s">
        <v>1156</v>
      </c>
      <c r="C80" s="423">
        <v>999999</v>
      </c>
      <c r="D80" s="114" t="s">
        <v>1072</v>
      </c>
      <c r="E80" s="114">
        <v>999999</v>
      </c>
    </row>
    <row r="81" spans="1:5" x14ac:dyDescent="0.4">
      <c r="A81" s="114" t="s">
        <v>1157</v>
      </c>
      <c r="B81" s="114" t="s">
        <v>1158</v>
      </c>
      <c r="C81" s="423">
        <v>999999</v>
      </c>
      <c r="D81" s="114" t="s">
        <v>1072</v>
      </c>
      <c r="E81" s="114">
        <v>999999</v>
      </c>
    </row>
    <row r="82" spans="1:5" x14ac:dyDescent="0.4">
      <c r="A82" s="114" t="s">
        <v>1159</v>
      </c>
      <c r="B82" s="114" t="s">
        <v>1160</v>
      </c>
      <c r="C82" s="423">
        <v>999999</v>
      </c>
      <c r="D82" s="114" t="s">
        <v>1072</v>
      </c>
      <c r="E82" s="114">
        <v>999999</v>
      </c>
    </row>
    <row r="83" spans="1:5" x14ac:dyDescent="0.4">
      <c r="A83" s="114" t="s">
        <v>1161</v>
      </c>
      <c r="B83" s="114" t="s">
        <v>1162</v>
      </c>
      <c r="C83" s="423">
        <v>999999</v>
      </c>
      <c r="D83" s="114" t="s">
        <v>1072</v>
      </c>
      <c r="E83" s="114">
        <v>999999</v>
      </c>
    </row>
    <row r="84" spans="1:5" x14ac:dyDescent="0.4">
      <c r="A84" s="114" t="s">
        <v>1163</v>
      </c>
      <c r="B84" s="114" t="s">
        <v>1164</v>
      </c>
      <c r="C84" s="423">
        <v>999999</v>
      </c>
      <c r="D84" s="114" t="s">
        <v>1072</v>
      </c>
      <c r="E84" s="114">
        <v>999999</v>
      </c>
    </row>
    <row r="85" spans="1:5" x14ac:dyDescent="0.4">
      <c r="A85" s="114" t="s">
        <v>1165</v>
      </c>
      <c r="B85" s="114" t="s">
        <v>1166</v>
      </c>
      <c r="C85" s="423">
        <v>999999</v>
      </c>
      <c r="D85" s="114" t="s">
        <v>1072</v>
      </c>
      <c r="E85" s="114">
        <v>999999</v>
      </c>
    </row>
    <row r="86" spans="1:5" x14ac:dyDescent="0.4">
      <c r="A86" s="114" t="s">
        <v>1167</v>
      </c>
      <c r="B86" s="114" t="s">
        <v>1168</v>
      </c>
      <c r="C86" s="423">
        <v>999999</v>
      </c>
      <c r="D86" s="114" t="s">
        <v>1072</v>
      </c>
      <c r="E86" s="114">
        <v>999999</v>
      </c>
    </row>
    <row r="87" spans="1:5" x14ac:dyDescent="0.4">
      <c r="A87" s="114" t="s">
        <v>1169</v>
      </c>
      <c r="B87" s="114" t="s">
        <v>1170</v>
      </c>
      <c r="C87" s="423">
        <v>999999</v>
      </c>
      <c r="D87" s="114" t="s">
        <v>1072</v>
      </c>
      <c r="E87" s="114">
        <v>999999</v>
      </c>
    </row>
    <row r="88" spans="1:5" x14ac:dyDescent="0.4">
      <c r="A88" s="114" t="s">
        <v>1171</v>
      </c>
      <c r="B88" s="114" t="s">
        <v>1172</v>
      </c>
      <c r="C88" s="423">
        <v>999999</v>
      </c>
      <c r="D88" s="114" t="s">
        <v>1072</v>
      </c>
      <c r="E88" s="114">
        <v>999999</v>
      </c>
    </row>
    <row r="89" spans="1:5" x14ac:dyDescent="0.4">
      <c r="A89" s="114" t="s">
        <v>1173</v>
      </c>
      <c r="B89" s="114" t="s">
        <v>1174</v>
      </c>
      <c r="C89" s="423">
        <v>999999</v>
      </c>
      <c r="D89" s="114" t="s">
        <v>1072</v>
      </c>
      <c r="E89" s="114">
        <v>999999</v>
      </c>
    </row>
    <row r="90" spans="1:5" x14ac:dyDescent="0.4">
      <c r="A90" s="114" t="s">
        <v>1175</v>
      </c>
      <c r="B90" s="114" t="s">
        <v>1176</v>
      </c>
      <c r="C90" s="423">
        <v>999999</v>
      </c>
      <c r="D90" s="114" t="s">
        <v>1072</v>
      </c>
      <c r="E90" s="114">
        <v>999999</v>
      </c>
    </row>
    <row r="91" spans="1:5" x14ac:dyDescent="0.4">
      <c r="A91" s="114" t="s">
        <v>1177</v>
      </c>
      <c r="B91" s="114" t="s">
        <v>1178</v>
      </c>
      <c r="C91" s="423">
        <v>999999</v>
      </c>
      <c r="D91" s="114" t="s">
        <v>1072</v>
      </c>
      <c r="E91" s="114">
        <v>999999</v>
      </c>
    </row>
    <row r="92" spans="1:5" x14ac:dyDescent="0.4">
      <c r="A92" s="114" t="s">
        <v>1179</v>
      </c>
      <c r="B92" s="114" t="s">
        <v>1180</v>
      </c>
      <c r="C92" s="423">
        <v>999999</v>
      </c>
      <c r="D92" s="114" t="s">
        <v>1072</v>
      </c>
      <c r="E92" s="114">
        <v>999999</v>
      </c>
    </row>
    <row r="93" spans="1:5" x14ac:dyDescent="0.4">
      <c r="A93" s="114" t="s">
        <v>1181</v>
      </c>
      <c r="B93" s="114" t="s">
        <v>1182</v>
      </c>
      <c r="C93" s="423">
        <v>999999</v>
      </c>
      <c r="D93" s="114" t="s">
        <v>1072</v>
      </c>
      <c r="E93" s="114">
        <v>999999</v>
      </c>
    </row>
    <row r="94" spans="1:5" x14ac:dyDescent="0.4">
      <c r="A94" s="114" t="s">
        <v>1183</v>
      </c>
      <c r="B94" s="114" t="s">
        <v>1184</v>
      </c>
      <c r="C94" s="423">
        <v>999999</v>
      </c>
      <c r="D94" s="114" t="s">
        <v>1072</v>
      </c>
      <c r="E94" s="114">
        <v>999999</v>
      </c>
    </row>
    <row r="95" spans="1:5" x14ac:dyDescent="0.4">
      <c r="A95" s="114" t="s">
        <v>1185</v>
      </c>
      <c r="B95" s="114" t="s">
        <v>1186</v>
      </c>
      <c r="C95" s="423">
        <v>999999</v>
      </c>
      <c r="D95" s="114" t="s">
        <v>1072</v>
      </c>
      <c r="E95" s="114">
        <v>999999</v>
      </c>
    </row>
    <row r="96" spans="1:5" x14ac:dyDescent="0.4">
      <c r="A96" s="114" t="s">
        <v>1187</v>
      </c>
      <c r="B96" s="114" t="s">
        <v>1188</v>
      </c>
      <c r="C96" s="423">
        <v>999999</v>
      </c>
      <c r="D96" s="114" t="s">
        <v>1072</v>
      </c>
      <c r="E96" s="114">
        <v>999999</v>
      </c>
    </row>
    <row r="97" spans="1:5" x14ac:dyDescent="0.4">
      <c r="A97" s="114" t="s">
        <v>1189</v>
      </c>
      <c r="B97" s="114" t="s">
        <v>1190</v>
      </c>
      <c r="C97" s="423">
        <v>999999</v>
      </c>
      <c r="D97" s="114" t="s">
        <v>1072</v>
      </c>
      <c r="E97" s="114">
        <v>999999</v>
      </c>
    </row>
    <row r="98" spans="1:5" x14ac:dyDescent="0.4">
      <c r="A98" s="114" t="s">
        <v>1191</v>
      </c>
      <c r="B98" s="114" t="s">
        <v>1192</v>
      </c>
      <c r="C98" s="423">
        <v>999999</v>
      </c>
      <c r="D98" s="114" t="s">
        <v>1072</v>
      </c>
      <c r="E98" s="114">
        <v>999999</v>
      </c>
    </row>
    <row r="99" spans="1:5" x14ac:dyDescent="0.4">
      <c r="A99" s="114" t="s">
        <v>1193</v>
      </c>
      <c r="B99" s="114" t="s">
        <v>1194</v>
      </c>
      <c r="C99" s="423">
        <v>999999</v>
      </c>
      <c r="D99" s="114" t="s">
        <v>1072</v>
      </c>
      <c r="E99" s="114">
        <v>999999</v>
      </c>
    </row>
    <row r="100" spans="1:5" x14ac:dyDescent="0.4">
      <c r="A100" s="114" t="s">
        <v>1195</v>
      </c>
      <c r="B100" s="114" t="s">
        <v>1196</v>
      </c>
      <c r="C100" s="423">
        <v>999999</v>
      </c>
      <c r="D100" s="114" t="s">
        <v>1072</v>
      </c>
      <c r="E100" s="114">
        <v>999999</v>
      </c>
    </row>
    <row r="101" spans="1:5" x14ac:dyDescent="0.4">
      <c r="A101" s="114" t="s">
        <v>1197</v>
      </c>
      <c r="B101" s="114" t="s">
        <v>1198</v>
      </c>
      <c r="C101" s="423">
        <v>999999</v>
      </c>
      <c r="D101" s="114" t="s">
        <v>1072</v>
      </c>
      <c r="E101" s="114">
        <v>999999</v>
      </c>
    </row>
    <row r="102" spans="1:5" x14ac:dyDescent="0.4">
      <c r="A102" s="114" t="s">
        <v>1199</v>
      </c>
      <c r="B102" s="114" t="s">
        <v>1200</v>
      </c>
      <c r="C102" s="423">
        <v>999999</v>
      </c>
      <c r="D102" s="114" t="s">
        <v>1072</v>
      </c>
      <c r="E102" s="114">
        <v>999999</v>
      </c>
    </row>
    <row r="103" spans="1:5" x14ac:dyDescent="0.4">
      <c r="A103" s="114" t="s">
        <v>1201</v>
      </c>
      <c r="B103" s="114" t="s">
        <v>1202</v>
      </c>
      <c r="C103" s="423">
        <v>999999</v>
      </c>
      <c r="D103" s="114" t="s">
        <v>1072</v>
      </c>
      <c r="E103" s="114">
        <v>999999</v>
      </c>
    </row>
    <row r="104" spans="1:5" x14ac:dyDescent="0.4">
      <c r="A104" s="114" t="s">
        <v>1203</v>
      </c>
      <c r="B104" s="114" t="s">
        <v>1204</v>
      </c>
      <c r="C104" s="423">
        <v>999999</v>
      </c>
      <c r="D104" s="114" t="s">
        <v>1072</v>
      </c>
      <c r="E104" s="114">
        <v>999999</v>
      </c>
    </row>
    <row r="105" spans="1:5" x14ac:dyDescent="0.4">
      <c r="A105" s="114" t="s">
        <v>1205</v>
      </c>
      <c r="B105" s="114" t="s">
        <v>1206</v>
      </c>
      <c r="C105" s="423">
        <v>999999</v>
      </c>
      <c r="D105" s="114" t="s">
        <v>1072</v>
      </c>
      <c r="E105" s="114">
        <v>999999</v>
      </c>
    </row>
    <row r="106" spans="1:5" x14ac:dyDescent="0.4">
      <c r="A106" s="114" t="s">
        <v>1207</v>
      </c>
      <c r="B106" s="114" t="s">
        <v>1208</v>
      </c>
      <c r="C106" s="423">
        <v>999999</v>
      </c>
      <c r="D106" s="114" t="s">
        <v>1072</v>
      </c>
      <c r="E106" s="114">
        <v>999999</v>
      </c>
    </row>
    <row r="107" spans="1:5" x14ac:dyDescent="0.4">
      <c r="A107" s="114" t="s">
        <v>1209</v>
      </c>
      <c r="B107" s="114" t="s">
        <v>1210</v>
      </c>
      <c r="C107" s="423">
        <v>999999</v>
      </c>
      <c r="D107" s="114" t="s">
        <v>1072</v>
      </c>
      <c r="E107" s="114">
        <v>999999</v>
      </c>
    </row>
    <row r="108" spans="1:5" x14ac:dyDescent="0.4">
      <c r="A108" s="114" t="s">
        <v>1211</v>
      </c>
      <c r="B108" s="114" t="s">
        <v>1212</v>
      </c>
      <c r="C108" s="423">
        <v>999999</v>
      </c>
      <c r="D108" s="114" t="s">
        <v>1072</v>
      </c>
      <c r="E108" s="114">
        <v>999999</v>
      </c>
    </row>
    <row r="109" spans="1:5" x14ac:dyDescent="0.4">
      <c r="A109" s="114" t="s">
        <v>1213</v>
      </c>
      <c r="B109" s="114" t="s">
        <v>1214</v>
      </c>
      <c r="C109" s="423">
        <v>999999</v>
      </c>
      <c r="D109" s="114" t="s">
        <v>1072</v>
      </c>
      <c r="E109" s="114">
        <v>999999</v>
      </c>
    </row>
    <row r="110" spans="1:5" x14ac:dyDescent="0.4">
      <c r="A110" s="114" t="s">
        <v>1215</v>
      </c>
      <c r="B110" s="114" t="s">
        <v>1216</v>
      </c>
      <c r="C110" s="423">
        <v>999999</v>
      </c>
      <c r="D110" s="114" t="s">
        <v>1072</v>
      </c>
      <c r="E110" s="114">
        <v>999999</v>
      </c>
    </row>
    <row r="111" spans="1:5" x14ac:dyDescent="0.4">
      <c r="A111" s="114" t="s">
        <v>1217</v>
      </c>
      <c r="B111" s="114" t="s">
        <v>1218</v>
      </c>
      <c r="C111" s="423">
        <v>999999</v>
      </c>
      <c r="D111" s="114" t="s">
        <v>1072</v>
      </c>
      <c r="E111" s="114">
        <v>999999</v>
      </c>
    </row>
    <row r="112" spans="1:5" x14ac:dyDescent="0.4">
      <c r="A112" s="114" t="s">
        <v>1219</v>
      </c>
      <c r="B112" s="114" t="s">
        <v>1220</v>
      </c>
      <c r="C112" s="423">
        <v>999999</v>
      </c>
      <c r="D112" s="114" t="s">
        <v>1072</v>
      </c>
      <c r="E112" s="114">
        <v>999999</v>
      </c>
    </row>
    <row r="113" spans="1:7" x14ac:dyDescent="0.4">
      <c r="A113" s="114" t="s">
        <v>1221</v>
      </c>
      <c r="B113" s="114" t="s">
        <v>1222</v>
      </c>
      <c r="C113" s="423">
        <v>999999</v>
      </c>
      <c r="D113" s="114" t="s">
        <v>1072</v>
      </c>
      <c r="E113" s="114">
        <v>999999</v>
      </c>
    </row>
    <row r="114" spans="1:7" x14ac:dyDescent="0.4">
      <c r="A114" s="114" t="s">
        <v>1223</v>
      </c>
      <c r="B114" s="114" t="s">
        <v>1224</v>
      </c>
      <c r="C114" s="423">
        <v>999999</v>
      </c>
      <c r="D114" s="114" t="s">
        <v>1072</v>
      </c>
      <c r="E114" s="114">
        <v>999999</v>
      </c>
    </row>
    <row r="115" spans="1:7" x14ac:dyDescent="0.4">
      <c r="A115" s="114" t="s">
        <v>1225</v>
      </c>
      <c r="B115" s="114" t="s">
        <v>1226</v>
      </c>
      <c r="C115" s="423">
        <v>999999</v>
      </c>
      <c r="D115" s="114" t="s">
        <v>1072</v>
      </c>
      <c r="E115" s="114">
        <v>999999</v>
      </c>
    </row>
    <row r="116" spans="1:7" x14ac:dyDescent="0.4">
      <c r="A116" s="114" t="s">
        <v>1227</v>
      </c>
      <c r="B116" s="114" t="s">
        <v>1228</v>
      </c>
      <c r="C116" s="423">
        <v>999999</v>
      </c>
      <c r="D116" s="114" t="s">
        <v>1072</v>
      </c>
      <c r="E116" s="114">
        <v>999999</v>
      </c>
    </row>
    <row r="117" spans="1:7" x14ac:dyDescent="0.4">
      <c r="A117" s="114" t="s">
        <v>1229</v>
      </c>
      <c r="B117" s="114" t="s">
        <v>1230</v>
      </c>
      <c r="C117" s="423">
        <v>999999</v>
      </c>
      <c r="D117" s="114" t="s">
        <v>1072</v>
      </c>
      <c r="E117" s="114">
        <v>999999</v>
      </c>
    </row>
    <row r="118" spans="1:7" x14ac:dyDescent="0.4">
      <c r="A118" s="114" t="s">
        <v>1231</v>
      </c>
      <c r="B118" s="114" t="s">
        <v>1231</v>
      </c>
      <c r="C118" s="423">
        <v>62</v>
      </c>
      <c r="D118" s="114" t="s">
        <v>833</v>
      </c>
    </row>
    <row r="119" spans="1:7" x14ac:dyDescent="0.4">
      <c r="A119" s="114" t="s">
        <v>267</v>
      </c>
      <c r="B119" s="114" t="s">
        <v>267</v>
      </c>
      <c r="C119" s="423">
        <v>3.48</v>
      </c>
      <c r="D119" s="114" t="s">
        <v>773</v>
      </c>
      <c r="E119" s="114">
        <v>0.1</v>
      </c>
    </row>
    <row r="120" spans="1:7" x14ac:dyDescent="0.4">
      <c r="A120" s="114" t="s">
        <v>266</v>
      </c>
      <c r="B120" s="114" t="s">
        <v>266</v>
      </c>
      <c r="C120" s="423">
        <v>4.5599999999999996</v>
      </c>
      <c r="D120" s="114" t="s">
        <v>773</v>
      </c>
      <c r="E120" s="114">
        <v>0.1</v>
      </c>
    </row>
    <row r="121" spans="1:7" x14ac:dyDescent="0.4">
      <c r="A121" s="114" t="s">
        <v>360</v>
      </c>
      <c r="B121" s="114" t="s">
        <v>360</v>
      </c>
      <c r="C121" s="423">
        <v>2.4</v>
      </c>
      <c r="D121" s="114" t="s">
        <v>773</v>
      </c>
      <c r="E121" s="114">
        <v>0.1</v>
      </c>
    </row>
    <row r="122" spans="1:7" x14ac:dyDescent="0.4">
      <c r="A122" s="114" t="s">
        <v>350</v>
      </c>
      <c r="B122" s="114" t="s">
        <v>350</v>
      </c>
      <c r="E122" s="114">
        <v>1</v>
      </c>
    </row>
    <row r="123" spans="1:7" x14ac:dyDescent="0.4">
      <c r="A123" s="114" t="s">
        <v>278</v>
      </c>
      <c r="C123" s="423">
        <v>36</v>
      </c>
    </row>
    <row r="124" spans="1:7" x14ac:dyDescent="0.4">
      <c r="A124" s="114" t="s">
        <v>1253</v>
      </c>
      <c r="C124" s="423">
        <v>60</v>
      </c>
    </row>
    <row r="125" spans="1:7" x14ac:dyDescent="0.4">
      <c r="A125" s="114" t="s">
        <v>322</v>
      </c>
    </row>
    <row r="126" spans="1:7" x14ac:dyDescent="0.4">
      <c r="A126" s="114" t="s">
        <v>1254</v>
      </c>
      <c r="C126" s="423">
        <v>5.8</v>
      </c>
      <c r="E126" s="114">
        <v>0.1</v>
      </c>
    </row>
    <row r="127" spans="1:7" x14ac:dyDescent="0.4">
      <c r="A127" s="114" t="s">
        <v>1290</v>
      </c>
      <c r="B127" s="297" t="s">
        <v>751</v>
      </c>
      <c r="C127" s="300">
        <v>47</v>
      </c>
      <c r="E127" s="114">
        <v>1</v>
      </c>
      <c r="G127" s="297" t="s">
        <v>752</v>
      </c>
    </row>
    <row r="128" spans="1:7" x14ac:dyDescent="0.4">
      <c r="A128" s="114" t="s">
        <v>1291</v>
      </c>
      <c r="C128" s="423">
        <v>420</v>
      </c>
      <c r="E128" s="114">
        <v>1</v>
      </c>
    </row>
    <row r="129" spans="1:7" x14ac:dyDescent="0.4">
      <c r="A129" s="114" t="s">
        <v>1023</v>
      </c>
      <c r="B129" s="297" t="s">
        <v>764</v>
      </c>
      <c r="C129" s="423">
        <v>11.46</v>
      </c>
      <c r="G129" s="297" t="s">
        <v>766</v>
      </c>
    </row>
    <row r="130" spans="1:7" x14ac:dyDescent="0.4">
      <c r="A130" s="114" t="s">
        <v>1292</v>
      </c>
      <c r="C130" s="423">
        <v>36</v>
      </c>
      <c r="E130" s="114">
        <v>1</v>
      </c>
    </row>
    <row r="131" spans="1:7" x14ac:dyDescent="0.4">
      <c r="A131" s="114" t="s">
        <v>476</v>
      </c>
      <c r="C131" s="423">
        <v>324</v>
      </c>
      <c r="E131" s="114">
        <v>0</v>
      </c>
    </row>
    <row r="132" spans="1:7" x14ac:dyDescent="0.4">
      <c r="A132" s="114" t="s">
        <v>477</v>
      </c>
      <c r="C132" s="423">
        <v>180</v>
      </c>
      <c r="E132" s="114">
        <v>0</v>
      </c>
    </row>
    <row r="133" spans="1:7" x14ac:dyDescent="0.4">
      <c r="A133" s="114" t="s">
        <v>1306</v>
      </c>
      <c r="B133" s="297" t="s">
        <v>785</v>
      </c>
      <c r="C133" s="301">
        <v>541.20000000000005</v>
      </c>
      <c r="E133" s="114">
        <v>2</v>
      </c>
    </row>
    <row r="134" spans="1:7" x14ac:dyDescent="0.4">
      <c r="A134" s="114" t="s">
        <v>1307</v>
      </c>
      <c r="B134" s="297" t="s">
        <v>789</v>
      </c>
      <c r="C134" s="301">
        <v>721.6</v>
      </c>
      <c r="E134" s="114">
        <v>2</v>
      </c>
    </row>
    <row r="135" spans="1:7" x14ac:dyDescent="0.4">
      <c r="A135" s="114" t="s">
        <v>1308</v>
      </c>
      <c r="B135" s="297" t="s">
        <v>788</v>
      </c>
      <c r="C135" s="301">
        <v>1021.9</v>
      </c>
      <c r="E135" s="114">
        <v>2</v>
      </c>
    </row>
    <row r="136" spans="1:7" x14ac:dyDescent="0.4">
      <c r="A136" s="114" t="s">
        <v>325</v>
      </c>
      <c r="C136" s="423">
        <v>240</v>
      </c>
      <c r="E136" s="114">
        <v>1</v>
      </c>
    </row>
    <row r="137" spans="1:7" x14ac:dyDescent="0.4">
      <c r="A137" s="114" t="s">
        <v>989</v>
      </c>
      <c r="B137" s="423" t="str">
        <f>B13</f>
        <v>PL22G24LED + PL22R24LED</v>
      </c>
      <c r="C137" s="423">
        <f>C13</f>
        <v>16</v>
      </c>
      <c r="D137" s="423" t="str">
        <f t="shared" ref="D137:G137" si="0">D13</f>
        <v>Dore</v>
      </c>
      <c r="E137" s="423">
        <f t="shared" si="0"/>
        <v>0</v>
      </c>
      <c r="F137" s="423">
        <f t="shared" si="0"/>
        <v>0</v>
      </c>
      <c r="G137" s="423" t="str">
        <f t="shared" si="0"/>
        <v>B8</v>
      </c>
    </row>
    <row r="138" spans="1:7" x14ac:dyDescent="0.4">
      <c r="A138" s="114" t="s">
        <v>1389</v>
      </c>
      <c r="C138" s="423">
        <f>37.8</f>
        <v>37.799999999999997</v>
      </c>
    </row>
    <row r="139" spans="1:7" x14ac:dyDescent="0.4">
      <c r="A139" s="114" t="s">
        <v>1392</v>
      </c>
      <c r="C139" s="423">
        <v>53.25</v>
      </c>
    </row>
  </sheetData>
  <conditionalFormatting sqref="A10">
    <cfRule type="expression" dxfId="337"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100-000000000000}">
          <x14:formula1>
            <xm:f>'D:\Github\IGOC-Workspace\Mech Elec Template\[V2 - XXX -  Mech Elec - Rev A.xlsx]Sheet1'!#REF!</xm:f>
          </x14:formula1>
          <xm:sqref>A22:A23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CC922-3E57-4D00-A701-E28B3EDEE6C6}">
  <dimension ref="A1:F139"/>
  <sheetViews>
    <sheetView workbookViewId="0">
      <selection activeCell="F9" sqref="F9"/>
    </sheetView>
  </sheetViews>
  <sheetFormatPr defaultRowHeight="14.6" x14ac:dyDescent="0.4"/>
  <cols>
    <col min="1" max="1" width="19.3046875" customWidth="1"/>
    <col min="3" max="3" width="9.23046875" style="114"/>
  </cols>
  <sheetData>
    <row r="1" spans="1:6" x14ac:dyDescent="0.4">
      <c r="A1" t="str">
        <f>Parts!A1</f>
        <v>Part</v>
      </c>
      <c r="B1" s="114" t="str">
        <f>Parts!B1</f>
        <v>Part No.</v>
      </c>
      <c r="C1" s="114" t="s">
        <v>893</v>
      </c>
      <c r="D1" t="s">
        <v>1425</v>
      </c>
      <c r="E1" t="s">
        <v>1433</v>
      </c>
      <c r="F1" s="114" t="s">
        <v>1437</v>
      </c>
    </row>
    <row r="2" spans="1:6" x14ac:dyDescent="0.4">
      <c r="A2" s="114" t="str">
        <f>Parts!A2</f>
        <v>1 Phase Isolator</v>
      </c>
      <c r="B2" s="114" t="str">
        <f>Parts!B2</f>
        <v>WP135</v>
      </c>
      <c r="C2" s="114">
        <f>SUM(D2:Z2)</f>
        <v>0</v>
      </c>
      <c r="D2" s="114">
        <f>IFERROR(VLOOKUP(A2,Fan_Pricing!B:F,5,FALSE),0)</f>
        <v>0</v>
      </c>
      <c r="E2" s="114">
        <f>IFERROR(VLOOKUP(A2,AC_Pricing!B:F,5,FALSE),0)</f>
        <v>0</v>
      </c>
      <c r="F2">
        <f>IFERROR(VLOOKUP(A2,Chiller_Pricing!B:F,5,FALSE),0)</f>
        <v>0</v>
      </c>
    </row>
    <row r="3" spans="1:6" x14ac:dyDescent="0.4">
      <c r="A3" s="114" t="str">
        <f>Parts!A3</f>
        <v>3 Phase Isolator</v>
      </c>
      <c r="B3" s="114" t="str">
        <f>Parts!B3</f>
        <v>WP363</v>
      </c>
      <c r="C3" s="114">
        <f t="shared" ref="C3:C17" si="0">SUM(D3:Z3)</f>
        <v>0</v>
      </c>
      <c r="D3" s="114">
        <f>IFERROR(VLOOKUP(A3,Fan_Pricing!B:F,5,FALSE),0)</f>
        <v>0</v>
      </c>
      <c r="E3">
        <f>IFERROR(VLOOKUP(A3,AC_Pricing!B:F,5,FALSE),0)</f>
        <v>0</v>
      </c>
      <c r="F3" s="114">
        <f>IFERROR(VLOOKUP(A3,Chiller_Pricing!B:F,5,FALSE),0)</f>
        <v>0</v>
      </c>
    </row>
    <row r="4" spans="1:6" x14ac:dyDescent="0.4">
      <c r="A4" s="114" t="str">
        <f>Parts!A4</f>
        <v>2.5mm Twin and Earth</v>
      </c>
      <c r="B4" s="114">
        <f>Parts!B4</f>
        <v>0</v>
      </c>
      <c r="C4" s="114">
        <f t="shared" si="0"/>
        <v>0</v>
      </c>
      <c r="D4" s="114">
        <f>IFERROR(VLOOKUP(A4,Fan_Pricing!B:F,5,FALSE),0)</f>
        <v>0</v>
      </c>
      <c r="E4" s="114">
        <f>IFERROR(VLOOKUP(A4,AC_Pricing!B:F,5,FALSE),0)</f>
        <v>0</v>
      </c>
      <c r="F4" s="114">
        <f>IFERROR(VLOOKUP(A4,Chiller_Pricing!B:F,5,FALSE),0)</f>
        <v>0</v>
      </c>
    </row>
    <row r="5" spans="1:6" x14ac:dyDescent="0.4">
      <c r="A5" s="114" t="str">
        <f>Parts!A5</f>
        <v>Auto/Off/On switch</v>
      </c>
      <c r="B5" s="114" t="str">
        <f>Parts!B5</f>
        <v>RKR22OFO + LEGEND/MOA</v>
      </c>
      <c r="C5" s="114">
        <f t="shared" si="0"/>
        <v>3</v>
      </c>
      <c r="D5" s="114">
        <f>IFERROR(VLOOKUP(A5,Fan_Pricing!B:F,5,FALSE),0)</f>
        <v>0</v>
      </c>
      <c r="E5" s="114">
        <f>IFERROR(VLOOKUP(A5,AC_Pricing!B:F,5,FALSE),0)</f>
        <v>1</v>
      </c>
      <c r="F5" s="114">
        <f>IFERROR(VLOOKUP(A5,Chiller_Pricing!B:F,5,FALSE),0)</f>
        <v>2</v>
      </c>
    </row>
    <row r="6" spans="1:6" x14ac:dyDescent="0.4">
      <c r="A6" s="114" t="str">
        <f>Parts!A6</f>
        <v>CB 1 Phase 10A</v>
      </c>
      <c r="B6" s="114" t="str">
        <f>Parts!B6</f>
        <v>MCB10P1</v>
      </c>
      <c r="C6" s="114">
        <f t="shared" si="0"/>
        <v>0</v>
      </c>
      <c r="D6" s="114">
        <f>IFERROR(VLOOKUP(A6,Fan_Pricing!B:F,5,FALSE),0)</f>
        <v>0</v>
      </c>
      <c r="E6" s="114">
        <f>IFERROR(VLOOKUP(A6,AC_Pricing!B:F,5,FALSE),0)</f>
        <v>0</v>
      </c>
      <c r="F6" s="114">
        <f>IFERROR(VLOOKUP(A6,Chiller_Pricing!B:F,5,FALSE),0)</f>
        <v>0</v>
      </c>
    </row>
    <row r="7" spans="1:6" x14ac:dyDescent="0.4">
      <c r="A7" s="114" t="str">
        <f>Parts!A7</f>
        <v>CB 3 Phase 50A</v>
      </c>
      <c r="B7" s="114" t="str">
        <f>Parts!B7</f>
        <v>MCB50P3</v>
      </c>
      <c r="C7" s="114">
        <f t="shared" si="0"/>
        <v>0</v>
      </c>
      <c r="D7" s="114">
        <f>IFERROR(VLOOKUP(A7,Fan_Pricing!B:F,5,FALSE),0)</f>
        <v>0</v>
      </c>
      <c r="E7" s="114">
        <f>IFERROR(VLOOKUP(A7,AC_Pricing!B:F,5,FALSE),0)</f>
        <v>0</v>
      </c>
      <c r="F7" s="114">
        <f>IFERROR(VLOOKUP(A7,Chiller_Pricing!B:F,5,FALSE),0)</f>
        <v>0</v>
      </c>
    </row>
    <row r="8" spans="1:6" x14ac:dyDescent="0.4">
      <c r="A8" s="114" t="str">
        <f>Parts!A8</f>
        <v>Commissioning/Testing</v>
      </c>
      <c r="B8" s="114">
        <f>Parts!B8</f>
        <v>0</v>
      </c>
      <c r="C8" s="114">
        <f t="shared" si="0"/>
        <v>0</v>
      </c>
      <c r="D8" s="114">
        <f>IFERROR(VLOOKUP(A8,Fan_Pricing!B:F,5,FALSE),0)</f>
        <v>0</v>
      </c>
      <c r="E8" s="114">
        <f>IFERROR(VLOOKUP(A8,AC_Pricing!B:F,5,FALSE),0)</f>
        <v>0</v>
      </c>
      <c r="F8" s="114">
        <f>IFERROR(VLOOKUP(A8,Chiller_Pricing!B:F,5,FALSE),0)</f>
        <v>0</v>
      </c>
    </row>
    <row r="9" spans="1:6" x14ac:dyDescent="0.4">
      <c r="A9" s="114" t="str">
        <f>Parts!A9</f>
        <v>Contactors &amp; Overloads</v>
      </c>
      <c r="B9" s="114" t="str">
        <f>Parts!B9</f>
        <v>CDC1712AC 24vac 10a + 
CDR17A2.2</v>
      </c>
      <c r="C9" s="114">
        <f t="shared" si="0"/>
        <v>0</v>
      </c>
      <c r="D9" s="114">
        <f>IFERROR(VLOOKUP(A9,Fan_Pricing!B:F,5,FALSE),0)</f>
        <v>0</v>
      </c>
      <c r="E9" s="114">
        <f>IFERROR(VLOOKUP(A9,AC_Pricing!B:F,5,FALSE),0)</f>
        <v>0</v>
      </c>
      <c r="F9" s="114">
        <f>IFERROR(VLOOKUP(A9,Chiller_Pricing!B:F,5,FALSE),0)</f>
        <v>0</v>
      </c>
    </row>
    <row r="10" spans="1:6" x14ac:dyDescent="0.4">
      <c r="A10" s="114" t="str">
        <f>Parts!A10</f>
        <v>Fire Relay</v>
      </c>
      <c r="B10" s="114" t="str">
        <f>Parts!B10</f>
        <v>882DC24SLS or 882DC12SLS</v>
      </c>
      <c r="C10" s="114">
        <f t="shared" si="0"/>
        <v>0</v>
      </c>
      <c r="D10" s="114">
        <f>IFERROR(VLOOKUP(A10,Fan_Pricing!B:F,5,FALSE),0)</f>
        <v>0</v>
      </c>
      <c r="E10" s="114">
        <f>IFERROR(VLOOKUP(A10,AC_Pricing!B:F,5,FALSE),0)</f>
        <v>0</v>
      </c>
      <c r="F10" s="114">
        <f>IFERROR(VLOOKUP(A10,Chiller_Pricing!B:F,5,FALSE),0)</f>
        <v>0</v>
      </c>
    </row>
    <row r="11" spans="1:6" x14ac:dyDescent="0.4">
      <c r="A11" s="114" t="str">
        <f>Parts!A11</f>
        <v>Programable Timeclock controller</v>
      </c>
      <c r="B11" s="114">
        <f>Parts!B11</f>
        <v>0</v>
      </c>
      <c r="C11" s="114">
        <f t="shared" si="0"/>
        <v>3</v>
      </c>
      <c r="D11" s="114">
        <f>IFERROR(VLOOKUP(A11,Fan_Pricing!B:F,5,FALSE),0)</f>
        <v>0</v>
      </c>
      <c r="E11" s="114">
        <f>IFERROR(VLOOKUP(A11,AC_Pricing!B:F,5,FALSE),0)</f>
        <v>1</v>
      </c>
      <c r="F11" s="114">
        <f>IFERROR(VLOOKUP(A11,Chiller_Pricing!B:F,5,FALSE),0)</f>
        <v>2</v>
      </c>
    </row>
    <row r="12" spans="1:6" x14ac:dyDescent="0.4">
      <c r="A12" s="114" t="str">
        <f>Parts!A12</f>
        <v>Reed Switch</v>
      </c>
      <c r="B12" s="114">
        <f>Parts!B12</f>
        <v>0</v>
      </c>
      <c r="C12" s="114">
        <f t="shared" si="0"/>
        <v>1</v>
      </c>
      <c r="D12" s="114">
        <f>IFERROR(VLOOKUP(A12,Fan_Pricing!B:F,5,FALSE),0)</f>
        <v>0</v>
      </c>
      <c r="E12" s="114">
        <f>IFERROR(VLOOKUP(A12,AC_Pricing!B:F,5,FALSE),0)</f>
        <v>1</v>
      </c>
      <c r="F12" s="114">
        <f>IFERROR(VLOOKUP(A12,Chiller_Pricing!B:F,5,FALSE),0)</f>
        <v>0</v>
      </c>
    </row>
    <row r="13" spans="1:6" x14ac:dyDescent="0.4">
      <c r="A13" s="114" t="str">
        <f>Parts!A13</f>
        <v>Run &amp; Fault LEDs</v>
      </c>
      <c r="B13" s="114" t="str">
        <f>Parts!B13</f>
        <v>PL22G24LED + PL22R24LED</v>
      </c>
      <c r="C13" s="114">
        <f t="shared" si="0"/>
        <v>0</v>
      </c>
      <c r="D13" s="114">
        <f>IFERROR(VLOOKUP(A13,Fan_Pricing!B:F,5,FALSE),0)</f>
        <v>0</v>
      </c>
      <c r="E13" s="114">
        <f>IFERROR(VLOOKUP(A13,AC_Pricing!B:F,5,FALSE),0)</f>
        <v>0</v>
      </c>
      <c r="F13" s="114">
        <f>IFERROR(VLOOKUP(A13,Chiller_Pricing!B:F,5,FALSE),0)</f>
        <v>0</v>
      </c>
    </row>
    <row r="14" spans="1:6" x14ac:dyDescent="0.4">
      <c r="A14" s="114" t="str">
        <f>Parts!A14</f>
        <v>Switchboard Cable 1mm</v>
      </c>
      <c r="B14" s="114">
        <f>Parts!B14</f>
        <v>0</v>
      </c>
      <c r="C14" s="114">
        <f t="shared" si="0"/>
        <v>10</v>
      </c>
      <c r="D14" s="114">
        <f>IFERROR(VLOOKUP(A14,Fan_Pricing!B:F,5,FALSE),0)</f>
        <v>0</v>
      </c>
      <c r="E14" s="114">
        <f>IFERROR(VLOOKUP(A14,AC_Pricing!B:F,5,FALSE),0)</f>
        <v>10</v>
      </c>
      <c r="F14" s="114">
        <f>IFERROR(VLOOKUP(A14,Chiller_Pricing!B:F,5,FALSE),0)</f>
        <v>0</v>
      </c>
    </row>
    <row r="15" spans="1:6" x14ac:dyDescent="0.4">
      <c r="A15" s="114" t="str">
        <f>Parts!A15</f>
        <v>Traffolyte Labelling</v>
      </c>
      <c r="B15" s="114" t="str">
        <f>Parts!B15</f>
        <v>-</v>
      </c>
      <c r="C15" s="114">
        <f t="shared" si="0"/>
        <v>0</v>
      </c>
      <c r="D15" s="114">
        <f>IFERROR(VLOOKUP(A15,Fan_Pricing!B:F,5,FALSE),0)</f>
        <v>0</v>
      </c>
      <c r="E15" s="114">
        <f>IFERROR(VLOOKUP(A15,AC_Pricing!B:F,5,FALSE),0)</f>
        <v>0</v>
      </c>
      <c r="F15" s="114">
        <f>IFERROR(VLOOKUP(A15,Chiller_Pricing!B:F,5,FALSE),0)</f>
        <v>0</v>
      </c>
    </row>
    <row r="16" spans="1:6" x14ac:dyDescent="0.4">
      <c r="A16" s="114" t="str">
        <f>Parts!A16</f>
        <v>Mechanical Thermostat</v>
      </c>
      <c r="B16" s="114" t="str">
        <f>Parts!B16</f>
        <v>ETO6060U</v>
      </c>
      <c r="C16" s="114">
        <f t="shared" si="0"/>
        <v>1</v>
      </c>
      <c r="D16" s="114">
        <f>IFERROR(VLOOKUP(A16,Fan_Pricing!B:F,5,FALSE),0)</f>
        <v>0</v>
      </c>
      <c r="E16" s="114">
        <f>IFERROR(VLOOKUP(A16,AC_Pricing!B:F,5,FALSE),0)</f>
        <v>1</v>
      </c>
      <c r="F16" s="114">
        <f>IFERROR(VLOOKUP(A16,Chiller_Pricing!B:F,5,FALSE),0)</f>
        <v>0</v>
      </c>
    </row>
    <row r="17" spans="1:6" x14ac:dyDescent="0.4">
      <c r="A17" s="114" t="str">
        <f>Parts!A17</f>
        <v>Controls Enclosure</v>
      </c>
      <c r="B17" s="114">
        <f>Parts!B17</f>
        <v>0</v>
      </c>
      <c r="C17" s="114">
        <f t="shared" si="0"/>
        <v>0</v>
      </c>
      <c r="D17" s="114">
        <f>IFERROR(VLOOKUP(A17,Fan_Pricing!B:F,5,FALSE),0)</f>
        <v>0</v>
      </c>
      <c r="E17" s="114">
        <f>IFERROR(VLOOKUP(A17,AC_Pricing!B:F,5,FALSE),0)</f>
        <v>0</v>
      </c>
      <c r="F17" s="114">
        <f>IFERROR(VLOOKUP(A17,Chiller_Pricing!B:F,5,FALSE),0)</f>
        <v>0</v>
      </c>
    </row>
    <row r="18" spans="1:6" x14ac:dyDescent="0.4">
      <c r="A18" s="114" t="str">
        <f>Parts!A18</f>
        <v>Current Switch</v>
      </c>
      <c r="B18" s="114" t="str">
        <f>Parts!B18</f>
        <v>CCS131</v>
      </c>
      <c r="C18" s="114">
        <f t="shared" ref="C18:C81" si="1">SUM(D18:Z18)</f>
        <v>0</v>
      </c>
      <c r="D18" s="114">
        <f>IFERROR(VLOOKUP(A18,Fan_Pricing!B:F,5,FALSE),0)</f>
        <v>0</v>
      </c>
      <c r="E18" s="114">
        <f>IFERROR(VLOOKUP(A18,AC_Pricing!B:F,5,FALSE),0)</f>
        <v>0</v>
      </c>
      <c r="F18" s="114">
        <f>IFERROR(VLOOKUP(A18,Chiller_Pricing!B:F,5,FALSE),0)</f>
        <v>0</v>
      </c>
    </row>
    <row r="19" spans="1:6" x14ac:dyDescent="0.4">
      <c r="A19" s="114" t="str">
        <f>Parts!A19</f>
        <v>General Relay</v>
      </c>
      <c r="B19" s="114" t="str">
        <f>Parts!B19</f>
        <v>882DC24SLS or 882DC12SLS</v>
      </c>
      <c r="C19" s="114">
        <f t="shared" si="1"/>
        <v>0</v>
      </c>
      <c r="D19" s="114">
        <f>IFERROR(VLOOKUP(A19,Fan_Pricing!B:F,5,FALSE),0)</f>
        <v>0</v>
      </c>
      <c r="E19" s="114">
        <f>IFERROR(VLOOKUP(A19,AC_Pricing!B:F,5,FALSE),0)</f>
        <v>0</v>
      </c>
      <c r="F19" s="114">
        <f>IFERROR(VLOOKUP(A19,Chiller_Pricing!B:F,5,FALSE),0)</f>
        <v>0</v>
      </c>
    </row>
    <row r="20" spans="1:6" x14ac:dyDescent="0.4">
      <c r="A20" s="114" t="str">
        <f>Parts!A20</f>
        <v>Run On Timer</v>
      </c>
      <c r="B20" s="114">
        <f>Parts!B20</f>
        <v>0</v>
      </c>
      <c r="C20" s="114">
        <f t="shared" si="1"/>
        <v>3</v>
      </c>
      <c r="D20" s="114">
        <f>IFERROR(VLOOKUP(A20,Fan_Pricing!B:F,5,FALSE),0)</f>
        <v>0</v>
      </c>
      <c r="E20" s="114">
        <f>IFERROR(VLOOKUP(A20,AC_Pricing!B:F,5,FALSE),0)</f>
        <v>1</v>
      </c>
      <c r="F20" s="114">
        <f>IFERROR(VLOOKUP(A20,Chiller_Pricing!B:F,5,FALSE),0)</f>
        <v>2</v>
      </c>
    </row>
    <row r="21" spans="1:6" x14ac:dyDescent="0.4">
      <c r="A21" s="114" t="str">
        <f>Parts!A21</f>
        <v>7030 2 pair TCAS7302P</v>
      </c>
      <c r="B21" s="114">
        <f>Parts!B21</f>
        <v>0</v>
      </c>
      <c r="C21" s="114">
        <f t="shared" si="1"/>
        <v>30</v>
      </c>
      <c r="D21" s="114">
        <f>IFERROR(VLOOKUP(A21,Fan_Pricing!B:F,5,FALSE),0)</f>
        <v>0</v>
      </c>
      <c r="E21" s="114">
        <f>IFERROR(VLOOKUP(A21,AC_Pricing!B:F,5,FALSE),0)</f>
        <v>10</v>
      </c>
      <c r="F21" s="114">
        <f>IFERROR(VLOOKUP(A21,Chiller_Pricing!B:F,5,FALSE),0)</f>
        <v>20</v>
      </c>
    </row>
    <row r="22" spans="1:6" x14ac:dyDescent="0.4">
      <c r="A22" s="114" t="str">
        <f>Parts!A22</f>
        <v>Ducted VRF Unit &lt; 10m</v>
      </c>
      <c r="B22" s="114">
        <f>Parts!B22</f>
        <v>0</v>
      </c>
      <c r="C22" s="114">
        <f t="shared" si="1"/>
        <v>0</v>
      </c>
      <c r="D22" s="114">
        <f>IFERROR(VLOOKUP(A22,Fan_Pricing!B:F,5,FALSE),0)</f>
        <v>0</v>
      </c>
      <c r="E22" s="114">
        <f>IFERROR(VLOOKUP(A22,AC_Pricing!B:F,5,FALSE),0)</f>
        <v>0</v>
      </c>
      <c r="F22" s="114">
        <f>IFERROR(VLOOKUP(A22,Chiller_Pricing!B:F,5,FALSE),0)</f>
        <v>0</v>
      </c>
    </row>
    <row r="23" spans="1:6" x14ac:dyDescent="0.4">
      <c r="A23" s="114" t="str">
        <f>Parts!A23</f>
        <v>VRF Network</v>
      </c>
      <c r="B23" s="114">
        <f>Parts!B23</f>
        <v>0</v>
      </c>
      <c r="C23" s="114">
        <f t="shared" si="1"/>
        <v>0</v>
      </c>
      <c r="D23" s="114">
        <f>IFERROR(VLOOKUP(A23,Fan_Pricing!B:F,5,FALSE),0)</f>
        <v>0</v>
      </c>
      <c r="E23" s="114">
        <f>IFERROR(VLOOKUP(A23,AC_Pricing!B:F,5,FALSE),0)</f>
        <v>0</v>
      </c>
      <c r="F23" s="114">
        <f>IFERROR(VLOOKUP(A23,Chiller_Pricing!B:F,5,FALSE),0)</f>
        <v>0</v>
      </c>
    </row>
    <row r="24" spans="1:6" x14ac:dyDescent="0.4">
      <c r="A24" s="114" t="str">
        <f>Parts!A24</f>
        <v>Commissioning Wall Controller VRF</v>
      </c>
      <c r="B24" s="114">
        <f>Parts!B24</f>
        <v>0</v>
      </c>
      <c r="C24" s="114">
        <f t="shared" si="1"/>
        <v>0</v>
      </c>
      <c r="D24" s="114">
        <f>IFERROR(VLOOKUP(A24,Fan_Pricing!B:F,5,FALSE),0)</f>
        <v>0</v>
      </c>
      <c r="E24" s="114">
        <f>IFERROR(VLOOKUP(A24,AC_Pricing!B:F,5,FALSE),0)</f>
        <v>0</v>
      </c>
      <c r="F24" s="114">
        <f>IFERROR(VLOOKUP(A24,Chiller_Pricing!B:F,5,FALSE),0)</f>
        <v>0</v>
      </c>
    </row>
    <row r="25" spans="1:6" x14ac:dyDescent="0.4">
      <c r="A25" s="114" t="str">
        <f>Parts!A25</f>
        <v>Cabling</v>
      </c>
      <c r="B25" s="114">
        <f>Parts!B25</f>
        <v>0</v>
      </c>
      <c r="C25" s="114">
        <f t="shared" si="1"/>
        <v>0</v>
      </c>
      <c r="D25" s="114">
        <f>IFERROR(VLOOKUP(A25,Fan_Pricing!B:F,5,FALSE),0)</f>
        <v>0</v>
      </c>
      <c r="E25" s="114">
        <f>IFERROR(VLOOKUP(A25,AC_Pricing!B:F,5,FALSE),0)</f>
        <v>0</v>
      </c>
      <c r="F25" s="114">
        <f>IFERROR(VLOOKUP(A25,Chiller_Pricing!B:F,5,FALSE),0)</f>
        <v>0</v>
      </c>
    </row>
    <row r="26" spans="1:6" x14ac:dyDescent="0.4">
      <c r="A26" s="114" t="str">
        <f>Parts!A26</f>
        <v>Cond. Unit Sml Dx Install</v>
      </c>
      <c r="B26" s="114">
        <f>Parts!B26</f>
        <v>0</v>
      </c>
      <c r="C26" s="114">
        <f t="shared" si="1"/>
        <v>0</v>
      </c>
      <c r="D26" s="114">
        <f>IFERROR(VLOOKUP(A26,Fan_Pricing!B:F,5,FALSE),0)</f>
        <v>0</v>
      </c>
      <c r="E26" s="114">
        <f>IFERROR(VLOOKUP(A26,AC_Pricing!B:F,5,FALSE),0)</f>
        <v>0</v>
      </c>
      <c r="F26" s="114">
        <f>IFERROR(VLOOKUP(A26,Chiller_Pricing!B:F,5,FALSE),0)</f>
        <v>0</v>
      </c>
    </row>
    <row r="27" spans="1:6" x14ac:dyDescent="0.4">
      <c r="A27" s="114" t="str">
        <f>Parts!A27</f>
        <v>Traffolyte</v>
      </c>
      <c r="B27" s="114">
        <f>Parts!B27</f>
        <v>0</v>
      </c>
      <c r="C27" s="114">
        <f t="shared" si="1"/>
        <v>0</v>
      </c>
      <c r="D27" s="114">
        <f>IFERROR(VLOOKUP(A27,Fan_Pricing!B:F,5,FALSE),0)</f>
        <v>0</v>
      </c>
      <c r="E27" s="114">
        <f>IFERROR(VLOOKUP(A27,AC_Pricing!B:F,5,FALSE),0)</f>
        <v>0</v>
      </c>
      <c r="F27" s="114">
        <f>IFERROR(VLOOKUP(A27,Chiller_Pricing!B:F,5,FALSE),0)</f>
        <v>0</v>
      </c>
    </row>
    <row r="28" spans="1:6" x14ac:dyDescent="0.4">
      <c r="A28" s="114" t="str">
        <f>Parts!A28</f>
        <v>VSD Typical</v>
      </c>
      <c r="B28" s="114" t="str">
        <f>Parts!B28</f>
        <v>FC-101P7K5</v>
      </c>
      <c r="C28" s="114">
        <f t="shared" si="1"/>
        <v>0</v>
      </c>
      <c r="D28" s="114">
        <f>IFERROR(VLOOKUP(A28,Fan_Pricing!B:F,5,FALSE),0)</f>
        <v>0</v>
      </c>
      <c r="E28" s="114">
        <f>IFERROR(VLOOKUP(A28,AC_Pricing!B:F,5,FALSE),0)</f>
        <v>0</v>
      </c>
      <c r="F28" s="114">
        <f>IFERROR(VLOOKUP(A28,Chiller_Pricing!B:F,5,FALSE),0)</f>
        <v>0</v>
      </c>
    </row>
    <row r="29" spans="1:6" x14ac:dyDescent="0.4">
      <c r="A29" s="114" t="str">
        <f>Parts!A29</f>
        <v>EN46-O</v>
      </c>
      <c r="B29" s="114" t="str">
        <f>Parts!B29</f>
        <v>MBO4620</v>
      </c>
      <c r="C29" s="114">
        <f t="shared" si="1"/>
        <v>0</v>
      </c>
      <c r="D29" s="114">
        <f>IFERROR(VLOOKUP(A29,Fan_Pricing!B:F,5,FALSE),0)</f>
        <v>0</v>
      </c>
      <c r="E29" s="114">
        <f>IFERROR(VLOOKUP(A29,AC_Pricing!B:F,5,FALSE),0)</f>
        <v>0</v>
      </c>
      <c r="F29" s="114">
        <f>IFERROR(VLOOKUP(A29,Chiller_Pricing!B:F,5,FALSE),0)</f>
        <v>0</v>
      </c>
    </row>
    <row r="30" spans="1:6" x14ac:dyDescent="0.4">
      <c r="A30" s="114" t="str">
        <f>Parts!A30</f>
        <v>EN66-O</v>
      </c>
      <c r="B30" s="114" t="str">
        <f>Parts!B30</f>
        <v>MBO6620</v>
      </c>
      <c r="C30" s="114">
        <f t="shared" si="1"/>
        <v>0</v>
      </c>
      <c r="D30" s="114">
        <f>IFERROR(VLOOKUP(A30,Fan_Pricing!B:F,5,FALSE),0)</f>
        <v>0</v>
      </c>
      <c r="E30" s="114">
        <f>IFERROR(VLOOKUP(A30,AC_Pricing!B:F,5,FALSE),0)</f>
        <v>0</v>
      </c>
      <c r="F30" s="114">
        <f>IFERROR(VLOOKUP(A30,Chiller_Pricing!B:F,5,FALSE),0)</f>
        <v>0</v>
      </c>
    </row>
    <row r="31" spans="1:6" x14ac:dyDescent="0.4">
      <c r="A31" s="114" t="str">
        <f>Parts!A31</f>
        <v>EN68-O</v>
      </c>
      <c r="B31" s="114" t="str">
        <f>Parts!B31</f>
        <v>MBO6825</v>
      </c>
      <c r="C31" s="114">
        <f t="shared" si="1"/>
        <v>0</v>
      </c>
      <c r="D31" s="114">
        <f>IFERROR(VLOOKUP(A31,Fan_Pricing!B:F,5,FALSE),0)</f>
        <v>0</v>
      </c>
      <c r="E31" s="114">
        <f>IFERROR(VLOOKUP(A31,AC_Pricing!B:F,5,FALSE),0)</f>
        <v>0</v>
      </c>
      <c r="F31" s="114">
        <f>IFERROR(VLOOKUP(A31,Chiller_Pricing!B:F,5,FALSE),0)</f>
        <v>0</v>
      </c>
    </row>
    <row r="32" spans="1:6" x14ac:dyDescent="0.4">
      <c r="A32" s="114" t="str">
        <f>Parts!A32</f>
        <v>EN810-O</v>
      </c>
      <c r="B32" s="114" t="str">
        <f>Parts!B32</f>
        <v>MB81030</v>
      </c>
      <c r="C32" s="114">
        <f t="shared" si="1"/>
        <v>0</v>
      </c>
      <c r="D32" s="114">
        <f>IFERROR(VLOOKUP(A32,Fan_Pricing!B:F,5,FALSE),0)</f>
        <v>0</v>
      </c>
      <c r="E32" s="114">
        <f>IFERROR(VLOOKUP(A32,AC_Pricing!B:F,5,FALSE),0)</f>
        <v>0</v>
      </c>
      <c r="F32" s="114">
        <f>IFERROR(VLOOKUP(A32,Chiller_Pricing!B:F,5,FALSE),0)</f>
        <v>0</v>
      </c>
    </row>
    <row r="33" spans="1:6" x14ac:dyDescent="0.4">
      <c r="A33" s="114" t="str">
        <f>Parts!A33</f>
        <v>EN46-G</v>
      </c>
      <c r="B33" s="114" t="str">
        <f>Parts!B33</f>
        <v>MB4620</v>
      </c>
      <c r="C33" s="114">
        <f t="shared" si="1"/>
        <v>0</v>
      </c>
      <c r="D33" s="114">
        <f>IFERROR(VLOOKUP(A33,Fan_Pricing!B:F,5,FALSE),0)</f>
        <v>0</v>
      </c>
      <c r="E33" s="114">
        <f>IFERROR(VLOOKUP(A33,AC_Pricing!B:F,5,FALSE),0)</f>
        <v>0</v>
      </c>
      <c r="F33" s="114">
        <f>IFERROR(VLOOKUP(A33,Chiller_Pricing!B:F,5,FALSE),0)</f>
        <v>0</v>
      </c>
    </row>
    <row r="34" spans="1:6" x14ac:dyDescent="0.4">
      <c r="A34" s="114" t="str">
        <f>Parts!A34</f>
        <v>EN66-G</v>
      </c>
      <c r="B34" s="114" t="str">
        <f>Parts!B34</f>
        <v>MB6630</v>
      </c>
      <c r="C34" s="114">
        <f t="shared" si="1"/>
        <v>0</v>
      </c>
      <c r="D34" s="114">
        <f>IFERROR(VLOOKUP(A34,Fan_Pricing!B:F,5,FALSE),0)</f>
        <v>0</v>
      </c>
      <c r="E34" s="114">
        <f>IFERROR(VLOOKUP(A34,AC_Pricing!B:F,5,FALSE),0)</f>
        <v>0</v>
      </c>
      <c r="F34" s="114">
        <f>IFERROR(VLOOKUP(A34,Chiller_Pricing!B:F,5,FALSE),0)</f>
        <v>0</v>
      </c>
    </row>
    <row r="35" spans="1:6" x14ac:dyDescent="0.4">
      <c r="A35" s="114" t="str">
        <f>Parts!A35</f>
        <v>EN68-G</v>
      </c>
      <c r="B35" s="114" t="str">
        <f>Parts!B35</f>
        <v>MB6830</v>
      </c>
      <c r="C35" s="114">
        <f t="shared" si="1"/>
        <v>0</v>
      </c>
      <c r="D35" s="114">
        <f>IFERROR(VLOOKUP(A35,Fan_Pricing!B:F,5,FALSE),0)</f>
        <v>0</v>
      </c>
      <c r="E35" s="114">
        <f>IFERROR(VLOOKUP(A35,AC_Pricing!B:F,5,FALSE),0)</f>
        <v>0</v>
      </c>
      <c r="F35" s="114">
        <f>IFERROR(VLOOKUP(A35,Chiller_Pricing!B:F,5,FALSE),0)</f>
        <v>0</v>
      </c>
    </row>
    <row r="36" spans="1:6" x14ac:dyDescent="0.4">
      <c r="A36" s="114" t="str">
        <f>Parts!A36</f>
        <v>EN88-G</v>
      </c>
      <c r="B36" s="114" t="str">
        <f>Parts!B36</f>
        <v>MB8830</v>
      </c>
      <c r="C36" s="114">
        <f t="shared" si="1"/>
        <v>0</v>
      </c>
      <c r="D36" s="114">
        <f>IFERROR(VLOOKUP(A36,Fan_Pricing!B:F,5,FALSE),0)</f>
        <v>0</v>
      </c>
      <c r="E36" s="114">
        <f>IFERROR(VLOOKUP(A36,AC_Pricing!B:F,5,FALSE),0)</f>
        <v>0</v>
      </c>
      <c r="F36" s="114">
        <f>IFERROR(VLOOKUP(A36,Chiller_Pricing!B:F,5,FALSE),0)</f>
        <v>0</v>
      </c>
    </row>
    <row r="37" spans="1:6" x14ac:dyDescent="0.4">
      <c r="A37" s="114" t="str">
        <f>Parts!A37</f>
        <v>EN810-G</v>
      </c>
      <c r="B37" s="114" t="str">
        <f>Parts!B37</f>
        <v>MB81030</v>
      </c>
      <c r="C37" s="114">
        <f t="shared" si="1"/>
        <v>0</v>
      </c>
      <c r="D37" s="114">
        <f>IFERROR(VLOOKUP(A37,Fan_Pricing!B:F,5,FALSE),0)</f>
        <v>0</v>
      </c>
      <c r="E37" s="114">
        <f>IFERROR(VLOOKUP(A37,AC_Pricing!B:F,5,FALSE),0)</f>
        <v>0</v>
      </c>
      <c r="F37" s="114">
        <f>IFERROR(VLOOKUP(A37,Chiller_Pricing!B:F,5,FALSE),0)</f>
        <v>0</v>
      </c>
    </row>
    <row r="38" spans="1:6" x14ac:dyDescent="0.4">
      <c r="A38" s="114" t="str">
        <f>Parts!A38</f>
        <v>DB24-2-42-O</v>
      </c>
      <c r="B38" s="114" t="str">
        <f>Parts!B38</f>
        <v>EUR-MDB24OR</v>
      </c>
      <c r="C38" s="114">
        <f t="shared" si="1"/>
        <v>0</v>
      </c>
      <c r="D38" s="114">
        <f>IFERROR(VLOOKUP(A38,Fan_Pricing!B:F,5,FALSE),0)</f>
        <v>0</v>
      </c>
      <c r="E38" s="114">
        <f>IFERROR(VLOOKUP(A38,AC_Pricing!B:F,5,FALSE),0)</f>
        <v>0</v>
      </c>
      <c r="F38" s="114">
        <f>IFERROR(VLOOKUP(A38,Chiller_Pricing!B:F,5,FALSE),0)</f>
        <v>0</v>
      </c>
    </row>
    <row r="39" spans="1:6" x14ac:dyDescent="0.4">
      <c r="A39" s="114" t="str">
        <f>Parts!A39</f>
        <v>DB24-2-42-O-M</v>
      </c>
      <c r="B39" s="114" t="str">
        <f>Parts!B39</f>
        <v>EUR-MDB24O2MC</v>
      </c>
      <c r="C39" s="114">
        <f t="shared" si="1"/>
        <v>0</v>
      </c>
      <c r="D39" s="114">
        <f>IFERROR(VLOOKUP(A39,Fan_Pricing!B:F,5,FALSE),0)</f>
        <v>0</v>
      </c>
      <c r="E39" s="114">
        <f>IFERROR(VLOOKUP(A39,AC_Pricing!B:F,5,FALSE),0)</f>
        <v>0</v>
      </c>
      <c r="F39" s="114">
        <f>IFERROR(VLOOKUP(A39,Chiller_Pricing!B:F,5,FALSE),0)</f>
        <v>0</v>
      </c>
    </row>
    <row r="40" spans="1:6" x14ac:dyDescent="0.4">
      <c r="A40" s="114" t="str">
        <f>Parts!A40</f>
        <v>DB36-2-42-O</v>
      </c>
      <c r="B40" s="114" t="str">
        <f>Parts!B40</f>
        <v>EUR-MDB36OR</v>
      </c>
      <c r="C40" s="114">
        <f t="shared" si="1"/>
        <v>0</v>
      </c>
      <c r="D40" s="114">
        <f>IFERROR(VLOOKUP(A40,Fan_Pricing!B:F,5,FALSE),0)</f>
        <v>0</v>
      </c>
      <c r="E40" s="114">
        <f>IFERROR(VLOOKUP(A40,AC_Pricing!B:F,5,FALSE),0)</f>
        <v>0</v>
      </c>
      <c r="F40" s="114">
        <f>IFERROR(VLOOKUP(A40,Chiller_Pricing!B:F,5,FALSE),0)</f>
        <v>0</v>
      </c>
    </row>
    <row r="41" spans="1:6" x14ac:dyDescent="0.4">
      <c r="A41" s="114" t="str">
        <f>Parts!A41</f>
        <v>DB36-2-42-O-M</v>
      </c>
      <c r="B41" s="114" t="str">
        <f>Parts!B41</f>
        <v>EUR-MDB36O2MC</v>
      </c>
      <c r="C41" s="114">
        <f t="shared" si="1"/>
        <v>0</v>
      </c>
      <c r="D41" s="114">
        <f>IFERROR(VLOOKUP(A41,Fan_Pricing!B:F,5,FALSE),0)</f>
        <v>0</v>
      </c>
      <c r="E41" s="114">
        <f>IFERROR(VLOOKUP(A41,AC_Pricing!B:F,5,FALSE),0)</f>
        <v>0</v>
      </c>
      <c r="F41" s="114">
        <f>IFERROR(VLOOKUP(A41,Chiller_Pricing!B:F,5,FALSE),0)</f>
        <v>0</v>
      </c>
    </row>
    <row r="42" spans="1:6" x14ac:dyDescent="0.4">
      <c r="A42" s="114" t="str">
        <f>Parts!A42</f>
        <v>DB48-2-42-O</v>
      </c>
      <c r="B42" s="114" t="str">
        <f>Parts!B42</f>
        <v>EUR-MDB48OR</v>
      </c>
      <c r="C42" s="114">
        <f t="shared" si="1"/>
        <v>0</v>
      </c>
      <c r="D42" s="114">
        <f>IFERROR(VLOOKUP(A42,Fan_Pricing!B:F,5,FALSE),0)</f>
        <v>0</v>
      </c>
      <c r="E42" s="114">
        <f>IFERROR(VLOOKUP(A42,AC_Pricing!B:F,5,FALSE),0)</f>
        <v>0</v>
      </c>
      <c r="F42" s="114">
        <f>IFERROR(VLOOKUP(A42,Chiller_Pricing!B:F,5,FALSE),0)</f>
        <v>0</v>
      </c>
    </row>
    <row r="43" spans="1:6" x14ac:dyDescent="0.4">
      <c r="A43" s="114" t="str">
        <f>Parts!A43</f>
        <v>DB48-2-42-O-M</v>
      </c>
      <c r="B43" s="114" t="str">
        <f>Parts!B43</f>
        <v>EUR-MDB48O2MC</v>
      </c>
      <c r="C43" s="114">
        <f t="shared" si="1"/>
        <v>0</v>
      </c>
      <c r="D43" s="114">
        <f>IFERROR(VLOOKUP(A43,Fan_Pricing!B:F,5,FALSE),0)</f>
        <v>0</v>
      </c>
      <c r="E43" s="114">
        <f>IFERROR(VLOOKUP(A43,AC_Pricing!B:F,5,FALSE),0)</f>
        <v>0</v>
      </c>
      <c r="F43" s="114">
        <f>IFERROR(VLOOKUP(A43,Chiller_Pricing!B:F,5,FALSE),0)</f>
        <v>0</v>
      </c>
    </row>
    <row r="44" spans="1:6" x14ac:dyDescent="0.4">
      <c r="A44" s="114" t="str">
        <f>Parts!A44</f>
        <v>DB60-2-42-O</v>
      </c>
      <c r="B44" s="114" t="str">
        <f>Parts!B44</f>
        <v>EUR-MDB60OR</v>
      </c>
      <c r="C44" s="114">
        <f t="shared" si="1"/>
        <v>0</v>
      </c>
      <c r="D44" s="114">
        <f>IFERROR(VLOOKUP(A44,Fan_Pricing!B:F,5,FALSE),0)</f>
        <v>0</v>
      </c>
      <c r="E44" s="114">
        <f>IFERROR(VLOOKUP(A44,AC_Pricing!B:F,5,FALSE),0)</f>
        <v>0</v>
      </c>
      <c r="F44" s="114">
        <f>IFERROR(VLOOKUP(A44,Chiller_Pricing!B:F,5,FALSE),0)</f>
        <v>0</v>
      </c>
    </row>
    <row r="45" spans="1:6" x14ac:dyDescent="0.4">
      <c r="A45" s="114" t="str">
        <f>Parts!A45</f>
        <v>DB60-2-42-O-M</v>
      </c>
      <c r="B45" s="114" t="str">
        <f>Parts!B45</f>
        <v>EUR-MDB60O2MC</v>
      </c>
      <c r="C45" s="114">
        <f t="shared" si="1"/>
        <v>0</v>
      </c>
      <c r="D45" s="114">
        <f>IFERROR(VLOOKUP(A45,Fan_Pricing!B:F,5,FALSE),0)</f>
        <v>0</v>
      </c>
      <c r="E45" s="114">
        <f>IFERROR(VLOOKUP(A45,AC_Pricing!B:F,5,FALSE),0)</f>
        <v>0</v>
      </c>
      <c r="F45" s="114">
        <f>IFERROR(VLOOKUP(A45,Chiller_Pricing!B:F,5,FALSE),0)</f>
        <v>0</v>
      </c>
    </row>
    <row r="46" spans="1:6" x14ac:dyDescent="0.4">
      <c r="A46" s="114" t="str">
        <f>Parts!A46</f>
        <v>DB72-2-42-O</v>
      </c>
      <c r="B46" s="114" t="str">
        <f>Parts!B46</f>
        <v>EUR-MDB72OR</v>
      </c>
      <c r="C46" s="114">
        <f t="shared" si="1"/>
        <v>0</v>
      </c>
      <c r="D46" s="114">
        <f>IFERROR(VLOOKUP(A46,Fan_Pricing!B:F,5,FALSE),0)</f>
        <v>0</v>
      </c>
      <c r="E46" s="114">
        <f>IFERROR(VLOOKUP(A46,AC_Pricing!B:F,5,FALSE),0)</f>
        <v>0</v>
      </c>
      <c r="F46" s="114">
        <f>IFERROR(VLOOKUP(A46,Chiller_Pricing!B:F,5,FALSE),0)</f>
        <v>0</v>
      </c>
    </row>
    <row r="47" spans="1:6" x14ac:dyDescent="0.4">
      <c r="A47" s="114" t="str">
        <f>Parts!A47</f>
        <v>DB72-2-42-O-M</v>
      </c>
      <c r="B47" s="114" t="str">
        <f>Parts!B47</f>
        <v>EUR-MDB72O2MC</v>
      </c>
      <c r="C47" s="114">
        <f t="shared" si="1"/>
        <v>0</v>
      </c>
      <c r="D47" s="114">
        <f>IFERROR(VLOOKUP(A47,Fan_Pricing!B:F,5,FALSE),0)</f>
        <v>0</v>
      </c>
      <c r="E47" s="114">
        <f>IFERROR(VLOOKUP(A47,AC_Pricing!B:F,5,FALSE),0)</f>
        <v>0</v>
      </c>
      <c r="F47" s="114">
        <f>IFERROR(VLOOKUP(A47,Chiller_Pricing!B:F,5,FALSE),0)</f>
        <v>0</v>
      </c>
    </row>
    <row r="48" spans="1:6" x14ac:dyDescent="0.4">
      <c r="A48" s="114" t="str">
        <f>Parts!A48</f>
        <v>DB24-2-56-O</v>
      </c>
      <c r="B48" s="114" t="str">
        <f>Parts!B48</f>
        <v>EUR-MDB24OR/WP</v>
      </c>
      <c r="C48" s="114">
        <f t="shared" si="1"/>
        <v>0</v>
      </c>
      <c r="D48" s="114">
        <f>IFERROR(VLOOKUP(A48,Fan_Pricing!B:F,5,FALSE),0)</f>
        <v>0</v>
      </c>
      <c r="E48" s="114">
        <f>IFERROR(VLOOKUP(A48,AC_Pricing!B:F,5,FALSE),0)</f>
        <v>0</v>
      </c>
      <c r="F48" s="114">
        <f>IFERROR(VLOOKUP(A48,Chiller_Pricing!B:F,5,FALSE),0)</f>
        <v>0</v>
      </c>
    </row>
    <row r="49" spans="1:6" x14ac:dyDescent="0.4">
      <c r="A49" s="114" t="str">
        <f>Parts!A49</f>
        <v>DB24-2-56-O-M</v>
      </c>
      <c r="B49" s="114" t="str">
        <f>Parts!B49</f>
        <v>EUR-MDB24O2MCWP</v>
      </c>
      <c r="C49" s="114">
        <f t="shared" si="1"/>
        <v>0</v>
      </c>
      <c r="D49" s="114">
        <f>IFERROR(VLOOKUP(A49,Fan_Pricing!B:F,5,FALSE),0)</f>
        <v>0</v>
      </c>
      <c r="E49" s="114">
        <f>IFERROR(VLOOKUP(A49,AC_Pricing!B:F,5,FALSE),0)</f>
        <v>0</v>
      </c>
      <c r="F49" s="114">
        <f>IFERROR(VLOOKUP(A49,Chiller_Pricing!B:F,5,FALSE),0)</f>
        <v>0</v>
      </c>
    </row>
    <row r="50" spans="1:6" x14ac:dyDescent="0.4">
      <c r="A50" s="114" t="str">
        <f>Parts!A50</f>
        <v>DB36-2-56-O</v>
      </c>
      <c r="B50" s="114" t="str">
        <f>Parts!B50</f>
        <v>EUR-MDB36OR/WP</v>
      </c>
      <c r="C50" s="114">
        <f t="shared" si="1"/>
        <v>0</v>
      </c>
      <c r="D50" s="114">
        <f>IFERROR(VLOOKUP(A50,Fan_Pricing!B:F,5,FALSE),0)</f>
        <v>0</v>
      </c>
      <c r="E50" s="114">
        <f>IFERROR(VLOOKUP(A50,AC_Pricing!B:F,5,FALSE),0)</f>
        <v>0</v>
      </c>
      <c r="F50" s="114">
        <f>IFERROR(VLOOKUP(A50,Chiller_Pricing!B:F,5,FALSE),0)</f>
        <v>0</v>
      </c>
    </row>
    <row r="51" spans="1:6" x14ac:dyDescent="0.4">
      <c r="A51" s="114" t="str">
        <f>Parts!A51</f>
        <v>DB36-2-56-O-M</v>
      </c>
      <c r="B51" s="114" t="str">
        <f>Parts!B51</f>
        <v>EUR-MDB36O2MCWP</v>
      </c>
      <c r="C51" s="114">
        <f t="shared" si="1"/>
        <v>0</v>
      </c>
      <c r="D51" s="114">
        <f>IFERROR(VLOOKUP(A51,Fan_Pricing!B:F,5,FALSE),0)</f>
        <v>0</v>
      </c>
      <c r="E51" s="114">
        <f>IFERROR(VLOOKUP(A51,AC_Pricing!B:F,5,FALSE),0)</f>
        <v>0</v>
      </c>
      <c r="F51" s="114">
        <f>IFERROR(VLOOKUP(A51,Chiller_Pricing!B:F,5,FALSE),0)</f>
        <v>0</v>
      </c>
    </row>
    <row r="52" spans="1:6" x14ac:dyDescent="0.4">
      <c r="A52" s="114" t="str">
        <f>Parts!A52</f>
        <v>DB48-2-56-O</v>
      </c>
      <c r="B52" s="114" t="str">
        <f>Parts!B52</f>
        <v>EUR-MDB48OR/WP</v>
      </c>
      <c r="C52" s="114">
        <f t="shared" si="1"/>
        <v>0</v>
      </c>
      <c r="D52" s="114">
        <f>IFERROR(VLOOKUP(A52,Fan_Pricing!B:F,5,FALSE),0)</f>
        <v>0</v>
      </c>
      <c r="E52" s="114">
        <f>IFERROR(VLOOKUP(A52,AC_Pricing!B:F,5,FALSE),0)</f>
        <v>0</v>
      </c>
      <c r="F52" s="114">
        <f>IFERROR(VLOOKUP(A52,Chiller_Pricing!B:F,5,FALSE),0)</f>
        <v>0</v>
      </c>
    </row>
    <row r="53" spans="1:6" x14ac:dyDescent="0.4">
      <c r="A53" s="114" t="str">
        <f>Parts!A53</f>
        <v>DB48-2-56-O-M</v>
      </c>
      <c r="B53" s="114" t="str">
        <f>Parts!B53</f>
        <v>EUR-MDB48O2MCWP</v>
      </c>
      <c r="C53" s="114">
        <f t="shared" si="1"/>
        <v>0</v>
      </c>
      <c r="D53" s="114">
        <f>IFERROR(VLOOKUP(A53,Fan_Pricing!B:F,5,FALSE),0)</f>
        <v>0</v>
      </c>
      <c r="E53" s="114">
        <f>IFERROR(VLOOKUP(A53,AC_Pricing!B:F,5,FALSE),0)</f>
        <v>0</v>
      </c>
      <c r="F53" s="114">
        <f>IFERROR(VLOOKUP(A53,Chiller_Pricing!B:F,5,FALSE),0)</f>
        <v>0</v>
      </c>
    </row>
    <row r="54" spans="1:6" x14ac:dyDescent="0.4">
      <c r="A54" s="114" t="str">
        <f>Parts!A54</f>
        <v>DB60-2-56-O</v>
      </c>
      <c r="B54" s="114" t="str">
        <f>Parts!B54</f>
        <v>EUR-MDB60OR/WP</v>
      </c>
      <c r="C54" s="114">
        <f t="shared" si="1"/>
        <v>0</v>
      </c>
      <c r="D54" s="114">
        <f>IFERROR(VLOOKUP(A54,Fan_Pricing!B:F,5,FALSE),0)</f>
        <v>0</v>
      </c>
      <c r="E54" s="114">
        <f>IFERROR(VLOOKUP(A54,AC_Pricing!B:F,5,FALSE),0)</f>
        <v>0</v>
      </c>
      <c r="F54" s="114">
        <f>IFERROR(VLOOKUP(A54,Chiller_Pricing!B:F,5,FALSE),0)</f>
        <v>0</v>
      </c>
    </row>
    <row r="55" spans="1:6" x14ac:dyDescent="0.4">
      <c r="A55" s="114" t="str">
        <f>Parts!A55</f>
        <v>DB60-2-56-O-M</v>
      </c>
      <c r="B55" s="114" t="str">
        <f>Parts!B55</f>
        <v>EUR-MDB60O2MCWP</v>
      </c>
      <c r="C55" s="114">
        <f t="shared" si="1"/>
        <v>0</v>
      </c>
      <c r="D55" s="114">
        <f>IFERROR(VLOOKUP(A55,Fan_Pricing!B:F,5,FALSE),0)</f>
        <v>0</v>
      </c>
      <c r="E55" s="114">
        <f>IFERROR(VLOOKUP(A55,AC_Pricing!B:F,5,FALSE),0)</f>
        <v>0</v>
      </c>
      <c r="F55" s="114">
        <f>IFERROR(VLOOKUP(A55,Chiller_Pricing!B:F,5,FALSE),0)</f>
        <v>0</v>
      </c>
    </row>
    <row r="56" spans="1:6" x14ac:dyDescent="0.4">
      <c r="A56" s="114" t="str">
        <f>Parts!A56</f>
        <v>DB72-2-56-O</v>
      </c>
      <c r="B56" s="114" t="str">
        <f>Parts!B56</f>
        <v>EUR-MDB72OR/WP</v>
      </c>
      <c r="C56" s="114">
        <f t="shared" si="1"/>
        <v>0</v>
      </c>
      <c r="D56" s="114">
        <f>IFERROR(VLOOKUP(A56,Fan_Pricing!B:F,5,FALSE),0)</f>
        <v>0</v>
      </c>
      <c r="E56" s="114">
        <f>IFERROR(VLOOKUP(A56,AC_Pricing!B:F,5,FALSE),0)</f>
        <v>0</v>
      </c>
      <c r="F56" s="114">
        <f>IFERROR(VLOOKUP(A56,Chiller_Pricing!B:F,5,FALSE),0)</f>
        <v>0</v>
      </c>
    </row>
    <row r="57" spans="1:6" x14ac:dyDescent="0.4">
      <c r="A57" s="114" t="str">
        <f>Parts!A57</f>
        <v>DB72-2-56-O-M</v>
      </c>
      <c r="B57" s="114" t="str">
        <f>Parts!B57</f>
        <v>EUR-MDB72O2MCWP</v>
      </c>
      <c r="C57" s="114">
        <f t="shared" si="1"/>
        <v>0</v>
      </c>
      <c r="D57" s="114">
        <f>IFERROR(VLOOKUP(A57,Fan_Pricing!B:F,5,FALSE),0)</f>
        <v>0</v>
      </c>
      <c r="E57" s="114">
        <f>IFERROR(VLOOKUP(A57,AC_Pricing!B:F,5,FALSE),0)</f>
        <v>0</v>
      </c>
      <c r="F57" s="114">
        <f>IFERROR(VLOOKUP(A57,Chiller_Pricing!B:F,5,FALSE),0)</f>
        <v>0</v>
      </c>
    </row>
    <row r="58" spans="1:6" x14ac:dyDescent="0.4">
      <c r="A58" s="114" t="str">
        <f>Parts!A58</f>
        <v>DB24-4-42-O</v>
      </c>
      <c r="B58" s="114" t="str">
        <f>Parts!B58</f>
        <v>EUR-MDB24O4NA</v>
      </c>
      <c r="C58" s="114">
        <f t="shared" si="1"/>
        <v>0</v>
      </c>
      <c r="D58" s="114">
        <f>IFERROR(VLOOKUP(A58,Fan_Pricing!B:F,5,FALSE),0)</f>
        <v>0</v>
      </c>
      <c r="E58" s="114">
        <f>IFERROR(VLOOKUP(A58,AC_Pricing!B:F,5,FALSE),0)</f>
        <v>0</v>
      </c>
      <c r="F58" s="114">
        <f>IFERROR(VLOOKUP(A58,Chiller_Pricing!B:F,5,FALSE),0)</f>
        <v>0</v>
      </c>
    </row>
    <row r="59" spans="1:6" x14ac:dyDescent="0.4">
      <c r="A59" s="114" t="str">
        <f>Parts!A59</f>
        <v>DB24-4-42-O-M</v>
      </c>
      <c r="B59" s="114" t="str">
        <f>Parts!B59</f>
        <v>EUR-MDB24O4MC</v>
      </c>
      <c r="C59" s="114">
        <f t="shared" si="1"/>
        <v>0</v>
      </c>
      <c r="D59" s="114">
        <f>IFERROR(VLOOKUP(A59,Fan_Pricing!B:F,5,FALSE),0)</f>
        <v>0</v>
      </c>
      <c r="E59" s="114">
        <f>IFERROR(VLOOKUP(A59,AC_Pricing!B:F,5,FALSE),0)</f>
        <v>0</v>
      </c>
      <c r="F59" s="114">
        <f>IFERROR(VLOOKUP(A59,Chiller_Pricing!B:F,5,FALSE),0)</f>
        <v>0</v>
      </c>
    </row>
    <row r="60" spans="1:6" x14ac:dyDescent="0.4">
      <c r="A60" s="114" t="str">
        <f>Parts!A60</f>
        <v>DB36-4-42-O</v>
      </c>
      <c r="B60" s="114" t="str">
        <f>Parts!B60</f>
        <v>EUR-MDB36O4NA</v>
      </c>
      <c r="C60" s="114">
        <f t="shared" si="1"/>
        <v>0</v>
      </c>
      <c r="D60" s="114">
        <f>IFERROR(VLOOKUP(A60,Fan_Pricing!B:F,5,FALSE),0)</f>
        <v>0</v>
      </c>
      <c r="E60" s="114">
        <f>IFERROR(VLOOKUP(A60,AC_Pricing!B:F,5,FALSE),0)</f>
        <v>0</v>
      </c>
      <c r="F60" s="114">
        <f>IFERROR(VLOOKUP(A60,Chiller_Pricing!B:F,5,FALSE),0)</f>
        <v>0</v>
      </c>
    </row>
    <row r="61" spans="1:6" x14ac:dyDescent="0.4">
      <c r="A61" s="114" t="str">
        <f>Parts!A61</f>
        <v>DB36-4-42-O-M</v>
      </c>
      <c r="B61" s="114" t="str">
        <f>Parts!B61</f>
        <v>EUR-MDB36O4MC</v>
      </c>
      <c r="C61" s="114">
        <f t="shared" si="1"/>
        <v>0</v>
      </c>
      <c r="D61" s="114">
        <f>IFERROR(VLOOKUP(A61,Fan_Pricing!B:F,5,FALSE),0)</f>
        <v>0</v>
      </c>
      <c r="E61" s="114">
        <f>IFERROR(VLOOKUP(A61,AC_Pricing!B:F,5,FALSE),0)</f>
        <v>0</v>
      </c>
      <c r="F61" s="114">
        <f>IFERROR(VLOOKUP(A61,Chiller_Pricing!B:F,5,FALSE),0)</f>
        <v>0</v>
      </c>
    </row>
    <row r="62" spans="1:6" x14ac:dyDescent="0.4">
      <c r="A62" s="114" t="str">
        <f>Parts!A62</f>
        <v>DB48-4-42-O</v>
      </c>
      <c r="B62" s="114" t="str">
        <f>Parts!B62</f>
        <v>EUR-MDB48O4NA</v>
      </c>
      <c r="C62" s="114">
        <f t="shared" si="1"/>
        <v>0</v>
      </c>
      <c r="D62" s="114">
        <f>IFERROR(VLOOKUP(A62,Fan_Pricing!B:F,5,FALSE),0)</f>
        <v>0</v>
      </c>
      <c r="E62" s="114">
        <f>IFERROR(VLOOKUP(A62,AC_Pricing!B:F,5,FALSE),0)</f>
        <v>0</v>
      </c>
      <c r="F62" s="114">
        <f>IFERROR(VLOOKUP(A62,Chiller_Pricing!B:F,5,FALSE),0)</f>
        <v>0</v>
      </c>
    </row>
    <row r="63" spans="1:6" x14ac:dyDescent="0.4">
      <c r="A63" s="114" t="str">
        <f>Parts!A63</f>
        <v>DB48-4-42-O-M</v>
      </c>
      <c r="B63" s="114" t="str">
        <f>Parts!B63</f>
        <v>EUR-MDB48O4MC</v>
      </c>
      <c r="C63" s="114">
        <f t="shared" si="1"/>
        <v>0</v>
      </c>
      <c r="D63" s="114">
        <f>IFERROR(VLOOKUP(A63,Fan_Pricing!B:F,5,FALSE),0)</f>
        <v>0</v>
      </c>
      <c r="E63" s="114">
        <f>IFERROR(VLOOKUP(A63,AC_Pricing!B:F,5,FALSE),0)</f>
        <v>0</v>
      </c>
      <c r="F63" s="114">
        <f>IFERROR(VLOOKUP(A63,Chiller_Pricing!B:F,5,FALSE),0)</f>
        <v>0</v>
      </c>
    </row>
    <row r="64" spans="1:6" x14ac:dyDescent="0.4">
      <c r="A64" s="114" t="str">
        <f>Parts!A64</f>
        <v>DB60-4-42-O</v>
      </c>
      <c r="B64" s="114" t="str">
        <f>Parts!B64</f>
        <v>EUR-MDB60O4NA</v>
      </c>
      <c r="C64" s="114">
        <f t="shared" si="1"/>
        <v>0</v>
      </c>
      <c r="D64" s="114">
        <f>IFERROR(VLOOKUP(A64,Fan_Pricing!B:F,5,FALSE),0)</f>
        <v>0</v>
      </c>
      <c r="E64" s="114">
        <f>IFERROR(VLOOKUP(A64,AC_Pricing!B:F,5,FALSE),0)</f>
        <v>0</v>
      </c>
      <c r="F64" s="114">
        <f>IFERROR(VLOOKUP(A64,Chiller_Pricing!B:F,5,FALSE),0)</f>
        <v>0</v>
      </c>
    </row>
    <row r="65" spans="1:6" x14ac:dyDescent="0.4">
      <c r="A65" s="114" t="str">
        <f>Parts!A65</f>
        <v>DB60-4-42-O-M</v>
      </c>
      <c r="B65" s="114" t="str">
        <f>Parts!B65</f>
        <v>EUR-MDB60O4MC</v>
      </c>
      <c r="C65" s="114">
        <f t="shared" si="1"/>
        <v>0</v>
      </c>
      <c r="D65" s="114">
        <f>IFERROR(VLOOKUP(A65,Fan_Pricing!B:F,5,FALSE),0)</f>
        <v>0</v>
      </c>
      <c r="E65" s="114">
        <f>IFERROR(VLOOKUP(A65,AC_Pricing!B:F,5,FALSE),0)</f>
        <v>0</v>
      </c>
      <c r="F65" s="114">
        <f>IFERROR(VLOOKUP(A65,Chiller_Pricing!B:F,5,FALSE),0)</f>
        <v>0</v>
      </c>
    </row>
    <row r="66" spans="1:6" x14ac:dyDescent="0.4">
      <c r="A66" s="114" t="str">
        <f>Parts!A66</f>
        <v>DB72-4-42-O</v>
      </c>
      <c r="B66" s="114" t="str">
        <f>Parts!B66</f>
        <v>EUR-MDB72O4NA</v>
      </c>
      <c r="C66" s="114">
        <f t="shared" si="1"/>
        <v>0</v>
      </c>
      <c r="D66" s="114">
        <f>IFERROR(VLOOKUP(A66,Fan_Pricing!B:F,5,FALSE),0)</f>
        <v>0</v>
      </c>
      <c r="E66" s="114">
        <f>IFERROR(VLOOKUP(A66,AC_Pricing!B:F,5,FALSE),0)</f>
        <v>0</v>
      </c>
      <c r="F66" s="114">
        <f>IFERROR(VLOOKUP(A66,Chiller_Pricing!B:F,5,FALSE),0)</f>
        <v>0</v>
      </c>
    </row>
    <row r="67" spans="1:6" x14ac:dyDescent="0.4">
      <c r="A67" s="114" t="str">
        <f>Parts!A67</f>
        <v>DB72-4-42-O-M</v>
      </c>
      <c r="B67" s="114" t="str">
        <f>Parts!B67</f>
        <v>EUR-MDB72O4MC</v>
      </c>
      <c r="C67" s="114">
        <f t="shared" si="1"/>
        <v>0</v>
      </c>
      <c r="D67" s="114">
        <f>IFERROR(VLOOKUP(A67,Fan_Pricing!B:F,5,FALSE),0)</f>
        <v>0</v>
      </c>
      <c r="E67" s="114">
        <f>IFERROR(VLOOKUP(A67,AC_Pricing!B:F,5,FALSE),0)</f>
        <v>0</v>
      </c>
      <c r="F67" s="114">
        <f>IFERROR(VLOOKUP(A67,Chiller_Pricing!B:F,5,FALSE),0)</f>
        <v>0</v>
      </c>
    </row>
    <row r="68" spans="1:6" x14ac:dyDescent="0.4">
      <c r="A68" s="114" t="str">
        <f>Parts!A68</f>
        <v>DB24-4-56-O</v>
      </c>
      <c r="B68" s="114" t="str">
        <f>Parts!B68</f>
        <v>EUR-MDB24O4NAWP</v>
      </c>
      <c r="C68" s="114">
        <f t="shared" si="1"/>
        <v>0</v>
      </c>
      <c r="D68" s="114">
        <f>IFERROR(VLOOKUP(A68,Fan_Pricing!B:F,5,FALSE),0)</f>
        <v>0</v>
      </c>
      <c r="E68" s="114">
        <f>IFERROR(VLOOKUP(A68,AC_Pricing!B:F,5,FALSE),0)</f>
        <v>0</v>
      </c>
      <c r="F68" s="114">
        <f>IFERROR(VLOOKUP(A68,Chiller_Pricing!B:F,5,FALSE),0)</f>
        <v>0</v>
      </c>
    </row>
    <row r="69" spans="1:6" x14ac:dyDescent="0.4">
      <c r="A69" s="114" t="str">
        <f>Parts!A69</f>
        <v>DB24-4-56-O-M</v>
      </c>
      <c r="B69" s="114" t="str">
        <f>Parts!B69</f>
        <v>EUR-MDB24O4MCWP</v>
      </c>
      <c r="C69" s="114">
        <f t="shared" si="1"/>
        <v>0</v>
      </c>
      <c r="D69" s="114">
        <f>IFERROR(VLOOKUP(A69,Fan_Pricing!B:F,5,FALSE),0)</f>
        <v>0</v>
      </c>
      <c r="E69" s="114">
        <f>IFERROR(VLOOKUP(A69,AC_Pricing!B:F,5,FALSE),0)</f>
        <v>0</v>
      </c>
      <c r="F69" s="114">
        <f>IFERROR(VLOOKUP(A69,Chiller_Pricing!B:F,5,FALSE),0)</f>
        <v>0</v>
      </c>
    </row>
    <row r="70" spans="1:6" x14ac:dyDescent="0.4">
      <c r="A70" s="114" t="str">
        <f>Parts!A70</f>
        <v>DB36-4-56-O</v>
      </c>
      <c r="B70" s="114" t="str">
        <f>Parts!B70</f>
        <v>EUR-MDB36O4NAWP</v>
      </c>
      <c r="C70" s="114">
        <f t="shared" si="1"/>
        <v>0</v>
      </c>
      <c r="D70" s="114">
        <f>IFERROR(VLOOKUP(A70,Fan_Pricing!B:F,5,FALSE),0)</f>
        <v>0</v>
      </c>
      <c r="E70" s="114">
        <f>IFERROR(VLOOKUP(A70,AC_Pricing!B:F,5,FALSE),0)</f>
        <v>0</v>
      </c>
      <c r="F70" s="114">
        <f>IFERROR(VLOOKUP(A70,Chiller_Pricing!B:F,5,FALSE),0)</f>
        <v>0</v>
      </c>
    </row>
    <row r="71" spans="1:6" x14ac:dyDescent="0.4">
      <c r="A71" s="114" t="str">
        <f>Parts!A71</f>
        <v>DB36-4-56-O-M</v>
      </c>
      <c r="B71" s="114" t="str">
        <f>Parts!B71</f>
        <v>EUR-MDB36O4MCWP</v>
      </c>
      <c r="C71" s="114">
        <f t="shared" si="1"/>
        <v>0</v>
      </c>
      <c r="D71" s="114">
        <f>IFERROR(VLOOKUP(A71,Fan_Pricing!B:F,5,FALSE),0)</f>
        <v>0</v>
      </c>
      <c r="E71" s="114">
        <f>IFERROR(VLOOKUP(A71,AC_Pricing!B:F,5,FALSE),0)</f>
        <v>0</v>
      </c>
      <c r="F71" s="114">
        <f>IFERROR(VLOOKUP(A71,Chiller_Pricing!B:F,5,FALSE),0)</f>
        <v>0</v>
      </c>
    </row>
    <row r="72" spans="1:6" x14ac:dyDescent="0.4">
      <c r="A72" s="114" t="str">
        <f>Parts!A72</f>
        <v>DB48-4-56-O</v>
      </c>
      <c r="B72" s="114" t="str">
        <f>Parts!B72</f>
        <v>EUR-MDB48O4NAWP</v>
      </c>
      <c r="C72" s="114">
        <f t="shared" si="1"/>
        <v>0</v>
      </c>
      <c r="D72" s="114">
        <f>IFERROR(VLOOKUP(A72,Fan_Pricing!B:F,5,FALSE),0)</f>
        <v>0</v>
      </c>
      <c r="E72" s="114">
        <f>IFERROR(VLOOKUP(A72,AC_Pricing!B:F,5,FALSE),0)</f>
        <v>0</v>
      </c>
      <c r="F72" s="114">
        <f>IFERROR(VLOOKUP(A72,Chiller_Pricing!B:F,5,FALSE),0)</f>
        <v>0</v>
      </c>
    </row>
    <row r="73" spans="1:6" x14ac:dyDescent="0.4">
      <c r="A73" s="114" t="str">
        <f>Parts!A73</f>
        <v>DB48-4-56-O-M</v>
      </c>
      <c r="B73" s="114" t="str">
        <f>Parts!B73</f>
        <v>EUR-MDB48O4MCWP</v>
      </c>
      <c r="C73" s="114">
        <f t="shared" si="1"/>
        <v>0</v>
      </c>
      <c r="D73" s="114">
        <f>IFERROR(VLOOKUP(A73,Fan_Pricing!B:F,5,FALSE),0)</f>
        <v>0</v>
      </c>
      <c r="E73" s="114">
        <f>IFERROR(VLOOKUP(A73,AC_Pricing!B:F,5,FALSE),0)</f>
        <v>0</v>
      </c>
      <c r="F73" s="114">
        <f>IFERROR(VLOOKUP(A73,Chiller_Pricing!B:F,5,FALSE),0)</f>
        <v>0</v>
      </c>
    </row>
    <row r="74" spans="1:6" x14ac:dyDescent="0.4">
      <c r="A74" s="114" t="str">
        <f>Parts!A74</f>
        <v>DB60-4-56-O</v>
      </c>
      <c r="B74" s="114" t="str">
        <f>Parts!B74</f>
        <v>EUR-MDB60O4NAWP</v>
      </c>
      <c r="C74" s="114">
        <f t="shared" si="1"/>
        <v>0</v>
      </c>
      <c r="D74" s="114">
        <f>IFERROR(VLOOKUP(A74,Fan_Pricing!B:F,5,FALSE),0)</f>
        <v>0</v>
      </c>
      <c r="E74" s="114">
        <f>IFERROR(VLOOKUP(A74,AC_Pricing!B:F,5,FALSE),0)</f>
        <v>0</v>
      </c>
      <c r="F74" s="114">
        <f>IFERROR(VLOOKUP(A74,Chiller_Pricing!B:F,5,FALSE),0)</f>
        <v>0</v>
      </c>
    </row>
    <row r="75" spans="1:6" x14ac:dyDescent="0.4">
      <c r="A75" s="114" t="str">
        <f>Parts!A75</f>
        <v>DB60-4-56-O-M</v>
      </c>
      <c r="B75" s="114" t="str">
        <f>Parts!B75</f>
        <v>EUR-MDB60O4MCWP</v>
      </c>
      <c r="C75" s="114">
        <f t="shared" si="1"/>
        <v>0</v>
      </c>
      <c r="D75" s="114">
        <f>IFERROR(VLOOKUP(A75,Fan_Pricing!B:F,5,FALSE),0)</f>
        <v>0</v>
      </c>
      <c r="E75" s="114">
        <f>IFERROR(VLOOKUP(A75,AC_Pricing!B:F,5,FALSE),0)</f>
        <v>0</v>
      </c>
      <c r="F75" s="114">
        <f>IFERROR(VLOOKUP(A75,Chiller_Pricing!B:F,5,FALSE),0)</f>
        <v>0</v>
      </c>
    </row>
    <row r="76" spans="1:6" x14ac:dyDescent="0.4">
      <c r="A76" s="114" t="str">
        <f>Parts!A76</f>
        <v>DB72-4-56-O</v>
      </c>
      <c r="B76" s="114" t="str">
        <f>Parts!B76</f>
        <v>EUR-MDB72O4NAWP</v>
      </c>
      <c r="C76" s="114">
        <f t="shared" si="1"/>
        <v>0</v>
      </c>
      <c r="D76" s="114">
        <f>IFERROR(VLOOKUP(A76,Fan_Pricing!B:F,5,FALSE),0)</f>
        <v>0</v>
      </c>
      <c r="E76" s="114">
        <f>IFERROR(VLOOKUP(A76,AC_Pricing!B:F,5,FALSE),0)</f>
        <v>0</v>
      </c>
      <c r="F76" s="114">
        <f>IFERROR(VLOOKUP(A76,Chiller_Pricing!B:F,5,FALSE),0)</f>
        <v>0</v>
      </c>
    </row>
    <row r="77" spans="1:6" x14ac:dyDescent="0.4">
      <c r="A77" s="114" t="str">
        <f>Parts!A77</f>
        <v>DB72-4-56-O-M</v>
      </c>
      <c r="B77" s="114" t="str">
        <f>Parts!B77</f>
        <v>EUR-MDB72O4MCWP</v>
      </c>
      <c r="C77" s="114">
        <f t="shared" si="1"/>
        <v>0</v>
      </c>
      <c r="D77" s="114">
        <f>IFERROR(VLOOKUP(A77,Fan_Pricing!B:F,5,FALSE),0)</f>
        <v>0</v>
      </c>
      <c r="E77" s="114">
        <f>IFERROR(VLOOKUP(A77,AC_Pricing!B:F,5,FALSE),0)</f>
        <v>0</v>
      </c>
      <c r="F77" s="114">
        <f>IFERROR(VLOOKUP(A77,Chiller_Pricing!B:F,5,FALSE),0)</f>
        <v>0</v>
      </c>
    </row>
    <row r="78" spans="1:6" x14ac:dyDescent="0.4">
      <c r="A78" s="114" t="str">
        <f>Parts!A78</f>
        <v>DB24-2-42-G</v>
      </c>
      <c r="B78" s="114" t="str">
        <f>Parts!B78</f>
        <v>EUR-MDB24G</v>
      </c>
      <c r="C78" s="114">
        <f t="shared" si="1"/>
        <v>0</v>
      </c>
      <c r="D78" s="114">
        <f>IFERROR(VLOOKUP(A78,Fan_Pricing!B:F,5,FALSE),0)</f>
        <v>0</v>
      </c>
      <c r="E78" s="114">
        <f>IFERROR(VLOOKUP(A78,AC_Pricing!B:F,5,FALSE),0)</f>
        <v>0</v>
      </c>
      <c r="F78" s="114">
        <f>IFERROR(VLOOKUP(A78,Chiller_Pricing!B:F,5,FALSE),0)</f>
        <v>0</v>
      </c>
    </row>
    <row r="79" spans="1:6" x14ac:dyDescent="0.4">
      <c r="A79" s="114" t="str">
        <f>Parts!A79</f>
        <v>DB24-2-42-G-M</v>
      </c>
      <c r="B79" s="114" t="str">
        <f>Parts!B79</f>
        <v>EUR-MDB24G2MC</v>
      </c>
      <c r="C79" s="114">
        <f t="shared" si="1"/>
        <v>0</v>
      </c>
      <c r="D79" s="114">
        <f>IFERROR(VLOOKUP(A79,Fan_Pricing!B:F,5,FALSE),0)</f>
        <v>0</v>
      </c>
      <c r="E79" s="114">
        <f>IFERROR(VLOOKUP(A79,AC_Pricing!B:F,5,FALSE),0)</f>
        <v>0</v>
      </c>
      <c r="F79" s="114">
        <f>IFERROR(VLOOKUP(A79,Chiller_Pricing!B:F,5,FALSE),0)</f>
        <v>0</v>
      </c>
    </row>
    <row r="80" spans="1:6" x14ac:dyDescent="0.4">
      <c r="A80" s="114" t="str">
        <f>Parts!A80</f>
        <v>DB36-2-42-G</v>
      </c>
      <c r="B80" s="114" t="str">
        <f>Parts!B80</f>
        <v>EUR-MDB36G</v>
      </c>
      <c r="C80" s="114">
        <f t="shared" si="1"/>
        <v>0</v>
      </c>
      <c r="D80" s="114">
        <f>IFERROR(VLOOKUP(A80,Fan_Pricing!B:F,5,FALSE),0)</f>
        <v>0</v>
      </c>
      <c r="E80" s="114">
        <f>IFERROR(VLOOKUP(A80,AC_Pricing!B:F,5,FALSE),0)</f>
        <v>0</v>
      </c>
      <c r="F80" s="114">
        <f>IFERROR(VLOOKUP(A80,Chiller_Pricing!B:F,5,FALSE),0)</f>
        <v>0</v>
      </c>
    </row>
    <row r="81" spans="1:6" x14ac:dyDescent="0.4">
      <c r="A81" s="114" t="str">
        <f>Parts!A81</f>
        <v>DB36-2-42-G-M</v>
      </c>
      <c r="B81" s="114" t="str">
        <f>Parts!B81</f>
        <v>EUR-MDB36G2MC</v>
      </c>
      <c r="C81" s="114">
        <f t="shared" si="1"/>
        <v>0</v>
      </c>
      <c r="D81" s="114">
        <f>IFERROR(VLOOKUP(A81,Fan_Pricing!B:F,5,FALSE),0)</f>
        <v>0</v>
      </c>
      <c r="E81" s="114">
        <f>IFERROR(VLOOKUP(A81,AC_Pricing!B:F,5,FALSE),0)</f>
        <v>0</v>
      </c>
      <c r="F81" s="114">
        <f>IFERROR(VLOOKUP(A81,Chiller_Pricing!B:F,5,FALSE),0)</f>
        <v>0</v>
      </c>
    </row>
    <row r="82" spans="1:6" x14ac:dyDescent="0.4">
      <c r="A82" s="114" t="str">
        <f>Parts!A82</f>
        <v>DB48-2-42-G</v>
      </c>
      <c r="B82" s="114" t="str">
        <f>Parts!B82</f>
        <v>EUR-MDB48G</v>
      </c>
      <c r="C82" s="114">
        <f t="shared" ref="C82:C139" si="2">SUM(D82:Z82)</f>
        <v>0</v>
      </c>
      <c r="D82" s="114">
        <f>IFERROR(VLOOKUP(A82,Fan_Pricing!B:F,5,FALSE),0)</f>
        <v>0</v>
      </c>
      <c r="E82" s="114">
        <f>IFERROR(VLOOKUP(A82,AC_Pricing!B:F,5,FALSE),0)</f>
        <v>0</v>
      </c>
      <c r="F82" s="114">
        <f>IFERROR(VLOOKUP(A82,Chiller_Pricing!B:F,5,FALSE),0)</f>
        <v>0</v>
      </c>
    </row>
    <row r="83" spans="1:6" x14ac:dyDescent="0.4">
      <c r="A83" s="114" t="str">
        <f>Parts!A83</f>
        <v>DB48-2-42-G-M</v>
      </c>
      <c r="B83" s="114" t="str">
        <f>Parts!B83</f>
        <v>EUR-MDB48G2MC</v>
      </c>
      <c r="C83" s="114">
        <f t="shared" si="2"/>
        <v>0</v>
      </c>
      <c r="D83" s="114">
        <f>IFERROR(VLOOKUP(A83,Fan_Pricing!B:F,5,FALSE),0)</f>
        <v>0</v>
      </c>
      <c r="E83" s="114">
        <f>IFERROR(VLOOKUP(A83,AC_Pricing!B:F,5,FALSE),0)</f>
        <v>0</v>
      </c>
      <c r="F83" s="114">
        <f>IFERROR(VLOOKUP(A83,Chiller_Pricing!B:F,5,FALSE),0)</f>
        <v>0</v>
      </c>
    </row>
    <row r="84" spans="1:6" x14ac:dyDescent="0.4">
      <c r="A84" s="114" t="str">
        <f>Parts!A84</f>
        <v>DB60-2-42-G</v>
      </c>
      <c r="B84" s="114" t="str">
        <f>Parts!B84</f>
        <v>EUR-MDB60G</v>
      </c>
      <c r="C84" s="114">
        <f t="shared" si="2"/>
        <v>0</v>
      </c>
      <c r="D84" s="114">
        <f>IFERROR(VLOOKUP(A84,Fan_Pricing!B:F,5,FALSE),0)</f>
        <v>0</v>
      </c>
      <c r="E84" s="114">
        <f>IFERROR(VLOOKUP(A84,AC_Pricing!B:F,5,FALSE),0)</f>
        <v>0</v>
      </c>
      <c r="F84" s="114">
        <f>IFERROR(VLOOKUP(A84,Chiller_Pricing!B:F,5,FALSE),0)</f>
        <v>0</v>
      </c>
    </row>
    <row r="85" spans="1:6" x14ac:dyDescent="0.4">
      <c r="A85" s="114" t="str">
        <f>Parts!A85</f>
        <v>DB60-2-42-G-M</v>
      </c>
      <c r="B85" s="114" t="str">
        <f>Parts!B85</f>
        <v>EUR-MDB60G2MC</v>
      </c>
      <c r="C85" s="114">
        <f t="shared" si="2"/>
        <v>0</v>
      </c>
      <c r="D85" s="114">
        <f>IFERROR(VLOOKUP(A85,Fan_Pricing!B:F,5,FALSE),0)</f>
        <v>0</v>
      </c>
      <c r="E85" s="114">
        <f>IFERROR(VLOOKUP(A85,AC_Pricing!B:F,5,FALSE),0)</f>
        <v>0</v>
      </c>
      <c r="F85" s="114">
        <f>IFERROR(VLOOKUP(A85,Chiller_Pricing!B:F,5,FALSE),0)</f>
        <v>0</v>
      </c>
    </row>
    <row r="86" spans="1:6" x14ac:dyDescent="0.4">
      <c r="A86" s="114" t="str">
        <f>Parts!A86</f>
        <v>DB72-2-42-G</v>
      </c>
      <c r="B86" s="114" t="str">
        <f>Parts!B86</f>
        <v>EUR-MDB72G</v>
      </c>
      <c r="C86" s="114">
        <f t="shared" si="2"/>
        <v>0</v>
      </c>
      <c r="D86" s="114">
        <f>IFERROR(VLOOKUP(A86,Fan_Pricing!B:F,5,FALSE),0)</f>
        <v>0</v>
      </c>
      <c r="E86" s="114">
        <f>IFERROR(VLOOKUP(A86,AC_Pricing!B:F,5,FALSE),0)</f>
        <v>0</v>
      </c>
      <c r="F86" s="114">
        <f>IFERROR(VLOOKUP(A86,Chiller_Pricing!B:F,5,FALSE),0)</f>
        <v>0</v>
      </c>
    </row>
    <row r="87" spans="1:6" x14ac:dyDescent="0.4">
      <c r="A87" s="114" t="str">
        <f>Parts!A87</f>
        <v>DB72-2-42-G-M</v>
      </c>
      <c r="B87" s="114" t="str">
        <f>Parts!B87</f>
        <v>EUR-MDB72G2MC</v>
      </c>
      <c r="C87" s="114">
        <f t="shared" si="2"/>
        <v>0</v>
      </c>
      <c r="D87" s="114">
        <f>IFERROR(VLOOKUP(A87,Fan_Pricing!B:F,5,FALSE),0)</f>
        <v>0</v>
      </c>
      <c r="E87" s="114">
        <f>IFERROR(VLOOKUP(A87,AC_Pricing!B:F,5,FALSE),0)</f>
        <v>0</v>
      </c>
      <c r="F87" s="114">
        <f>IFERROR(VLOOKUP(A87,Chiller_Pricing!B:F,5,FALSE),0)</f>
        <v>0</v>
      </c>
    </row>
    <row r="88" spans="1:6" x14ac:dyDescent="0.4">
      <c r="A88" s="114" t="str">
        <f>Parts!A88</f>
        <v>DB24-2-56-G</v>
      </c>
      <c r="B88" s="114" t="str">
        <f>Parts!B88</f>
        <v>EUR-MDB24G/WP</v>
      </c>
      <c r="C88" s="114">
        <f t="shared" si="2"/>
        <v>0</v>
      </c>
      <c r="D88" s="114">
        <f>IFERROR(VLOOKUP(A88,Fan_Pricing!B:F,5,FALSE),0)</f>
        <v>0</v>
      </c>
      <c r="E88" s="114">
        <f>IFERROR(VLOOKUP(A88,AC_Pricing!B:F,5,FALSE),0)</f>
        <v>0</v>
      </c>
      <c r="F88" s="114">
        <f>IFERROR(VLOOKUP(A88,Chiller_Pricing!B:F,5,FALSE),0)</f>
        <v>0</v>
      </c>
    </row>
    <row r="89" spans="1:6" x14ac:dyDescent="0.4">
      <c r="A89" s="114" t="str">
        <f>Parts!A89</f>
        <v>DB24-2-56-G-M</v>
      </c>
      <c r="B89" s="114" t="str">
        <f>Parts!B89</f>
        <v>EUR-MDB24G2MCWP</v>
      </c>
      <c r="C89" s="114">
        <f t="shared" si="2"/>
        <v>0</v>
      </c>
      <c r="D89" s="114">
        <f>IFERROR(VLOOKUP(A89,Fan_Pricing!B:F,5,FALSE),0)</f>
        <v>0</v>
      </c>
      <c r="E89" s="114">
        <f>IFERROR(VLOOKUP(A89,AC_Pricing!B:F,5,FALSE),0)</f>
        <v>0</v>
      </c>
      <c r="F89" s="114">
        <f>IFERROR(VLOOKUP(A89,Chiller_Pricing!B:F,5,FALSE),0)</f>
        <v>0</v>
      </c>
    </row>
    <row r="90" spans="1:6" x14ac:dyDescent="0.4">
      <c r="A90" s="114" t="str">
        <f>Parts!A90</f>
        <v>DB36-2-56-G</v>
      </c>
      <c r="B90" s="114" t="str">
        <f>Parts!B90</f>
        <v>EUR-MDB36G/WP</v>
      </c>
      <c r="C90" s="114">
        <f t="shared" si="2"/>
        <v>0</v>
      </c>
      <c r="D90" s="114">
        <f>IFERROR(VLOOKUP(A90,Fan_Pricing!B:F,5,FALSE),0)</f>
        <v>0</v>
      </c>
      <c r="E90" s="114">
        <f>IFERROR(VLOOKUP(A90,AC_Pricing!B:F,5,FALSE),0)</f>
        <v>0</v>
      </c>
      <c r="F90" s="114">
        <f>IFERROR(VLOOKUP(A90,Chiller_Pricing!B:F,5,FALSE),0)</f>
        <v>0</v>
      </c>
    </row>
    <row r="91" spans="1:6" x14ac:dyDescent="0.4">
      <c r="A91" s="114" t="str">
        <f>Parts!A91</f>
        <v>DB36-2-56-G-M</v>
      </c>
      <c r="B91" s="114" t="str">
        <f>Parts!B91</f>
        <v>EUR-MDB36G2MCWP</v>
      </c>
      <c r="C91" s="114">
        <f t="shared" si="2"/>
        <v>0</v>
      </c>
      <c r="D91" s="114">
        <f>IFERROR(VLOOKUP(A91,Fan_Pricing!B:F,5,FALSE),0)</f>
        <v>0</v>
      </c>
      <c r="E91" s="114">
        <f>IFERROR(VLOOKUP(A91,AC_Pricing!B:F,5,FALSE),0)</f>
        <v>0</v>
      </c>
      <c r="F91" s="114">
        <f>IFERROR(VLOOKUP(A91,Chiller_Pricing!B:F,5,FALSE),0)</f>
        <v>0</v>
      </c>
    </row>
    <row r="92" spans="1:6" x14ac:dyDescent="0.4">
      <c r="A92" s="114" t="str">
        <f>Parts!A92</f>
        <v>DB48-2-56-G</v>
      </c>
      <c r="B92" s="114" t="str">
        <f>Parts!B92</f>
        <v>EUR-MDB48G/WP</v>
      </c>
      <c r="C92" s="114">
        <f t="shared" si="2"/>
        <v>0</v>
      </c>
      <c r="D92" s="114">
        <f>IFERROR(VLOOKUP(A92,Fan_Pricing!B:F,5,FALSE),0)</f>
        <v>0</v>
      </c>
      <c r="E92" s="114">
        <f>IFERROR(VLOOKUP(A92,AC_Pricing!B:F,5,FALSE),0)</f>
        <v>0</v>
      </c>
      <c r="F92" s="114">
        <f>IFERROR(VLOOKUP(A92,Chiller_Pricing!B:F,5,FALSE),0)</f>
        <v>0</v>
      </c>
    </row>
    <row r="93" spans="1:6" x14ac:dyDescent="0.4">
      <c r="A93" s="114" t="str">
        <f>Parts!A93</f>
        <v>DB48-2-56-G-M</v>
      </c>
      <c r="B93" s="114" t="str">
        <f>Parts!B93</f>
        <v>EUR-MDB48G2MCWP</v>
      </c>
      <c r="C93" s="114">
        <f t="shared" si="2"/>
        <v>0</v>
      </c>
      <c r="D93" s="114">
        <f>IFERROR(VLOOKUP(A93,Fan_Pricing!B:F,5,FALSE),0)</f>
        <v>0</v>
      </c>
      <c r="E93" s="114">
        <f>IFERROR(VLOOKUP(A93,AC_Pricing!B:F,5,FALSE),0)</f>
        <v>0</v>
      </c>
      <c r="F93" s="114">
        <f>IFERROR(VLOOKUP(A93,Chiller_Pricing!B:F,5,FALSE),0)</f>
        <v>0</v>
      </c>
    </row>
    <row r="94" spans="1:6" x14ac:dyDescent="0.4">
      <c r="A94" s="114" t="str">
        <f>Parts!A94</f>
        <v>DB60-2-56-G</v>
      </c>
      <c r="B94" s="114" t="str">
        <f>Parts!B94</f>
        <v>EUR-MDB60G/WP</v>
      </c>
      <c r="C94" s="114">
        <f t="shared" si="2"/>
        <v>0</v>
      </c>
      <c r="D94" s="114">
        <f>IFERROR(VLOOKUP(A94,Fan_Pricing!B:F,5,FALSE),0)</f>
        <v>0</v>
      </c>
      <c r="E94" s="114">
        <f>IFERROR(VLOOKUP(A94,AC_Pricing!B:F,5,FALSE),0)</f>
        <v>0</v>
      </c>
      <c r="F94" s="114">
        <f>IFERROR(VLOOKUP(A94,Chiller_Pricing!B:F,5,FALSE),0)</f>
        <v>0</v>
      </c>
    </row>
    <row r="95" spans="1:6" x14ac:dyDescent="0.4">
      <c r="A95" s="114" t="str">
        <f>Parts!A95</f>
        <v>DB60-2-56-G-M</v>
      </c>
      <c r="B95" s="114" t="str">
        <f>Parts!B95</f>
        <v>EUR-MDB60G2MCWP</v>
      </c>
      <c r="C95" s="114">
        <f t="shared" si="2"/>
        <v>0</v>
      </c>
      <c r="D95" s="114">
        <f>IFERROR(VLOOKUP(A95,Fan_Pricing!B:F,5,FALSE),0)</f>
        <v>0</v>
      </c>
      <c r="E95" s="114">
        <f>IFERROR(VLOOKUP(A95,AC_Pricing!B:F,5,FALSE),0)</f>
        <v>0</v>
      </c>
      <c r="F95" s="114">
        <f>IFERROR(VLOOKUP(A95,Chiller_Pricing!B:F,5,FALSE),0)</f>
        <v>0</v>
      </c>
    </row>
    <row r="96" spans="1:6" x14ac:dyDescent="0.4">
      <c r="A96" s="114" t="str">
        <f>Parts!A96</f>
        <v>DB72-2-56-G</v>
      </c>
      <c r="B96" s="114" t="str">
        <f>Parts!B96</f>
        <v>EUR-MDB72G/WP</v>
      </c>
      <c r="C96" s="114">
        <f t="shared" si="2"/>
        <v>0</v>
      </c>
      <c r="D96" s="114">
        <f>IFERROR(VLOOKUP(A96,Fan_Pricing!B:F,5,FALSE),0)</f>
        <v>0</v>
      </c>
      <c r="E96" s="114">
        <f>IFERROR(VLOOKUP(A96,AC_Pricing!B:F,5,FALSE),0)</f>
        <v>0</v>
      </c>
      <c r="F96" s="114">
        <f>IFERROR(VLOOKUP(A96,Chiller_Pricing!B:F,5,FALSE),0)</f>
        <v>0</v>
      </c>
    </row>
    <row r="97" spans="1:6" x14ac:dyDescent="0.4">
      <c r="A97" s="114" t="str">
        <f>Parts!A97</f>
        <v>DB72-2-56-G-M</v>
      </c>
      <c r="B97" s="114" t="str">
        <f>Parts!B97</f>
        <v>EUR-MDB72G2MCWP</v>
      </c>
      <c r="C97" s="114">
        <f t="shared" si="2"/>
        <v>0</v>
      </c>
      <c r="D97" s="114">
        <f>IFERROR(VLOOKUP(A97,Fan_Pricing!B:F,5,FALSE),0)</f>
        <v>0</v>
      </c>
      <c r="E97" s="114">
        <f>IFERROR(VLOOKUP(A97,AC_Pricing!B:F,5,FALSE),0)</f>
        <v>0</v>
      </c>
      <c r="F97" s="114">
        <f>IFERROR(VLOOKUP(A97,Chiller_Pricing!B:F,5,FALSE),0)</f>
        <v>0</v>
      </c>
    </row>
    <row r="98" spans="1:6" x14ac:dyDescent="0.4">
      <c r="A98" s="114" t="str">
        <f>Parts!A98</f>
        <v>DB24-4-42-G</v>
      </c>
      <c r="B98" s="114" t="str">
        <f>Parts!B98</f>
        <v>EUR-MDB24G4NA</v>
      </c>
      <c r="C98" s="114">
        <f t="shared" si="2"/>
        <v>0</v>
      </c>
      <c r="D98" s="114">
        <f>IFERROR(VLOOKUP(A98,Fan_Pricing!B:F,5,FALSE),0)</f>
        <v>0</v>
      </c>
      <c r="E98" s="114">
        <f>IFERROR(VLOOKUP(A98,AC_Pricing!B:F,5,FALSE),0)</f>
        <v>0</v>
      </c>
      <c r="F98" s="114">
        <f>IFERROR(VLOOKUP(A98,Chiller_Pricing!B:F,5,FALSE),0)</f>
        <v>0</v>
      </c>
    </row>
    <row r="99" spans="1:6" x14ac:dyDescent="0.4">
      <c r="A99" s="114" t="str">
        <f>Parts!A99</f>
        <v>DB24-4-42-G-M</v>
      </c>
      <c r="B99" s="114" t="str">
        <f>Parts!B99</f>
        <v>EUR-MDB24G4MC</v>
      </c>
      <c r="C99" s="114">
        <f t="shared" si="2"/>
        <v>0</v>
      </c>
      <c r="D99" s="114">
        <f>IFERROR(VLOOKUP(A99,Fan_Pricing!B:F,5,FALSE),0)</f>
        <v>0</v>
      </c>
      <c r="E99" s="114">
        <f>IFERROR(VLOOKUP(A99,AC_Pricing!B:F,5,FALSE),0)</f>
        <v>0</v>
      </c>
      <c r="F99" s="114">
        <f>IFERROR(VLOOKUP(A99,Chiller_Pricing!B:F,5,FALSE),0)</f>
        <v>0</v>
      </c>
    </row>
    <row r="100" spans="1:6" x14ac:dyDescent="0.4">
      <c r="A100" s="114" t="str">
        <f>Parts!A100</f>
        <v>DB36-4-42-G</v>
      </c>
      <c r="B100" s="114" t="str">
        <f>Parts!B100</f>
        <v>EUR-MDB36G4NA</v>
      </c>
      <c r="C100" s="114">
        <f t="shared" si="2"/>
        <v>0</v>
      </c>
      <c r="D100" s="114">
        <f>IFERROR(VLOOKUP(A100,Fan_Pricing!B:F,5,FALSE),0)</f>
        <v>0</v>
      </c>
      <c r="E100" s="114">
        <f>IFERROR(VLOOKUP(A100,AC_Pricing!B:F,5,FALSE),0)</f>
        <v>0</v>
      </c>
      <c r="F100" s="114">
        <f>IFERROR(VLOOKUP(A100,Chiller_Pricing!B:F,5,FALSE),0)</f>
        <v>0</v>
      </c>
    </row>
    <row r="101" spans="1:6" x14ac:dyDescent="0.4">
      <c r="A101" s="114" t="str">
        <f>Parts!A101</f>
        <v>DB36-4-42-G-M</v>
      </c>
      <c r="B101" s="114" t="str">
        <f>Parts!B101</f>
        <v>EUR-MDB36G4MC</v>
      </c>
      <c r="C101" s="114">
        <f t="shared" si="2"/>
        <v>0</v>
      </c>
      <c r="D101" s="114">
        <f>IFERROR(VLOOKUP(A101,Fan_Pricing!B:F,5,FALSE),0)</f>
        <v>0</v>
      </c>
      <c r="E101" s="114">
        <f>IFERROR(VLOOKUP(A101,AC_Pricing!B:F,5,FALSE),0)</f>
        <v>0</v>
      </c>
      <c r="F101" s="114">
        <f>IFERROR(VLOOKUP(A101,Chiller_Pricing!B:F,5,FALSE),0)</f>
        <v>0</v>
      </c>
    </row>
    <row r="102" spans="1:6" x14ac:dyDescent="0.4">
      <c r="A102" s="114" t="str">
        <f>Parts!A102</f>
        <v>DB48-4-42-G</v>
      </c>
      <c r="B102" s="114" t="str">
        <f>Parts!B102</f>
        <v>EUR-MDB48G4NA</v>
      </c>
      <c r="C102" s="114">
        <f t="shared" si="2"/>
        <v>0</v>
      </c>
      <c r="D102" s="114">
        <f>IFERROR(VLOOKUP(A102,Fan_Pricing!B:F,5,FALSE),0)</f>
        <v>0</v>
      </c>
      <c r="E102" s="114">
        <f>IFERROR(VLOOKUP(A102,AC_Pricing!B:F,5,FALSE),0)</f>
        <v>0</v>
      </c>
      <c r="F102" s="114">
        <f>IFERROR(VLOOKUP(A102,Chiller_Pricing!B:F,5,FALSE),0)</f>
        <v>0</v>
      </c>
    </row>
    <row r="103" spans="1:6" x14ac:dyDescent="0.4">
      <c r="A103" s="114" t="str">
        <f>Parts!A103</f>
        <v>DB48-4-42-G-M</v>
      </c>
      <c r="B103" s="114" t="str">
        <f>Parts!B103</f>
        <v>EUR-MDB48G4MC</v>
      </c>
      <c r="C103" s="114">
        <f t="shared" si="2"/>
        <v>0</v>
      </c>
      <c r="D103" s="114">
        <f>IFERROR(VLOOKUP(A103,Fan_Pricing!B:F,5,FALSE),0)</f>
        <v>0</v>
      </c>
      <c r="E103" s="114">
        <f>IFERROR(VLOOKUP(A103,AC_Pricing!B:F,5,FALSE),0)</f>
        <v>0</v>
      </c>
      <c r="F103" s="114">
        <f>IFERROR(VLOOKUP(A103,Chiller_Pricing!B:F,5,FALSE),0)</f>
        <v>0</v>
      </c>
    </row>
    <row r="104" spans="1:6" x14ac:dyDescent="0.4">
      <c r="A104" s="114" t="str">
        <f>Parts!A104</f>
        <v>DB60-4-42-G</v>
      </c>
      <c r="B104" s="114" t="str">
        <f>Parts!B104</f>
        <v>EUR-MDB60G4NA</v>
      </c>
      <c r="C104" s="114">
        <f t="shared" si="2"/>
        <v>0</v>
      </c>
      <c r="D104" s="114">
        <f>IFERROR(VLOOKUP(A104,Fan_Pricing!B:F,5,FALSE),0)</f>
        <v>0</v>
      </c>
      <c r="E104" s="114">
        <f>IFERROR(VLOOKUP(A104,AC_Pricing!B:F,5,FALSE),0)</f>
        <v>0</v>
      </c>
      <c r="F104" s="114">
        <f>IFERROR(VLOOKUP(A104,Chiller_Pricing!B:F,5,FALSE),0)</f>
        <v>0</v>
      </c>
    </row>
    <row r="105" spans="1:6" x14ac:dyDescent="0.4">
      <c r="A105" s="114" t="str">
        <f>Parts!A105</f>
        <v>DB60-4-42-G-M</v>
      </c>
      <c r="B105" s="114" t="str">
        <f>Parts!B105</f>
        <v>EUR-MDB60G4MC</v>
      </c>
      <c r="C105" s="114">
        <f t="shared" si="2"/>
        <v>0</v>
      </c>
      <c r="D105" s="114">
        <f>IFERROR(VLOOKUP(A105,Fan_Pricing!B:F,5,FALSE),0)</f>
        <v>0</v>
      </c>
      <c r="E105" s="114">
        <f>IFERROR(VLOOKUP(A105,AC_Pricing!B:F,5,FALSE),0)</f>
        <v>0</v>
      </c>
      <c r="F105" s="114">
        <f>IFERROR(VLOOKUP(A105,Chiller_Pricing!B:F,5,FALSE),0)</f>
        <v>0</v>
      </c>
    </row>
    <row r="106" spans="1:6" x14ac:dyDescent="0.4">
      <c r="A106" s="114" t="str">
        <f>Parts!A106</f>
        <v>DB72-4-42-G</v>
      </c>
      <c r="B106" s="114" t="str">
        <f>Parts!B106</f>
        <v>EUR-MDB72G4NA</v>
      </c>
      <c r="C106" s="114">
        <f t="shared" si="2"/>
        <v>0</v>
      </c>
      <c r="D106" s="114">
        <f>IFERROR(VLOOKUP(A106,Fan_Pricing!B:F,5,FALSE),0)</f>
        <v>0</v>
      </c>
      <c r="E106" s="114">
        <f>IFERROR(VLOOKUP(A106,AC_Pricing!B:F,5,FALSE),0)</f>
        <v>0</v>
      </c>
      <c r="F106" s="114">
        <f>IFERROR(VLOOKUP(A106,Chiller_Pricing!B:F,5,FALSE),0)</f>
        <v>0</v>
      </c>
    </row>
    <row r="107" spans="1:6" x14ac:dyDescent="0.4">
      <c r="A107" s="114" t="str">
        <f>Parts!A107</f>
        <v>DB72-4-42-G-M</v>
      </c>
      <c r="B107" s="114" t="str">
        <f>Parts!B107</f>
        <v>EUR-MDB72G4MC</v>
      </c>
      <c r="C107" s="114">
        <f t="shared" si="2"/>
        <v>0</v>
      </c>
      <c r="D107" s="114">
        <f>IFERROR(VLOOKUP(A107,Fan_Pricing!B:F,5,FALSE),0)</f>
        <v>0</v>
      </c>
      <c r="E107" s="114">
        <f>IFERROR(VLOOKUP(A107,AC_Pricing!B:F,5,FALSE),0)</f>
        <v>0</v>
      </c>
      <c r="F107" s="114">
        <f>IFERROR(VLOOKUP(A107,Chiller_Pricing!B:F,5,FALSE),0)</f>
        <v>0</v>
      </c>
    </row>
    <row r="108" spans="1:6" x14ac:dyDescent="0.4">
      <c r="A108" s="114" t="str">
        <f>Parts!A108</f>
        <v>DB24-4-56-G</v>
      </c>
      <c r="B108" s="114" t="str">
        <f>Parts!B108</f>
        <v>EUR-MDB24G4NAWP</v>
      </c>
      <c r="C108" s="114">
        <f t="shared" si="2"/>
        <v>0</v>
      </c>
      <c r="D108" s="114">
        <f>IFERROR(VLOOKUP(A108,Fan_Pricing!B:F,5,FALSE),0)</f>
        <v>0</v>
      </c>
      <c r="E108" s="114">
        <f>IFERROR(VLOOKUP(A108,AC_Pricing!B:F,5,FALSE),0)</f>
        <v>0</v>
      </c>
      <c r="F108" s="114">
        <f>IFERROR(VLOOKUP(A108,Chiller_Pricing!B:F,5,FALSE),0)</f>
        <v>0</v>
      </c>
    </row>
    <row r="109" spans="1:6" x14ac:dyDescent="0.4">
      <c r="A109" s="114" t="str">
        <f>Parts!A109</f>
        <v>DB24-4-56-G-M</v>
      </c>
      <c r="B109" s="114" t="str">
        <f>Parts!B109</f>
        <v>EUR-MDB24G4MCWP</v>
      </c>
      <c r="C109" s="114">
        <f t="shared" si="2"/>
        <v>0</v>
      </c>
      <c r="D109" s="114">
        <f>IFERROR(VLOOKUP(A109,Fan_Pricing!B:F,5,FALSE),0)</f>
        <v>0</v>
      </c>
      <c r="E109" s="114">
        <f>IFERROR(VLOOKUP(A109,AC_Pricing!B:F,5,FALSE),0)</f>
        <v>0</v>
      </c>
      <c r="F109" s="114">
        <f>IFERROR(VLOOKUP(A109,Chiller_Pricing!B:F,5,FALSE),0)</f>
        <v>0</v>
      </c>
    </row>
    <row r="110" spans="1:6" x14ac:dyDescent="0.4">
      <c r="A110" s="114" t="str">
        <f>Parts!A110</f>
        <v>DB36-4-56-G</v>
      </c>
      <c r="B110" s="114" t="str">
        <f>Parts!B110</f>
        <v>EUR-MDB36G4NAWP</v>
      </c>
      <c r="C110" s="114">
        <f t="shared" si="2"/>
        <v>0</v>
      </c>
      <c r="D110" s="114">
        <f>IFERROR(VLOOKUP(A110,Fan_Pricing!B:F,5,FALSE),0)</f>
        <v>0</v>
      </c>
      <c r="E110" s="114">
        <f>IFERROR(VLOOKUP(A110,AC_Pricing!B:F,5,FALSE),0)</f>
        <v>0</v>
      </c>
      <c r="F110" s="114">
        <f>IFERROR(VLOOKUP(A110,Chiller_Pricing!B:F,5,FALSE),0)</f>
        <v>0</v>
      </c>
    </row>
    <row r="111" spans="1:6" x14ac:dyDescent="0.4">
      <c r="A111" s="114" t="str">
        <f>Parts!A111</f>
        <v>DB36-4-56-G-M</v>
      </c>
      <c r="B111" s="114" t="str">
        <f>Parts!B111</f>
        <v>EUR-MDB36G4MCWP</v>
      </c>
      <c r="C111" s="114">
        <f t="shared" si="2"/>
        <v>0</v>
      </c>
      <c r="D111" s="114">
        <f>IFERROR(VLOOKUP(A111,Fan_Pricing!B:F,5,FALSE),0)</f>
        <v>0</v>
      </c>
      <c r="E111" s="114">
        <f>IFERROR(VLOOKUP(A111,AC_Pricing!B:F,5,FALSE),0)</f>
        <v>0</v>
      </c>
      <c r="F111" s="114">
        <f>IFERROR(VLOOKUP(A111,Chiller_Pricing!B:F,5,FALSE),0)</f>
        <v>0</v>
      </c>
    </row>
    <row r="112" spans="1:6" x14ac:dyDescent="0.4">
      <c r="A112" s="114" t="str">
        <f>Parts!A112</f>
        <v>DB48-4-56-G</v>
      </c>
      <c r="B112" s="114" t="str">
        <f>Parts!B112</f>
        <v>EUR-MDB48G4NAWP</v>
      </c>
      <c r="C112" s="114">
        <f t="shared" si="2"/>
        <v>0</v>
      </c>
      <c r="D112" s="114">
        <f>IFERROR(VLOOKUP(A112,Fan_Pricing!B:F,5,FALSE),0)</f>
        <v>0</v>
      </c>
      <c r="E112" s="114">
        <f>IFERROR(VLOOKUP(A112,AC_Pricing!B:F,5,FALSE),0)</f>
        <v>0</v>
      </c>
      <c r="F112" s="114">
        <f>IFERROR(VLOOKUP(A112,Chiller_Pricing!B:F,5,FALSE),0)</f>
        <v>0</v>
      </c>
    </row>
    <row r="113" spans="1:6" x14ac:dyDescent="0.4">
      <c r="A113" s="114" t="str">
        <f>Parts!A113</f>
        <v>DB48-4-56-G-M</v>
      </c>
      <c r="B113" s="114" t="str">
        <f>Parts!B113</f>
        <v>EUR-MDB48G4MCWP</v>
      </c>
      <c r="C113" s="114">
        <f t="shared" si="2"/>
        <v>0</v>
      </c>
      <c r="D113" s="114">
        <f>IFERROR(VLOOKUP(A113,Fan_Pricing!B:F,5,FALSE),0)</f>
        <v>0</v>
      </c>
      <c r="E113" s="114">
        <f>IFERROR(VLOOKUP(A113,AC_Pricing!B:F,5,FALSE),0)</f>
        <v>0</v>
      </c>
      <c r="F113" s="114">
        <f>IFERROR(VLOOKUP(A113,Chiller_Pricing!B:F,5,FALSE),0)</f>
        <v>0</v>
      </c>
    </row>
    <row r="114" spans="1:6" x14ac:dyDescent="0.4">
      <c r="A114" s="114" t="str">
        <f>Parts!A114</f>
        <v>DB60-4-56-G</v>
      </c>
      <c r="B114" s="114" t="str">
        <f>Parts!B114</f>
        <v>EUR-MDB60G4NAWP</v>
      </c>
      <c r="C114" s="114">
        <f t="shared" si="2"/>
        <v>0</v>
      </c>
      <c r="D114" s="114">
        <f>IFERROR(VLOOKUP(A114,Fan_Pricing!B:F,5,FALSE),0)</f>
        <v>0</v>
      </c>
      <c r="E114" s="114">
        <f>IFERROR(VLOOKUP(A114,AC_Pricing!B:F,5,FALSE),0)</f>
        <v>0</v>
      </c>
      <c r="F114" s="114">
        <f>IFERROR(VLOOKUP(A114,Chiller_Pricing!B:F,5,FALSE),0)</f>
        <v>0</v>
      </c>
    </row>
    <row r="115" spans="1:6" x14ac:dyDescent="0.4">
      <c r="A115" s="114" t="str">
        <f>Parts!A115</f>
        <v>DB60-4-56-G-M</v>
      </c>
      <c r="B115" s="114" t="str">
        <f>Parts!B115</f>
        <v>EUR-MDB60G4MCWP</v>
      </c>
      <c r="C115" s="114">
        <f t="shared" si="2"/>
        <v>0</v>
      </c>
      <c r="D115" s="114">
        <f>IFERROR(VLOOKUP(A115,Fan_Pricing!B:F,5,FALSE),0)</f>
        <v>0</v>
      </c>
      <c r="E115" s="114">
        <f>IFERROR(VLOOKUP(A115,AC_Pricing!B:F,5,FALSE),0)</f>
        <v>0</v>
      </c>
      <c r="F115" s="114">
        <f>IFERROR(VLOOKUP(A115,Chiller_Pricing!B:F,5,FALSE),0)</f>
        <v>0</v>
      </c>
    </row>
    <row r="116" spans="1:6" x14ac:dyDescent="0.4">
      <c r="A116" s="114" t="str">
        <f>Parts!A116</f>
        <v>DB72-4-56-G</v>
      </c>
      <c r="B116" s="114" t="str">
        <f>Parts!B116</f>
        <v>EUR-MDB72G4NAWP</v>
      </c>
      <c r="C116" s="114">
        <f t="shared" si="2"/>
        <v>0</v>
      </c>
      <c r="D116" s="114">
        <f>IFERROR(VLOOKUP(A116,Fan_Pricing!B:F,5,FALSE),0)</f>
        <v>0</v>
      </c>
      <c r="E116" s="114">
        <f>IFERROR(VLOOKUP(A116,AC_Pricing!B:F,5,FALSE),0)</f>
        <v>0</v>
      </c>
      <c r="F116" s="114">
        <f>IFERROR(VLOOKUP(A116,Chiller_Pricing!B:F,5,FALSE),0)</f>
        <v>0</v>
      </c>
    </row>
    <row r="117" spans="1:6" x14ac:dyDescent="0.4">
      <c r="A117" s="114" t="str">
        <f>Parts!A117</f>
        <v>DB72-4-56-G-M</v>
      </c>
      <c r="B117" s="114" t="str">
        <f>Parts!B117</f>
        <v>EUR-MDB72G4MCWP</v>
      </c>
      <c r="C117" s="114">
        <f t="shared" si="2"/>
        <v>0</v>
      </c>
      <c r="D117" s="114">
        <f>IFERROR(VLOOKUP(A117,Fan_Pricing!B:F,5,FALSE),0)</f>
        <v>0</v>
      </c>
      <c r="E117" s="114">
        <f>IFERROR(VLOOKUP(A117,AC_Pricing!B:F,5,FALSE),0)</f>
        <v>0</v>
      </c>
      <c r="F117" s="114">
        <f>IFERROR(VLOOKUP(A117,Chiller_Pricing!B:F,5,FALSE),0)</f>
        <v>0</v>
      </c>
    </row>
    <row r="118" spans="1:6" x14ac:dyDescent="0.4">
      <c r="A118" s="114" t="str">
        <f>Parts!A118</f>
        <v>MS3100</v>
      </c>
      <c r="B118" s="114" t="str">
        <f>Parts!B118</f>
        <v>MS3100</v>
      </c>
      <c r="C118" s="114">
        <f t="shared" si="2"/>
        <v>0</v>
      </c>
      <c r="D118" s="114">
        <f>IFERROR(VLOOKUP(A118,Fan_Pricing!B:F,5,FALSE),0)</f>
        <v>0</v>
      </c>
      <c r="E118" s="114">
        <f>IFERROR(VLOOKUP(A118,AC_Pricing!B:F,5,FALSE),0)</f>
        <v>0</v>
      </c>
      <c r="F118" s="114">
        <f>IFERROR(VLOOKUP(A118,Chiller_Pricing!B:F,5,FALSE),0)</f>
        <v>0</v>
      </c>
    </row>
    <row r="119" spans="1:6" x14ac:dyDescent="0.4">
      <c r="A119" s="114" t="str">
        <f>Parts!A119</f>
        <v>4mm Cable 3 core and Earth</v>
      </c>
      <c r="B119" s="114" t="str">
        <f>Parts!B119</f>
        <v>4mm Cable 3 core and Earth</v>
      </c>
      <c r="C119" s="114">
        <f>SUM(D119:Z119)</f>
        <v>30</v>
      </c>
      <c r="D119" s="114">
        <f>IFERROR(VLOOKUP(A119,Fan_Pricing!B:F,5,FALSE),0)</f>
        <v>0</v>
      </c>
      <c r="E119" s="114">
        <f>IFERROR(VLOOKUP(A119,AC_Pricing!B:F,5,FALSE),0)</f>
        <v>10</v>
      </c>
      <c r="F119" s="114">
        <f>IFERROR(VLOOKUP(A119,Chiller_Pricing!B:F,5,FALSE),0)</f>
        <v>20</v>
      </c>
    </row>
    <row r="120" spans="1:6" x14ac:dyDescent="0.4">
      <c r="A120" s="114" t="str">
        <f>Parts!A120</f>
        <v>6mm Cable 3 core and Earth</v>
      </c>
      <c r="B120" s="114" t="str">
        <f>Parts!B120</f>
        <v>6mm Cable 3 core and Earth</v>
      </c>
      <c r="C120" s="114">
        <f t="shared" si="2"/>
        <v>0</v>
      </c>
      <c r="D120" s="114">
        <f>IFERROR(VLOOKUP(A120,Fan_Pricing!B:F,5,FALSE),0)</f>
        <v>0</v>
      </c>
      <c r="E120" s="114">
        <f>IFERROR(VLOOKUP(A120,AC_Pricing!B:F,5,FALSE),0)</f>
        <v>0</v>
      </c>
      <c r="F120" s="114">
        <f>IFERROR(VLOOKUP(A120,Chiller_Pricing!B:F,5,FALSE),0)</f>
        <v>0</v>
      </c>
    </row>
    <row r="121" spans="1:6" x14ac:dyDescent="0.4">
      <c r="A121" s="114" t="str">
        <f>Parts!A121</f>
        <v>Network cable</v>
      </c>
      <c r="B121" s="114" t="str">
        <f>Parts!B121</f>
        <v>Network cable</v>
      </c>
      <c r="C121" s="114">
        <f t="shared" si="2"/>
        <v>0</v>
      </c>
      <c r="D121" s="114">
        <f>IFERROR(VLOOKUP(A121,Fan_Pricing!B:F,5,FALSE),0)</f>
        <v>0</v>
      </c>
      <c r="E121" s="114">
        <f>IFERROR(VLOOKUP(A121,AC_Pricing!B:F,5,FALSE),0)</f>
        <v>0</v>
      </c>
      <c r="F121" s="114">
        <f>IFERROR(VLOOKUP(A121,Chiller_Pricing!B:F,5,FALSE),0)</f>
        <v>0</v>
      </c>
    </row>
    <row r="122" spans="1:6" x14ac:dyDescent="0.4">
      <c r="A122" s="114" t="str">
        <f>Parts!A122</f>
        <v xml:space="preserve">Central Controller VRF </v>
      </c>
      <c r="B122" s="114" t="str">
        <f>Parts!B122</f>
        <v xml:space="preserve">Central Controller VRF </v>
      </c>
      <c r="C122" s="114">
        <f t="shared" si="2"/>
        <v>0</v>
      </c>
      <c r="D122" s="114">
        <f>IFERROR(VLOOKUP(A122,Fan_Pricing!B:F,5,FALSE),0)</f>
        <v>0</v>
      </c>
      <c r="E122" s="114">
        <f>IFERROR(VLOOKUP(A122,AC_Pricing!B:F,5,FALSE),0)</f>
        <v>0</v>
      </c>
      <c r="F122" s="114">
        <f>IFERROR(VLOOKUP(A122,Chiller_Pricing!B:F,5,FALSE),0)</f>
        <v>0</v>
      </c>
    </row>
    <row r="123" spans="1:6" x14ac:dyDescent="0.4">
      <c r="A123" s="114" t="str">
        <f>Parts!A123</f>
        <v>003 Keyed Padlocks</v>
      </c>
      <c r="B123" s="114">
        <f>Parts!B123</f>
        <v>0</v>
      </c>
      <c r="C123" s="114">
        <f t="shared" si="2"/>
        <v>2</v>
      </c>
      <c r="D123" s="114">
        <f>IFERROR(VLOOKUP(A123,Fan_Pricing!B:F,5,FALSE),0)</f>
        <v>0</v>
      </c>
      <c r="E123" s="114">
        <f>IFERROR(VLOOKUP(A123,AC_Pricing!B:F,5,FALSE),0)</f>
        <v>0</v>
      </c>
      <c r="F123" s="114">
        <f>IFERROR(VLOOKUP(A123,Chiller_Pricing!B:F,5,FALSE),0)</f>
        <v>2</v>
      </c>
    </row>
    <row r="124" spans="1:6" x14ac:dyDescent="0.4">
      <c r="A124" s="114" t="str">
        <f>Parts!A124</f>
        <v>Air Pressure Switch</v>
      </c>
      <c r="B124" s="114">
        <f>Parts!B124</f>
        <v>0</v>
      </c>
      <c r="C124" s="114">
        <f t="shared" si="2"/>
        <v>2</v>
      </c>
      <c r="D124" s="114">
        <f>IFERROR(VLOOKUP(A124,Fan_Pricing!B:F,5,FALSE),0)</f>
        <v>0</v>
      </c>
      <c r="E124" s="114">
        <f>IFERROR(VLOOKUP(A124,AC_Pricing!B:F,5,FALSE),0)</f>
        <v>0</v>
      </c>
      <c r="F124" s="114">
        <f>IFERROR(VLOOKUP(A124,Chiller_Pricing!B:F,5,FALSE),0)</f>
        <v>2</v>
      </c>
    </row>
    <row r="125" spans="1:6" x14ac:dyDescent="0.4">
      <c r="A125" s="114" t="str">
        <f>Parts!A125</f>
        <v>Interface for fire trade fan control</v>
      </c>
      <c r="B125" s="114">
        <f>Parts!B125</f>
        <v>0</v>
      </c>
      <c r="C125" s="114">
        <f t="shared" si="2"/>
        <v>2</v>
      </c>
      <c r="D125" s="114">
        <f>IFERROR(VLOOKUP(A125,Fan_Pricing!B:F,5,FALSE),0)</f>
        <v>0</v>
      </c>
      <c r="E125" s="114">
        <f>IFERROR(VLOOKUP(A125,AC_Pricing!B:F,5,FALSE),0)</f>
        <v>0</v>
      </c>
      <c r="F125" s="114">
        <f>IFERROR(VLOOKUP(A125,Chiller_Pricing!B:F,5,FALSE),0)</f>
        <v>2</v>
      </c>
    </row>
    <row r="126" spans="1:6" x14ac:dyDescent="0.4">
      <c r="A126" s="114" t="str">
        <f>Parts!A126</f>
        <v>FRC3025+E</v>
      </c>
      <c r="B126" s="114">
        <f>Parts!B126</f>
        <v>0</v>
      </c>
      <c r="C126" s="114">
        <f t="shared" si="2"/>
        <v>0</v>
      </c>
      <c r="D126" s="114">
        <f>IFERROR(VLOOKUP(A126,Fan_Pricing!B:F,5,FALSE),0)</f>
        <v>0</v>
      </c>
      <c r="E126" s="114">
        <f>IFERROR(VLOOKUP(A126,AC_Pricing!B:F,5,FALSE),0)</f>
        <v>0</v>
      </c>
      <c r="F126" s="114">
        <f>IFERROR(VLOOKUP(A126,Chiller_Pricing!B:F,5,FALSE),0)</f>
        <v>0</v>
      </c>
    </row>
    <row r="127" spans="1:6" x14ac:dyDescent="0.4">
      <c r="A127" s="114" t="str">
        <f>Parts!A127</f>
        <v>Transformer (50A)</v>
      </c>
      <c r="B127" s="114" t="str">
        <f>Parts!B127</f>
        <v>TOH63</v>
      </c>
      <c r="C127" s="114">
        <f t="shared" si="2"/>
        <v>0</v>
      </c>
      <c r="D127" s="114">
        <f>IFERROR(VLOOKUP(A127,Fan_Pricing!B:F,5,FALSE),0)</f>
        <v>0</v>
      </c>
      <c r="E127" s="114">
        <f>IFERROR(VLOOKUP(A127,AC_Pricing!B:F,5,FALSE),0)</f>
        <v>0</v>
      </c>
      <c r="F127" s="114">
        <f>IFERROR(VLOOKUP(A127,Chiller_Pricing!B:F,5,FALSE),0)</f>
        <v>0</v>
      </c>
    </row>
    <row r="128" spans="1:6" x14ac:dyDescent="0.4">
      <c r="A128" s="114" t="str">
        <f>Parts!A128</f>
        <v>Switchplate (4 Switches)</v>
      </c>
      <c r="B128" s="114">
        <f>Parts!B128</f>
        <v>0</v>
      </c>
      <c r="C128" s="114">
        <f t="shared" si="2"/>
        <v>0</v>
      </c>
      <c r="D128" s="114">
        <f>IFERROR(VLOOKUP(A128,Fan_Pricing!B:F,5,FALSE),0)</f>
        <v>0</v>
      </c>
      <c r="E128" s="114">
        <f>IFERROR(VLOOKUP(A128,AC_Pricing!B:F,5,FALSE),0)</f>
        <v>0</v>
      </c>
      <c r="F128" s="114">
        <f>IFERROR(VLOOKUP(A128,Chiller_Pricing!B:F,5,FALSE),0)</f>
        <v>0</v>
      </c>
    </row>
    <row r="129" spans="1:6" x14ac:dyDescent="0.4">
      <c r="A129" s="114" t="str">
        <f>Parts!A129</f>
        <v>Push Button</v>
      </c>
      <c r="B129" s="114" t="str">
        <f>Parts!B129</f>
        <v>PBF22B</v>
      </c>
      <c r="C129" s="114">
        <f t="shared" si="2"/>
        <v>3</v>
      </c>
      <c r="D129" s="114">
        <f>IFERROR(VLOOKUP(A129,Fan_Pricing!B:F,5,FALSE),0)</f>
        <v>0</v>
      </c>
      <c r="E129" s="114">
        <f>IFERROR(VLOOKUP(A129,AC_Pricing!B:F,5,FALSE),0)</f>
        <v>1</v>
      </c>
      <c r="F129" s="114">
        <f>IFERROR(VLOOKUP(A129,Chiller_Pricing!B:F,5,FALSE),0)</f>
        <v>2</v>
      </c>
    </row>
    <row r="130" spans="1:6" x14ac:dyDescent="0.4">
      <c r="A130" s="114" t="str">
        <f>Parts!A130</f>
        <v>Speed Control Dial</v>
      </c>
      <c r="B130" s="114">
        <f>Parts!B130</f>
        <v>0</v>
      </c>
      <c r="C130" s="114">
        <f t="shared" si="2"/>
        <v>0</v>
      </c>
      <c r="D130" s="114">
        <f>IFERROR(VLOOKUP(A130,Fan_Pricing!B:F,5,FALSE),0)</f>
        <v>0</v>
      </c>
      <c r="E130" s="114">
        <f>IFERROR(VLOOKUP(A130,AC_Pricing!B:F,5,FALSE),0)</f>
        <v>0</v>
      </c>
      <c r="F130" s="114">
        <f>IFERROR(VLOOKUP(A130,Chiller_Pricing!B:F,5,FALSE),0)</f>
        <v>0</v>
      </c>
    </row>
    <row r="131" spans="1:6" x14ac:dyDescent="0.4">
      <c r="A131" s="114" t="str">
        <f>Parts!A131</f>
        <v>SSR (3 phase)</v>
      </c>
      <c r="B131" s="114">
        <f>Parts!B131</f>
        <v>0</v>
      </c>
      <c r="C131" s="114">
        <f t="shared" si="2"/>
        <v>0</v>
      </c>
      <c r="D131" s="114">
        <f>IFERROR(VLOOKUP(A131,Fan_Pricing!B:F,5,FALSE),0)</f>
        <v>0</v>
      </c>
      <c r="E131" s="114">
        <f>IFERROR(VLOOKUP(A131,AC_Pricing!B:F,5,FALSE),0)</f>
        <v>0</v>
      </c>
      <c r="F131" s="114">
        <f>IFERROR(VLOOKUP(A131,Chiller_Pricing!B:F,5,FALSE),0)</f>
        <v>0</v>
      </c>
    </row>
    <row r="132" spans="1:6" x14ac:dyDescent="0.4">
      <c r="A132" s="114" t="str">
        <f>Parts!A132</f>
        <v>HPT</v>
      </c>
      <c r="B132" s="114">
        <f>Parts!B132</f>
        <v>0</v>
      </c>
      <c r="C132" s="114">
        <f t="shared" si="2"/>
        <v>0</v>
      </c>
      <c r="D132" s="114">
        <f>IFERROR(VLOOKUP(A132,Fan_Pricing!B:F,5,FALSE),0)</f>
        <v>0</v>
      </c>
      <c r="E132" s="114">
        <f>IFERROR(VLOOKUP(A132,AC_Pricing!B:F,5,FALSE),0)</f>
        <v>0</v>
      </c>
      <c r="F132" s="114">
        <f>IFERROR(VLOOKUP(A132,Chiller_Pricing!B:F,5,FALSE),0)</f>
        <v>0</v>
      </c>
    </row>
    <row r="133" spans="1:6" x14ac:dyDescent="0.4">
      <c r="A133" s="114" t="str">
        <f>Parts!A133</f>
        <v>VSD Small (2k2)</v>
      </c>
      <c r="B133" s="114" t="str">
        <f>Parts!B133</f>
        <v>FC-101P2K2</v>
      </c>
      <c r="C133" s="114">
        <f t="shared" si="2"/>
        <v>2</v>
      </c>
      <c r="D133" s="114">
        <f>IFERROR(VLOOKUP(A133,Fan_Pricing!B:F,5,FALSE),0)</f>
        <v>0</v>
      </c>
      <c r="E133" s="114">
        <f>IFERROR(VLOOKUP(A133,AC_Pricing!B:F,5,FALSE),0)</f>
        <v>0</v>
      </c>
      <c r="F133" s="114">
        <f>IFERROR(VLOOKUP(A133,Chiller_Pricing!B:F,5,FALSE),0)</f>
        <v>2</v>
      </c>
    </row>
    <row r="134" spans="1:6" x14ac:dyDescent="0.4">
      <c r="A134" s="114" t="str">
        <f>Parts!A134</f>
        <v>VSD Medium (5k5)</v>
      </c>
      <c r="B134" s="114" t="str">
        <f>Parts!B134</f>
        <v>FC-101P5K5</v>
      </c>
      <c r="C134" s="114">
        <f t="shared" si="2"/>
        <v>0</v>
      </c>
      <c r="D134" s="114">
        <f>IFERROR(VLOOKUP(A134,Fan_Pricing!B:F,5,FALSE),0)</f>
        <v>0</v>
      </c>
      <c r="E134" s="114">
        <f>IFERROR(VLOOKUP(A134,AC_Pricing!B:F,5,FALSE),0)</f>
        <v>0</v>
      </c>
      <c r="F134" s="114">
        <f>IFERROR(VLOOKUP(A134,Chiller_Pricing!B:F,5,FALSE),0)</f>
        <v>0</v>
      </c>
    </row>
    <row r="135" spans="1:6" x14ac:dyDescent="0.4">
      <c r="A135" s="114" t="str">
        <f>Parts!A135</f>
        <v>VSD Large (11k)</v>
      </c>
      <c r="B135" s="114" t="str">
        <f>Parts!B135</f>
        <v>FC-101P11K</v>
      </c>
      <c r="C135" s="114">
        <f t="shared" si="2"/>
        <v>0</v>
      </c>
      <c r="D135" s="114">
        <f>IFERROR(VLOOKUP(A135,Fan_Pricing!B:F,5,FALSE),0)</f>
        <v>0</v>
      </c>
      <c r="E135" s="114">
        <f>IFERROR(VLOOKUP(A135,AC_Pricing!B:F,5,FALSE),0)</f>
        <v>0</v>
      </c>
      <c r="F135" s="114">
        <f>IFERROR(VLOOKUP(A135,Chiller_Pricing!B:F,5,FALSE),0)</f>
        <v>0</v>
      </c>
    </row>
    <row r="136" spans="1:6" x14ac:dyDescent="0.4">
      <c r="A136" s="114" t="str">
        <f>Parts!A136</f>
        <v>Spring return damper actuator</v>
      </c>
      <c r="B136" s="114">
        <f>Parts!B136</f>
        <v>0</v>
      </c>
      <c r="C136" s="114">
        <f t="shared" si="2"/>
        <v>2</v>
      </c>
      <c r="D136" s="114">
        <f>IFERROR(VLOOKUP(A136,Fan_Pricing!B:F,5,FALSE),0)</f>
        <v>0</v>
      </c>
      <c r="E136" s="114">
        <f>IFERROR(VLOOKUP(A136,AC_Pricing!B:F,5,FALSE),0)</f>
        <v>0</v>
      </c>
      <c r="F136" s="114">
        <f>IFERROR(VLOOKUP(A136,Chiller_Pricing!B:F,5,FALSE),0)</f>
        <v>2</v>
      </c>
    </row>
    <row r="137" spans="1:6" x14ac:dyDescent="0.4">
      <c r="A137" s="114" t="str">
        <f>Parts!A137</f>
        <v>Run Status Light</v>
      </c>
      <c r="B137" s="114" t="str">
        <f>Parts!B137</f>
        <v>PL22G24LED + PL22R24LED</v>
      </c>
      <c r="C137" s="114">
        <f t="shared" si="2"/>
        <v>0</v>
      </c>
      <c r="D137" s="114">
        <f>IFERROR(VLOOKUP(A137,Fan_Pricing!B:F,5,FALSE),0)</f>
        <v>0</v>
      </c>
      <c r="E137" s="114">
        <f>IFERROR(VLOOKUP(A137,AC_Pricing!B:F,5,FALSE),0)</f>
        <v>0</v>
      </c>
      <c r="F137" s="114">
        <f>IFERROR(VLOOKUP(A137,Chiller_Pricing!B:F,5,FALSE),0)</f>
        <v>0</v>
      </c>
    </row>
    <row r="138" spans="1:6" x14ac:dyDescent="0.4">
      <c r="A138" s="114" t="str">
        <f>Parts!A138</f>
        <v>Contactor</v>
      </c>
      <c r="B138" s="114">
        <f>Parts!B138</f>
        <v>0</v>
      </c>
      <c r="C138" s="114">
        <f t="shared" si="2"/>
        <v>1</v>
      </c>
      <c r="D138" s="114">
        <f>IFERROR(VLOOKUP(A138,Fan_Pricing!B:F,5,FALSE),0)</f>
        <v>0</v>
      </c>
      <c r="E138" s="114">
        <f>IFERROR(VLOOKUP(A138,AC_Pricing!B:F,5,FALSE),0)</f>
        <v>1</v>
      </c>
      <c r="F138" s="114">
        <f>IFERROR(VLOOKUP(A138,Chiller_Pricing!B:F,5,FALSE),0)</f>
        <v>0</v>
      </c>
    </row>
    <row r="139" spans="1:6" x14ac:dyDescent="0.4">
      <c r="A139" s="114" t="str">
        <f>Parts!A139</f>
        <v>Overloads</v>
      </c>
      <c r="B139" s="114">
        <f>Parts!B139</f>
        <v>0</v>
      </c>
      <c r="C139" s="114">
        <f t="shared" si="2"/>
        <v>0</v>
      </c>
      <c r="D139" s="114">
        <f>IFERROR(VLOOKUP(A139,Fan_Pricing!B:F,5,FALSE),0)</f>
        <v>0</v>
      </c>
      <c r="E139" s="114">
        <f>IFERROR(VLOOKUP(A139,AC_Pricing!B:F,5,FALSE),0)</f>
        <v>0</v>
      </c>
      <c r="F139" s="114">
        <f>IFERROR(VLOOKUP(A139,Chiller_Pricing!B:F,5,FALSE),0)</f>
        <v>0</v>
      </c>
    </row>
  </sheetData>
  <autoFilter ref="A1:D139" xr:uid="{C9055BDC-C8D3-4119-BCFA-8613EAD6904D}"/>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7B99-50FE-4F50-834E-7DCF3298A6F7}">
  <dimension ref="A1:E2"/>
  <sheetViews>
    <sheetView workbookViewId="0"/>
  </sheetViews>
  <sheetFormatPr defaultRowHeight="14.6" x14ac:dyDescent="0.4"/>
  <cols>
    <col min="1" max="1" width="9.23046875" style="114"/>
  </cols>
  <sheetData>
    <row r="1" spans="1:5" x14ac:dyDescent="0.4">
      <c r="A1" s="114" t="str">
        <f>_xlfn.CONCAT(B2:H2)</f>
        <v xml:space="preserve">[Unit ID] - Electrical power supply and controls to 1 [Unit Name] from Local power supply
[Unit Name] - Electrical power supply and controls to 1 Outdoor Condenser from MSSB with:, BMS Provisions, Fire Shutdown, Reed Switch, Mechanical Thermostat, Run-On Timer, Time Clock, Local Switch, Push Button
[Unit Name] - Electrical power supply and controls to 2 Chilled Water FCUs (DOL with Pump) with:Fire Essential, Run-On Timer, Time Clock, Local Switch, Run Status Light, Run &amp; Fault LEDs, Push Button, Small VSD
Commissioning and Install for 1 Motorised Damper
Commissioning and Install for 1 Smoke Damper
Labour associated with make safe &amp; disconnect for 1 three phase unit
Labour associated with make safe &amp; disconnect for 1 single phase unit
</v>
      </c>
      <c r="B1" t="s">
        <v>493</v>
      </c>
      <c r="C1" t="s">
        <v>1481</v>
      </c>
      <c r="D1" t="s">
        <v>1342</v>
      </c>
      <c r="E1" t="s">
        <v>680</v>
      </c>
    </row>
    <row r="2" spans="1:5" x14ac:dyDescent="0.4">
      <c r="B2" t="str">
        <f>_xlfn.CONCAT(Fan_Takeoff!AA:AA)</f>
        <v xml:space="preserve">[Unit ID] - Electrical power supply and controls to 1 [Unit Name] from Local power supply
</v>
      </c>
      <c r="C2" t="str">
        <f>_xlfn.CONCAT(AC_Takeoff!AA:AA)</f>
        <v xml:space="preserve">[Unit Name] - Electrical power supply and controls to 1 Outdoor Condenser from MSSB with:, BMS Provisions, Fire Shutdown, Reed Switch, Mechanical Thermostat, Run-On Timer, Time Clock, Local Switch, Push Button
</v>
      </c>
      <c r="D2" t="str">
        <f>_xlfn.CONCAT(Chiller_Takeoff!AA:AA)</f>
        <v xml:space="preserve">[Unit Name] - Electrical power supply and controls to 2 Chilled Water FCUs (DOL with Pump) with:Fire Essential, Run-On Timer, Time Clock, Local Switch, Run Status Light, Run &amp; Fault LEDs, Push Button, Small VSD
</v>
      </c>
      <c r="E2" t="str">
        <f>_xlfn.CONCAT(Other_Takeoff!AA:AA)</f>
        <v xml:space="preserve">Commissioning and Install for 1 Motorised Damper
Commissioning and Install for 1 Smoke Damper
Labour associated with make safe &amp; disconnect for 1 three phase unit
Labour associated with make safe &amp; disconnect for 1 single phase unit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90" activePane="bottomLeft" state="frozen"/>
      <selection pane="bottomLeft" activeCell="B103" sqref="B103"/>
    </sheetView>
  </sheetViews>
  <sheetFormatPr defaultRowHeight="14.6" x14ac:dyDescent="0.4"/>
  <cols>
    <col min="1" max="1" width="18.3046875" customWidth="1"/>
    <col min="2" max="2" width="42.3046875" customWidth="1"/>
    <col min="3" max="3" width="16.84375" customWidth="1"/>
    <col min="6" max="6" width="22.074218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740</v>
      </c>
      <c r="J1" s="299" t="s">
        <v>741</v>
      </c>
      <c r="K1" s="299" t="s">
        <v>742</v>
      </c>
      <c r="L1" s="299" t="s">
        <v>790</v>
      </c>
      <c r="M1" s="299" t="s">
        <v>792</v>
      </c>
      <c r="N1" s="33" t="s">
        <v>750</v>
      </c>
      <c r="O1" s="295" t="s">
        <v>791</v>
      </c>
      <c r="P1" s="299" t="s">
        <v>749</v>
      </c>
      <c r="R1" s="299" t="s">
        <v>740</v>
      </c>
      <c r="S1" s="33" t="s">
        <v>750</v>
      </c>
    </row>
    <row r="2" spans="1:19" x14ac:dyDescent="0.4">
      <c r="B2" s="32"/>
      <c r="C2" s="32"/>
      <c r="D2" s="32" t="s">
        <v>369</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285</v>
      </c>
      <c r="D5" s="32"/>
      <c r="E5" s="32"/>
      <c r="F5" s="32"/>
      <c r="G5" s="32"/>
      <c r="I5" s="32"/>
      <c r="N5" s="32"/>
      <c r="O5" s="32"/>
      <c r="P5" s="32"/>
      <c r="R5" s="114">
        <f t="shared" si="0"/>
        <v>0</v>
      </c>
      <c r="S5" s="114">
        <f t="shared" si="1"/>
        <v>0</v>
      </c>
    </row>
    <row r="6" spans="1:19" x14ac:dyDescent="0.4">
      <c r="A6" t="s">
        <v>299</v>
      </c>
      <c r="B6" s="38" t="s">
        <v>222</v>
      </c>
      <c r="C6" s="50">
        <v>2</v>
      </c>
      <c r="D6" s="50"/>
      <c r="E6" s="38"/>
      <c r="F6" s="42"/>
      <c r="G6" s="32"/>
      <c r="I6" s="32"/>
      <c r="N6" s="32"/>
      <c r="O6" s="32"/>
      <c r="P6" s="32"/>
      <c r="R6" s="114">
        <f t="shared" si="0"/>
        <v>0</v>
      </c>
      <c r="S6" s="114">
        <f t="shared" si="1"/>
        <v>0</v>
      </c>
    </row>
    <row r="7" spans="1:19" s="32" customFormat="1" x14ac:dyDescent="0.4">
      <c r="B7" s="38" t="s">
        <v>297</v>
      </c>
      <c r="C7" s="50">
        <v>2</v>
      </c>
      <c r="D7" s="50"/>
      <c r="E7" s="38"/>
      <c r="F7" s="42"/>
      <c r="H7" s="303"/>
      <c r="J7" s="297"/>
      <c r="K7" s="297"/>
      <c r="L7" s="297"/>
      <c r="M7" s="297"/>
      <c r="R7" s="114">
        <f t="shared" si="0"/>
        <v>0</v>
      </c>
      <c r="S7" s="114">
        <f t="shared" si="1"/>
        <v>0</v>
      </c>
    </row>
    <row r="8" spans="1:19" s="114" customFormat="1" x14ac:dyDescent="0.4">
      <c r="B8" s="117" t="s">
        <v>478</v>
      </c>
      <c r="C8" s="145">
        <v>2</v>
      </c>
      <c r="D8" s="137"/>
      <c r="E8" s="117"/>
      <c r="F8" s="134"/>
      <c r="H8" s="303"/>
      <c r="J8" s="297"/>
      <c r="K8" s="297"/>
      <c r="L8" s="297"/>
      <c r="M8" s="297"/>
      <c r="R8" s="114">
        <f t="shared" si="0"/>
        <v>0</v>
      </c>
      <c r="S8" s="114">
        <f t="shared" si="1"/>
        <v>0</v>
      </c>
    </row>
    <row r="9" spans="1:19" s="32" customFormat="1" x14ac:dyDescent="0.4">
      <c r="B9" s="38" t="s">
        <v>302</v>
      </c>
      <c r="C9" s="50">
        <v>0.5</v>
      </c>
      <c r="D9" s="50"/>
      <c r="E9" s="38"/>
      <c r="F9" s="42"/>
      <c r="H9" s="303"/>
      <c r="J9" s="297"/>
      <c r="K9" s="297"/>
      <c r="L9" s="297"/>
      <c r="M9" s="297"/>
      <c r="R9" s="114">
        <f t="shared" si="0"/>
        <v>0</v>
      </c>
      <c r="S9" s="114">
        <f t="shared" si="1"/>
        <v>0</v>
      </c>
    </row>
    <row r="10" spans="1:19" x14ac:dyDescent="0.4">
      <c r="B10" s="43" t="s">
        <v>286</v>
      </c>
      <c r="C10" s="50">
        <v>4</v>
      </c>
      <c r="D10" s="50"/>
      <c r="E10" s="43"/>
      <c r="F10" s="44"/>
      <c r="G10" s="32"/>
      <c r="I10" s="32"/>
      <c r="N10" s="32"/>
      <c r="O10" s="32"/>
      <c r="P10" s="32"/>
      <c r="R10" s="114">
        <f t="shared" si="0"/>
        <v>0</v>
      </c>
      <c r="S10" s="114">
        <f t="shared" si="1"/>
        <v>0</v>
      </c>
    </row>
    <row r="11" spans="1:19" x14ac:dyDescent="0.4">
      <c r="A11" t="s">
        <v>300</v>
      </c>
      <c r="B11" s="43" t="s">
        <v>428</v>
      </c>
      <c r="C11" s="50">
        <v>3.5</v>
      </c>
      <c r="D11" s="50"/>
      <c r="E11" s="43"/>
      <c r="F11" s="44"/>
      <c r="G11" s="32"/>
      <c r="I11" s="32"/>
      <c r="L11" s="297" t="s">
        <v>739</v>
      </c>
      <c r="N11" s="32"/>
      <c r="O11" s="32"/>
      <c r="P11" s="32"/>
      <c r="R11" s="114">
        <f t="shared" si="0"/>
        <v>0</v>
      </c>
      <c r="S11" s="114">
        <f t="shared" si="1"/>
        <v>0</v>
      </c>
    </row>
    <row r="12" spans="1:19" s="114" customFormat="1" x14ac:dyDescent="0.4">
      <c r="B12" s="117" t="s">
        <v>479</v>
      </c>
      <c r="C12" s="145">
        <v>3.5</v>
      </c>
      <c r="D12" s="137"/>
      <c r="E12" s="135"/>
      <c r="F12" s="136"/>
      <c r="H12" s="303"/>
      <c r="J12" s="297"/>
      <c r="K12" s="297"/>
      <c r="L12" s="297"/>
      <c r="M12" s="297"/>
      <c r="R12" s="114">
        <f t="shared" si="0"/>
        <v>0</v>
      </c>
      <c r="S12" s="114">
        <f t="shared" si="1"/>
        <v>0</v>
      </c>
    </row>
    <row r="13" spans="1:19" s="32" customFormat="1" x14ac:dyDescent="0.4">
      <c r="B13" s="43" t="s">
        <v>301</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458</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350</v>
      </c>
      <c r="C22" s="50">
        <v>4</v>
      </c>
      <c r="D22" s="50"/>
      <c r="E22" s="43"/>
      <c r="F22" s="44"/>
      <c r="G22" s="32"/>
      <c r="I22" s="32"/>
      <c r="N22" s="152" t="s">
        <v>459</v>
      </c>
      <c r="O22" s="32"/>
      <c r="P22" s="32"/>
      <c r="R22" s="114">
        <f t="shared" si="2"/>
        <v>0</v>
      </c>
      <c r="S22" s="114">
        <f t="shared" si="3"/>
        <v>0</v>
      </c>
    </row>
    <row r="23" spans="2:19" x14ac:dyDescent="0.4">
      <c r="B23" s="38" t="s">
        <v>223</v>
      </c>
      <c r="C23" s="50">
        <v>1</v>
      </c>
      <c r="D23" s="50"/>
      <c r="E23" s="38"/>
      <c r="F23" s="42"/>
      <c r="G23" s="32"/>
      <c r="I23" s="32"/>
      <c r="N23" s="152" t="s">
        <v>460</v>
      </c>
      <c r="O23" s="32"/>
      <c r="P23" s="32"/>
      <c r="R23" s="114">
        <f t="shared" si="2"/>
        <v>0</v>
      </c>
      <c r="S23" s="114">
        <f t="shared" si="3"/>
        <v>0</v>
      </c>
    </row>
    <row r="24" spans="2:19" s="32" customFormat="1" x14ac:dyDescent="0.4">
      <c r="B24" s="38" t="s">
        <v>361</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362</v>
      </c>
      <c r="C36" s="50">
        <v>1</v>
      </c>
      <c r="D36" s="50"/>
      <c r="E36" s="38"/>
      <c r="F36" s="44"/>
      <c r="H36" s="303"/>
      <c r="J36" s="297"/>
      <c r="K36" s="297"/>
      <c r="L36" s="297"/>
      <c r="M36" s="297"/>
      <c r="R36" s="114">
        <f t="shared" si="2"/>
        <v>0</v>
      </c>
      <c r="S36" s="114">
        <f t="shared" si="3"/>
        <v>0</v>
      </c>
    </row>
    <row r="37" spans="1:19" s="32" customFormat="1" x14ac:dyDescent="0.4">
      <c r="B37" s="38" t="s">
        <v>363</v>
      </c>
      <c r="C37" s="50">
        <v>1</v>
      </c>
      <c r="D37" s="50"/>
      <c r="E37" s="38"/>
      <c r="F37" s="44"/>
      <c r="H37" s="303"/>
      <c r="J37" s="297"/>
      <c r="K37" s="297"/>
      <c r="L37" s="297"/>
      <c r="M37" s="297"/>
      <c r="R37" s="114">
        <f t="shared" si="2"/>
        <v>0</v>
      </c>
      <c r="S37" s="114">
        <f t="shared" si="3"/>
        <v>0</v>
      </c>
    </row>
    <row r="38" spans="1:19" s="32" customFormat="1" x14ac:dyDescent="0.4">
      <c r="B38" s="38" t="s">
        <v>364</v>
      </c>
      <c r="C38" s="50">
        <v>2</v>
      </c>
      <c r="D38" s="50"/>
      <c r="E38" s="38"/>
      <c r="F38" s="44"/>
      <c r="H38" s="303"/>
      <c r="J38" s="297"/>
      <c r="K38" s="297"/>
      <c r="L38" s="297"/>
      <c r="M38" s="297"/>
      <c r="R38" s="114">
        <f t="shared" si="2"/>
        <v>0</v>
      </c>
      <c r="S38" s="114">
        <f t="shared" si="3"/>
        <v>0</v>
      </c>
    </row>
    <row r="39" spans="1:19" s="114" customFormat="1" x14ac:dyDescent="0.4">
      <c r="B39" s="117" t="s">
        <v>600</v>
      </c>
      <c r="C39" s="137">
        <v>1.5</v>
      </c>
      <c r="D39" s="137"/>
      <c r="E39" s="117"/>
      <c r="F39" s="136"/>
      <c r="H39" s="303"/>
      <c r="J39" s="297"/>
      <c r="K39" s="297"/>
      <c r="L39" s="297"/>
      <c r="M39" s="297"/>
      <c r="R39" s="114">
        <f t="shared" si="2"/>
        <v>0</v>
      </c>
      <c r="S39" s="114">
        <f t="shared" si="3"/>
        <v>0</v>
      </c>
    </row>
    <row r="40" spans="1:19" s="114" customFormat="1" x14ac:dyDescent="0.4">
      <c r="B40" s="117" t="s">
        <v>690</v>
      </c>
      <c r="C40" s="137">
        <v>2.5</v>
      </c>
      <c r="D40" s="137"/>
      <c r="E40" s="117"/>
      <c r="F40" s="136"/>
      <c r="H40" s="303"/>
      <c r="J40" s="297"/>
      <c r="K40" s="297"/>
      <c r="L40" s="297"/>
      <c r="M40" s="297"/>
      <c r="R40" s="114">
        <f t="shared" si="2"/>
        <v>0</v>
      </c>
      <c r="S40" s="114">
        <f t="shared" si="3"/>
        <v>0</v>
      </c>
    </row>
    <row r="41" spans="1:19" s="32" customFormat="1" x14ac:dyDescent="0.4">
      <c r="B41" s="38" t="s">
        <v>433</v>
      </c>
      <c r="C41" s="50">
        <f>20/60</f>
        <v>0.33333333333333331</v>
      </c>
      <c r="D41" s="50"/>
      <c r="E41" s="38"/>
      <c r="F41" s="44"/>
      <c r="H41" s="303"/>
      <c r="J41" s="297"/>
      <c r="K41" s="297"/>
      <c r="L41" s="297"/>
      <c r="M41" s="297"/>
      <c r="R41" s="114">
        <f t="shared" si="2"/>
        <v>0</v>
      </c>
      <c r="S41" s="114">
        <f t="shared" si="3"/>
        <v>0</v>
      </c>
    </row>
    <row r="42" spans="1:19" s="32" customFormat="1" x14ac:dyDescent="0.4">
      <c r="B42" s="38" t="s">
        <v>434</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292</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743</v>
      </c>
      <c r="K48" s="297" t="s">
        <v>747</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755</v>
      </c>
      <c r="K49" s="297" t="s">
        <v>761</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744</v>
      </c>
      <c r="K50" s="297" t="s">
        <v>747</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416</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417</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745</v>
      </c>
      <c r="K54" s="297" t="s">
        <v>746</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372</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758</v>
      </c>
      <c r="K56" s="297" t="s">
        <v>762</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769</v>
      </c>
      <c r="K57" s="297" t="s">
        <v>759</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757</v>
      </c>
      <c r="K58" s="297" t="s">
        <v>762</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756</v>
      </c>
      <c r="K59" s="297" t="s">
        <v>762</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777</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777</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770</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770</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770</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770</v>
      </c>
      <c r="R65" s="114">
        <f t="shared" si="2"/>
        <v>0</v>
      </c>
      <c r="S65" s="114">
        <f t="shared" si="3"/>
        <v>0</v>
      </c>
    </row>
    <row r="66" spans="2:19" x14ac:dyDescent="0.4">
      <c r="B66" s="43" t="s">
        <v>260</v>
      </c>
      <c r="C66" s="136">
        <f t="shared" si="4"/>
        <v>56.4</v>
      </c>
      <c r="D66" s="44"/>
      <c r="E66" s="43"/>
      <c r="F66" s="44"/>
      <c r="G66" s="32"/>
      <c r="I66" s="135" t="str">
        <f t="shared" si="5"/>
        <v>TF63-240-24</v>
      </c>
      <c r="J66" s="297" t="s">
        <v>751</v>
      </c>
      <c r="K66" s="297" t="s">
        <v>752</v>
      </c>
      <c r="L66" s="300">
        <v>47</v>
      </c>
      <c r="M66" s="300">
        <f t="shared" si="6"/>
        <v>56.4</v>
      </c>
      <c r="N66" s="136">
        <v>100</v>
      </c>
      <c r="O66" s="295">
        <f t="shared" si="7"/>
        <v>1.1276595744680851</v>
      </c>
      <c r="R66" s="114">
        <f t="shared" si="2"/>
        <v>0</v>
      </c>
      <c r="S66" s="114">
        <f t="shared" si="3"/>
        <v>0</v>
      </c>
    </row>
    <row r="67" spans="2:19" x14ac:dyDescent="0.4">
      <c r="B67" s="43" t="s">
        <v>422</v>
      </c>
      <c r="C67" s="136">
        <f t="shared" si="4"/>
        <v>23.4</v>
      </c>
      <c r="D67" s="44"/>
      <c r="E67" s="43"/>
      <c r="F67" s="44"/>
      <c r="G67" s="32"/>
      <c r="H67" s="303" t="s">
        <v>777</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773</v>
      </c>
      <c r="G68" s="32"/>
      <c r="I68" s="135" t="s">
        <v>771</v>
      </c>
      <c r="L68" s="301"/>
      <c r="M68" s="300">
        <f t="shared" si="6"/>
        <v>282</v>
      </c>
      <c r="N68" s="136">
        <v>235</v>
      </c>
      <c r="O68" s="295">
        <f t="shared" si="7"/>
        <v>0</v>
      </c>
      <c r="P68" t="s">
        <v>772</v>
      </c>
      <c r="R68" s="114">
        <f t="shared" si="2"/>
        <v>0</v>
      </c>
      <c r="S68" s="114">
        <f t="shared" si="3"/>
        <v>0</v>
      </c>
    </row>
    <row r="69" spans="2:19" x14ac:dyDescent="0.4">
      <c r="B69" s="43" t="s">
        <v>262</v>
      </c>
      <c r="C69" s="136">
        <f t="shared" si="4"/>
        <v>530.64</v>
      </c>
      <c r="D69" s="44"/>
      <c r="E69" s="43"/>
      <c r="F69" s="44"/>
      <c r="G69" s="32"/>
      <c r="I69" s="135" t="str">
        <f t="shared" si="5"/>
        <v>VSD Car Park 1.5kW</v>
      </c>
      <c r="J69" s="297" t="s">
        <v>784</v>
      </c>
      <c r="L69" s="301">
        <v>442.2</v>
      </c>
      <c r="M69" s="300">
        <f t="shared" si="6"/>
        <v>530.64</v>
      </c>
      <c r="N69" s="136">
        <v>770</v>
      </c>
      <c r="O69" s="295">
        <f t="shared" si="7"/>
        <v>0.74129353233830853</v>
      </c>
      <c r="P69" s="114" t="s">
        <v>770</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785</v>
      </c>
      <c r="L70" s="301">
        <v>541.20000000000005</v>
      </c>
      <c r="M70" s="300">
        <f t="shared" si="6"/>
        <v>649.44000000000005</v>
      </c>
      <c r="N70" s="136">
        <v>550</v>
      </c>
      <c r="O70" s="295">
        <f t="shared" si="7"/>
        <v>1.6260162601625931E-2</v>
      </c>
      <c r="P70" s="114" t="s">
        <v>770</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787</v>
      </c>
      <c r="L71" s="301">
        <v>625.9</v>
      </c>
      <c r="M71" s="300">
        <f t="shared" si="6"/>
        <v>751.07999999999993</v>
      </c>
      <c r="N71" s="136">
        <v>750</v>
      </c>
      <c r="O71" s="295">
        <f t="shared" si="7"/>
        <v>0.1982744847419716</v>
      </c>
      <c r="P71" s="114" t="s">
        <v>770</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786</v>
      </c>
      <c r="L72" s="301">
        <v>809.6</v>
      </c>
      <c r="M72" s="300">
        <f t="shared" si="6"/>
        <v>971.52</v>
      </c>
      <c r="N72" s="136">
        <v>750</v>
      </c>
      <c r="O72" s="295">
        <f t="shared" si="7"/>
        <v>7.3616600790513853E-2</v>
      </c>
      <c r="P72" s="114" t="s">
        <v>770</v>
      </c>
      <c r="R72" s="114">
        <f t="shared" si="2"/>
        <v>0</v>
      </c>
      <c r="S72" s="114">
        <f t="shared" si="3"/>
        <v>0</v>
      </c>
    </row>
    <row r="73" spans="2:19" s="114" customFormat="1" x14ac:dyDescent="0.4">
      <c r="B73" s="135" t="s">
        <v>490</v>
      </c>
      <c r="C73" s="136">
        <f t="shared" si="4"/>
        <v>1226.28</v>
      </c>
      <c r="D73" s="136"/>
      <c r="E73" s="135"/>
      <c r="F73" s="136"/>
      <c r="H73" s="303"/>
      <c r="I73" s="135" t="str">
        <f t="shared" si="5"/>
        <v>VSD 11 kW</v>
      </c>
      <c r="J73" s="297" t="s">
        <v>788</v>
      </c>
      <c r="K73" s="297"/>
      <c r="L73" s="301">
        <v>1021.9</v>
      </c>
      <c r="M73" s="300">
        <f t="shared" si="6"/>
        <v>1226.28</v>
      </c>
      <c r="N73" s="136">
        <v>1100</v>
      </c>
      <c r="O73" s="295">
        <f t="shared" si="7"/>
        <v>7.6426264800861163E-2</v>
      </c>
      <c r="P73" s="114" t="s">
        <v>770</v>
      </c>
      <c r="R73" s="114">
        <f t="shared" si="2"/>
        <v>0</v>
      </c>
      <c r="S73" s="114">
        <f t="shared" si="3"/>
        <v>0</v>
      </c>
    </row>
    <row r="74" spans="2:19" s="114" customFormat="1" x14ac:dyDescent="0.4">
      <c r="B74" s="135" t="s">
        <v>542</v>
      </c>
      <c r="C74" s="136">
        <f t="shared" si="4"/>
        <v>530.64</v>
      </c>
      <c r="D74" s="136"/>
      <c r="E74" s="135"/>
      <c r="F74" s="136"/>
      <c r="H74" s="303"/>
      <c r="I74" s="135" t="str">
        <f t="shared" si="5"/>
        <v>VSD 1.5kW</v>
      </c>
      <c r="J74" s="297" t="s">
        <v>784</v>
      </c>
      <c r="K74" s="297"/>
      <c r="L74" s="301">
        <v>442.2</v>
      </c>
      <c r="M74" s="300">
        <f t="shared" si="6"/>
        <v>530.64</v>
      </c>
      <c r="N74" s="136">
        <v>770</v>
      </c>
      <c r="O74" s="295">
        <f t="shared" si="7"/>
        <v>0.74129353233830853</v>
      </c>
      <c r="P74" s="114" t="s">
        <v>770</v>
      </c>
      <c r="R74" s="114">
        <f t="shared" si="2"/>
        <v>0</v>
      </c>
      <c r="S74" s="114">
        <f t="shared" si="3"/>
        <v>0</v>
      </c>
    </row>
    <row r="75" spans="2:19" s="114" customFormat="1" x14ac:dyDescent="0.4">
      <c r="B75" s="135" t="s">
        <v>543</v>
      </c>
      <c r="C75" s="136">
        <f t="shared" si="4"/>
        <v>649.44000000000005</v>
      </c>
      <c r="D75" s="136"/>
      <c r="E75" s="135"/>
      <c r="F75" s="136"/>
      <c r="H75" s="303"/>
      <c r="I75" s="135" t="str">
        <f t="shared" si="5"/>
        <v>VSD 2.2kW</v>
      </c>
      <c r="J75" s="297" t="s">
        <v>785</v>
      </c>
      <c r="K75" s="297"/>
      <c r="L75" s="301">
        <v>541.20000000000005</v>
      </c>
      <c r="M75" s="300">
        <f t="shared" si="6"/>
        <v>649.44000000000005</v>
      </c>
      <c r="N75" s="136">
        <v>750</v>
      </c>
      <c r="O75" s="295">
        <f t="shared" si="7"/>
        <v>0.38580931263858081</v>
      </c>
      <c r="P75" s="114" t="s">
        <v>770</v>
      </c>
      <c r="R75" s="114">
        <f t="shared" si="2"/>
        <v>0</v>
      </c>
      <c r="S75" s="114">
        <f t="shared" si="3"/>
        <v>0</v>
      </c>
    </row>
    <row r="76" spans="2:19" s="114" customFormat="1" x14ac:dyDescent="0.4">
      <c r="B76" s="135" t="s">
        <v>544</v>
      </c>
      <c r="C76" s="136">
        <f t="shared" si="4"/>
        <v>751.07999999999993</v>
      </c>
      <c r="D76" s="136"/>
      <c r="E76" s="135"/>
      <c r="F76" s="136"/>
      <c r="H76" s="303"/>
      <c r="I76" s="135" t="str">
        <f t="shared" si="5"/>
        <v>VSD 3kW</v>
      </c>
      <c r="J76" s="297" t="s">
        <v>787</v>
      </c>
      <c r="K76" s="297"/>
      <c r="L76" s="301">
        <v>625.9</v>
      </c>
      <c r="M76" s="300">
        <f t="shared" si="6"/>
        <v>751.07999999999993</v>
      </c>
      <c r="N76" s="136">
        <v>750</v>
      </c>
      <c r="O76" s="295">
        <f t="shared" si="7"/>
        <v>0.1982744847419716</v>
      </c>
      <c r="P76" s="114" t="s">
        <v>770</v>
      </c>
      <c r="R76" s="114">
        <f t="shared" si="2"/>
        <v>0</v>
      </c>
      <c r="S76" s="114">
        <f t="shared" si="3"/>
        <v>0</v>
      </c>
    </row>
    <row r="77" spans="2:19" s="114" customFormat="1" x14ac:dyDescent="0.4">
      <c r="B77" s="135" t="s">
        <v>546</v>
      </c>
      <c r="C77" s="136">
        <f t="shared" si="4"/>
        <v>865.92</v>
      </c>
      <c r="D77" s="136"/>
      <c r="E77" s="135"/>
      <c r="F77" s="136"/>
      <c r="H77" s="303"/>
      <c r="I77" s="135" t="str">
        <f t="shared" si="5"/>
        <v>VSD 5.5kW</v>
      </c>
      <c r="J77" s="297" t="s">
        <v>789</v>
      </c>
      <c r="K77" s="297"/>
      <c r="L77" s="301">
        <v>721.6</v>
      </c>
      <c r="M77" s="300">
        <f t="shared" si="6"/>
        <v>865.92</v>
      </c>
      <c r="N77" s="136">
        <v>750</v>
      </c>
      <c r="O77" s="295">
        <f t="shared" si="7"/>
        <v>3.9356984478935667E-2</v>
      </c>
      <c r="P77" s="114" t="s">
        <v>770</v>
      </c>
      <c r="R77" s="114">
        <f t="shared" si="2"/>
        <v>0</v>
      </c>
      <c r="S77" s="114">
        <f t="shared" si="3"/>
        <v>0</v>
      </c>
    </row>
    <row r="78" spans="2:19" s="114" customFormat="1" x14ac:dyDescent="0.4">
      <c r="B78" s="135" t="s">
        <v>545</v>
      </c>
      <c r="C78" s="136">
        <f t="shared" si="4"/>
        <v>971.52</v>
      </c>
      <c r="D78" s="136"/>
      <c r="E78" s="135"/>
      <c r="F78" s="136"/>
      <c r="H78" s="303"/>
      <c r="I78" s="135" t="str">
        <f t="shared" si="5"/>
        <v>VSD 7.5kW</v>
      </c>
      <c r="J78" s="297" t="s">
        <v>786</v>
      </c>
      <c r="K78" s="297"/>
      <c r="L78" s="301">
        <v>809.6</v>
      </c>
      <c r="M78" s="300">
        <f t="shared" si="6"/>
        <v>971.52</v>
      </c>
      <c r="N78" s="136">
        <v>750</v>
      </c>
      <c r="O78" s="295">
        <f t="shared" si="7"/>
        <v>7.3616600790513853E-2</v>
      </c>
      <c r="P78" s="114" t="s">
        <v>770</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773</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773</v>
      </c>
      <c r="R80" s="114">
        <f t="shared" si="2"/>
        <v>0</v>
      </c>
      <c r="S80" s="114">
        <f t="shared" si="3"/>
        <v>0</v>
      </c>
    </row>
    <row r="81" spans="2:19" s="32" customFormat="1" x14ac:dyDescent="0.4">
      <c r="B81" s="52" t="s">
        <v>418</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773</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773</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773</v>
      </c>
      <c r="R83" s="114">
        <f t="shared" si="8"/>
        <v>0</v>
      </c>
      <c r="S83" s="114">
        <f t="shared" si="9"/>
        <v>0</v>
      </c>
    </row>
    <row r="84" spans="2:19" s="32" customFormat="1" x14ac:dyDescent="0.4">
      <c r="B84" s="95" t="s">
        <v>373</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773</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773</v>
      </c>
      <c r="R86" s="114">
        <f t="shared" si="8"/>
        <v>0</v>
      </c>
      <c r="S86" s="114">
        <f t="shared" si="9"/>
        <v>0</v>
      </c>
    </row>
    <row r="87" spans="2:19" s="32" customFormat="1" x14ac:dyDescent="0.4">
      <c r="B87" s="43" t="s">
        <v>360</v>
      </c>
      <c r="C87" s="136">
        <f t="shared" si="4"/>
        <v>2.4</v>
      </c>
      <c r="D87" s="44"/>
      <c r="E87" s="43"/>
      <c r="F87" s="44"/>
      <c r="H87" s="303"/>
      <c r="I87" s="135" t="str">
        <f t="shared" si="5"/>
        <v>Network cable</v>
      </c>
      <c r="J87" s="297"/>
      <c r="K87" s="297"/>
      <c r="L87" s="301"/>
      <c r="M87" s="300">
        <f t="shared" si="6"/>
        <v>2.4</v>
      </c>
      <c r="N87" s="151">
        <v>2</v>
      </c>
      <c r="O87" s="295"/>
      <c r="P87" s="114" t="s">
        <v>773</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774</v>
      </c>
      <c r="R88" s="114">
        <f t="shared" si="8"/>
        <v>0</v>
      </c>
      <c r="S88" s="114">
        <f t="shared" si="9"/>
        <v>0</v>
      </c>
    </row>
    <row r="89" spans="2:19" x14ac:dyDescent="0.4">
      <c r="B89" s="43" t="s">
        <v>439</v>
      </c>
      <c r="C89" s="136">
        <f t="shared" si="4"/>
        <v>0.6</v>
      </c>
      <c r="D89" s="44"/>
      <c r="E89" s="43"/>
      <c r="F89" s="44"/>
      <c r="G89" s="32"/>
      <c r="H89" s="303" t="s">
        <v>777</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763</v>
      </c>
      <c r="L90" s="301"/>
      <c r="M90" s="300">
        <f t="shared" si="6"/>
        <v>307.2</v>
      </c>
      <c r="N90" s="151">
        <v>256</v>
      </c>
      <c r="O90" s="295"/>
      <c r="P90" s="114" t="s">
        <v>770</v>
      </c>
      <c r="R90" s="114">
        <f t="shared" si="8"/>
        <v>0</v>
      </c>
      <c r="S90" s="114">
        <f t="shared" si="9"/>
        <v>0</v>
      </c>
    </row>
    <row r="91" spans="2:19" s="32" customFormat="1" x14ac:dyDescent="0.4">
      <c r="B91" s="95" t="s">
        <v>419</v>
      </c>
      <c r="C91" s="136">
        <f t="shared" si="4"/>
        <v>960</v>
      </c>
      <c r="D91" s="44"/>
      <c r="E91" s="43"/>
      <c r="F91" s="44"/>
      <c r="H91" s="303"/>
      <c r="I91" s="135" t="str">
        <f t="shared" si="5"/>
        <v>Mech thermostat control relay, control relay, enclosure, terminals etc.</v>
      </c>
      <c r="J91" s="114" t="s">
        <v>763</v>
      </c>
      <c r="K91" s="297"/>
      <c r="L91" s="301"/>
      <c r="M91" s="300">
        <f t="shared" si="6"/>
        <v>960</v>
      </c>
      <c r="N91" s="151">
        <v>800</v>
      </c>
      <c r="O91" s="295"/>
      <c r="P91" s="114" t="s">
        <v>770</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777</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777</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765</v>
      </c>
      <c r="K95" s="297" t="s">
        <v>760</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777</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774</v>
      </c>
      <c r="R97" s="114">
        <f t="shared" si="8"/>
        <v>0</v>
      </c>
      <c r="S97" s="114">
        <f t="shared" si="9"/>
        <v>0</v>
      </c>
    </row>
    <row r="98" spans="2:19" s="32" customFormat="1" x14ac:dyDescent="0.4">
      <c r="B98" s="49" t="s">
        <v>430</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774</v>
      </c>
      <c r="R98" s="114">
        <f t="shared" si="8"/>
        <v>0</v>
      </c>
      <c r="S98" s="114">
        <f t="shared" si="9"/>
        <v>0</v>
      </c>
    </row>
    <row r="99" spans="2:19" s="32" customFormat="1" x14ac:dyDescent="0.4">
      <c r="B99" s="49" t="s">
        <v>435</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774</v>
      </c>
      <c r="R99" s="114">
        <f t="shared" si="8"/>
        <v>0</v>
      </c>
      <c r="S99" s="114">
        <f t="shared" si="9"/>
        <v>0</v>
      </c>
    </row>
    <row r="100" spans="2:19" s="32" customFormat="1" x14ac:dyDescent="0.4">
      <c r="B100" s="49" t="s">
        <v>431</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774</v>
      </c>
      <c r="R100" s="114">
        <f t="shared" si="8"/>
        <v>0</v>
      </c>
      <c r="S100" s="114">
        <f t="shared" si="9"/>
        <v>0</v>
      </c>
    </row>
    <row r="101" spans="2:19" s="32" customFormat="1" x14ac:dyDescent="0.4">
      <c r="B101" s="49" t="s">
        <v>432</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774</v>
      </c>
      <c r="R101" s="114">
        <f t="shared" si="8"/>
        <v>0</v>
      </c>
      <c r="S101" s="114">
        <f t="shared" si="9"/>
        <v>0</v>
      </c>
    </row>
    <row r="102" spans="2:19" s="32" customFormat="1" x14ac:dyDescent="0.4">
      <c r="B102" s="49" t="s">
        <v>436</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774</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754</v>
      </c>
      <c r="K103" s="298" t="s">
        <v>753</v>
      </c>
      <c r="L103" s="302">
        <f>2*8</f>
        <v>16</v>
      </c>
      <c r="M103" s="300">
        <f t="shared" si="6"/>
        <v>19.2</v>
      </c>
      <c r="N103" s="151">
        <v>30</v>
      </c>
      <c r="O103" s="295">
        <f t="shared" si="7"/>
        <v>0.875</v>
      </c>
      <c r="R103" s="114">
        <f t="shared" si="8"/>
        <v>0</v>
      </c>
      <c r="S103" s="114">
        <f t="shared" si="9"/>
        <v>0</v>
      </c>
    </row>
    <row r="104" spans="2:19" s="32" customFormat="1" x14ac:dyDescent="0.4">
      <c r="B104" s="43" t="s">
        <v>319</v>
      </c>
      <c r="C104" s="136">
        <f t="shared" si="4"/>
        <v>120</v>
      </c>
      <c r="D104" s="44"/>
      <c r="E104" s="43"/>
      <c r="F104" s="44"/>
      <c r="H104" s="303" t="s">
        <v>777</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320</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321</v>
      </c>
      <c r="C106" s="136">
        <f t="shared" si="4"/>
        <v>60</v>
      </c>
      <c r="D106" s="44"/>
      <c r="E106" s="43"/>
      <c r="F106" s="44"/>
      <c r="H106" s="303" t="s">
        <v>777</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332</v>
      </c>
      <c r="C107" s="136">
        <f t="shared" si="4"/>
        <v>127.19999999999999</v>
      </c>
      <c r="D107" s="44"/>
      <c r="E107" s="43"/>
      <c r="F107" s="44"/>
      <c r="H107" s="303"/>
      <c r="I107" s="135" t="str">
        <f t="shared" si="5"/>
        <v>Strobe-alarm</v>
      </c>
      <c r="J107" s="297" t="s">
        <v>776</v>
      </c>
      <c r="K107" s="297" t="s">
        <v>775</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322</v>
      </c>
      <c r="C108" s="136">
        <f t="shared" si="4"/>
        <v>48</v>
      </c>
      <c r="D108" s="44"/>
      <c r="E108" s="43"/>
      <c r="F108" s="44"/>
      <c r="H108" s="303" t="s">
        <v>777</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326</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697</v>
      </c>
      <c r="C110" s="136">
        <f t="shared" si="4"/>
        <v>29.04</v>
      </c>
      <c r="D110" s="136"/>
      <c r="E110" s="135"/>
      <c r="F110" s="136"/>
      <c r="H110" s="303"/>
      <c r="I110" s="135" t="str">
        <f t="shared" si="5"/>
        <v>General Relay</v>
      </c>
      <c r="J110" s="297" t="s">
        <v>768</v>
      </c>
      <c r="K110" s="297" t="s">
        <v>767</v>
      </c>
      <c r="L110" s="300">
        <v>24.2</v>
      </c>
      <c r="M110" s="300">
        <f t="shared" si="6"/>
        <v>29.04</v>
      </c>
      <c r="N110" s="151">
        <v>30</v>
      </c>
      <c r="O110" s="295">
        <f t="shared" si="7"/>
        <v>0.23966942148760334</v>
      </c>
      <c r="R110" s="114">
        <f t="shared" si="8"/>
        <v>0</v>
      </c>
      <c r="S110" s="114">
        <f t="shared" si="9"/>
        <v>0</v>
      </c>
    </row>
    <row r="111" spans="2:19" s="32" customFormat="1" x14ac:dyDescent="0.4">
      <c r="B111" s="43" t="s">
        <v>333</v>
      </c>
      <c r="C111" s="136">
        <f t="shared" si="4"/>
        <v>60</v>
      </c>
      <c r="D111" s="44"/>
      <c r="E111" s="43"/>
      <c r="F111" s="44"/>
      <c r="H111" s="303" t="s">
        <v>777</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669</v>
      </c>
      <c r="C112" s="136">
        <f t="shared" ref="C112:C123" si="11">M112</f>
        <v>60</v>
      </c>
      <c r="D112" s="136"/>
      <c r="E112" s="135"/>
      <c r="F112" s="136"/>
      <c r="H112" s="303" t="s">
        <v>777</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334</v>
      </c>
      <c r="C113" s="136">
        <f t="shared" si="11"/>
        <v>56.4</v>
      </c>
      <c r="D113" s="44"/>
      <c r="E113" s="43"/>
      <c r="F113" s="44"/>
      <c r="G113" s="32">
        <f>400*1.35</f>
        <v>540</v>
      </c>
      <c r="H113" s="303"/>
      <c r="I113" s="135" t="str">
        <f t="shared" ref="I113:I124" si="12">B113</f>
        <v>Controls transformer</v>
      </c>
      <c r="J113" s="297" t="s">
        <v>751</v>
      </c>
      <c r="K113" s="297" t="s">
        <v>752</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461</v>
      </c>
      <c r="C114" s="136">
        <f t="shared" si="11"/>
        <v>420</v>
      </c>
      <c r="D114" s="136"/>
      <c r="E114" s="135"/>
      <c r="F114" s="136"/>
      <c r="G114" s="114">
        <f>G113/4</f>
        <v>135</v>
      </c>
      <c r="H114" s="303" t="s">
        <v>777</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459</v>
      </c>
      <c r="C115" s="136">
        <f t="shared" si="11"/>
        <v>11.46</v>
      </c>
      <c r="D115" s="136"/>
      <c r="E115" s="135"/>
      <c r="F115" s="136"/>
      <c r="H115" s="303"/>
      <c r="I115" s="135" t="str">
        <f t="shared" si="12"/>
        <v>push button switch</v>
      </c>
      <c r="J115" s="297" t="s">
        <v>764</v>
      </c>
      <c r="K115" s="297" t="s">
        <v>766</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460</v>
      </c>
      <c r="C116" s="136">
        <f t="shared" si="11"/>
        <v>36</v>
      </c>
      <c r="D116" s="136"/>
      <c r="E116" s="135"/>
      <c r="F116" s="136"/>
      <c r="H116" s="303" t="s">
        <v>777</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475</v>
      </c>
      <c r="C117" s="136">
        <f t="shared" si="11"/>
        <v>60</v>
      </c>
      <c r="D117" s="136"/>
      <c r="E117" s="135"/>
      <c r="F117" s="136"/>
      <c r="H117" s="303" t="s">
        <v>777</v>
      </c>
      <c r="I117" s="135" t="str">
        <f t="shared" si="12"/>
        <v>SSR ( 1 phase)</v>
      </c>
      <c r="J117" s="297"/>
      <c r="K117" s="297"/>
      <c r="L117" s="300"/>
      <c r="M117" s="300">
        <f t="shared" si="13"/>
        <v>60</v>
      </c>
      <c r="N117" s="136">
        <v>50</v>
      </c>
      <c r="O117" s="295"/>
      <c r="P117" s="114" t="s">
        <v>748</v>
      </c>
      <c r="R117" s="114" t="str">
        <f t="shared" si="8"/>
        <v>SSR ( 1 phase)</v>
      </c>
      <c r="S117" s="114">
        <f t="shared" si="9"/>
        <v>50</v>
      </c>
    </row>
    <row r="118" spans="2:19" s="114" customFormat="1" x14ac:dyDescent="0.4">
      <c r="B118" s="135" t="s">
        <v>476</v>
      </c>
      <c r="C118" s="136">
        <f t="shared" si="11"/>
        <v>324</v>
      </c>
      <c r="D118" s="136"/>
      <c r="E118" s="135"/>
      <c r="F118" s="136"/>
      <c r="H118" s="303" t="s">
        <v>777</v>
      </c>
      <c r="I118" s="135" t="str">
        <f t="shared" si="12"/>
        <v>SSR (3 phase)</v>
      </c>
      <c r="J118" s="297"/>
      <c r="K118" s="297"/>
      <c r="L118" s="300"/>
      <c r="M118" s="300">
        <f t="shared" si="13"/>
        <v>324</v>
      </c>
      <c r="N118" s="136">
        <v>270</v>
      </c>
      <c r="O118" s="295"/>
      <c r="P118" s="114" t="s">
        <v>748</v>
      </c>
      <c r="R118" s="114" t="str">
        <f t="shared" si="8"/>
        <v>SSR (3 phase)</v>
      </c>
      <c r="S118" s="114">
        <f t="shared" si="9"/>
        <v>270</v>
      </c>
    </row>
    <row r="119" spans="2:19" s="114" customFormat="1" x14ac:dyDescent="0.4">
      <c r="B119" s="135" t="s">
        <v>588</v>
      </c>
      <c r="C119" s="136">
        <f t="shared" si="11"/>
        <v>96</v>
      </c>
      <c r="D119" s="136"/>
      <c r="E119" s="135"/>
      <c r="F119" s="136"/>
      <c r="H119" s="303" t="s">
        <v>777</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700</v>
      </c>
      <c r="C120" s="136">
        <f t="shared" si="11"/>
        <v>60</v>
      </c>
      <c r="D120" s="136"/>
      <c r="E120" s="135"/>
      <c r="F120" s="136"/>
      <c r="H120" s="303" t="s">
        <v>777</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704</v>
      </c>
      <c r="C121" s="136">
        <f t="shared" si="11"/>
        <v>240</v>
      </c>
      <c r="D121" s="136"/>
      <c r="E121" s="135"/>
      <c r="F121" s="136"/>
      <c r="H121" s="303" t="s">
        <v>777</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477</v>
      </c>
      <c r="C122" s="136">
        <f t="shared" si="11"/>
        <v>180</v>
      </c>
      <c r="D122" s="136"/>
      <c r="E122" s="135"/>
      <c r="F122" s="136"/>
      <c r="H122" s="303" t="s">
        <v>777</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325</v>
      </c>
      <c r="C123" s="136">
        <f t="shared" si="11"/>
        <v>240</v>
      </c>
      <c r="D123" s="44"/>
      <c r="E123" s="43"/>
      <c r="F123" s="44"/>
      <c r="H123" s="303" t="s">
        <v>777</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1344</v>
      </c>
      <c r="C124" s="136">
        <f>M124</f>
        <v>109.25999999999999</v>
      </c>
      <c r="D124" s="44"/>
      <c r="E124" s="43"/>
      <c r="F124" s="44"/>
      <c r="G124" s="32"/>
      <c r="H124" s="303" t="s">
        <v>777</v>
      </c>
      <c r="I124" s="135" t="str">
        <f t="shared" si="12"/>
        <v>Contactors &amp; Overloads</v>
      </c>
      <c r="J124" s="297" t="s">
        <v>778</v>
      </c>
      <c r="L124" s="300">
        <f>37.8 +
53.25</f>
        <v>91.05</v>
      </c>
      <c r="M124" s="300">
        <f t="shared" si="13"/>
        <v>109.25999999999999</v>
      </c>
      <c r="N124" s="136">
        <v>120</v>
      </c>
      <c r="O124" s="295">
        <f t="shared" si="14"/>
        <v>0.31795716639209232</v>
      </c>
      <c r="R124" s="114" t="str">
        <f>IF($H124="#",I124,0)</f>
        <v>Contactors &amp; Overloads</v>
      </c>
      <c r="S124" s="114">
        <f>IF($H124="#",N124,0)</f>
        <v>120</v>
      </c>
    </row>
    <row r="125" spans="2:19" x14ac:dyDescent="0.4">
      <c r="B125" s="39"/>
      <c r="C125" s="40" t="s">
        <v>281</v>
      </c>
      <c r="D125" s="40"/>
      <c r="E125" s="39"/>
      <c r="F125" s="41"/>
      <c r="G125" s="32"/>
      <c r="I125" s="32"/>
    </row>
    <row r="128" spans="2:19" x14ac:dyDescent="0.4">
      <c r="B128" s="33"/>
      <c r="C128" s="33"/>
      <c r="D128" s="33"/>
      <c r="E128" s="33"/>
      <c r="F128" s="33"/>
      <c r="G128" s="33"/>
      <c r="I128" s="33"/>
    </row>
    <row r="129" spans="2:9" ht="15.9" x14ac:dyDescent="0.45">
      <c r="B129" s="45"/>
      <c r="C129" s="46" t="s">
        <v>282</v>
      </c>
      <c r="D129" s="46"/>
      <c r="E129" s="46"/>
      <c r="F129" s="47">
        <v>221848.4</v>
      </c>
      <c r="G129" s="32"/>
      <c r="I129" s="32"/>
    </row>
    <row r="130" spans="2:9" x14ac:dyDescent="0.4">
      <c r="B130" s="32"/>
      <c r="C130" s="32" t="s">
        <v>283</v>
      </c>
      <c r="D130" s="32"/>
      <c r="E130" s="32"/>
      <c r="F130" s="51">
        <v>0.25</v>
      </c>
      <c r="G130" s="32"/>
      <c r="I130" s="32"/>
    </row>
    <row r="131" spans="2:9" x14ac:dyDescent="0.4">
      <c r="B131" s="32"/>
      <c r="C131" s="32" t="s">
        <v>284</v>
      </c>
      <c r="D131" s="32"/>
      <c r="E131" s="32"/>
      <c r="F131" s="36">
        <v>277310.5</v>
      </c>
      <c r="G131" s="32"/>
      <c r="I131" s="32"/>
    </row>
  </sheetData>
  <autoFilter ref="R1:S131" xr:uid="{00000000-0009-0000-0000-000001000000}"/>
  <conditionalFormatting sqref="O48:O124">
    <cfRule type="cellIs" dxfId="858"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48B3C-1FD0-4BCD-BD61-8A3D9A65F98A}">
  <dimension ref="A1:AC33"/>
  <sheetViews>
    <sheetView workbookViewId="0">
      <selection activeCell="AG14" sqref="AG14"/>
    </sheetView>
  </sheetViews>
  <sheetFormatPr defaultRowHeight="14.6" outlineLevelCol="1" x14ac:dyDescent="0.4"/>
  <cols>
    <col min="1" max="1" width="10.921875" style="549" bestFit="1" customWidth="1"/>
    <col min="2" max="2" width="26.921875" style="318" bestFit="1" customWidth="1"/>
    <col min="3" max="3" width="12.69140625" style="543" bestFit="1" customWidth="1"/>
    <col min="4" max="4" width="12.69140625" style="318" bestFit="1" customWidth="1"/>
    <col min="5" max="11" width="13.07421875" style="542" hidden="1" customWidth="1" outlineLevel="1"/>
    <col min="12" max="12" width="12.69140625" style="318" bestFit="1" customWidth="1" collapsed="1"/>
    <col min="13" max="13" width="12.69140625" style="534" bestFit="1" customWidth="1"/>
    <col min="14" max="14" width="12.69140625" style="318" bestFit="1" customWidth="1"/>
    <col min="15" max="16" width="12.69140625" style="534" bestFit="1" customWidth="1"/>
    <col min="17" max="19" width="1.921875" style="542" hidden="1" customWidth="1" outlineLevel="1"/>
    <col min="20" max="20" width="9.23046875" style="542" hidden="1" customWidth="1" outlineLevel="1"/>
    <col min="21" max="21" width="1.921875" style="542" hidden="1" customWidth="1" outlineLevel="1"/>
    <col min="22" max="22" width="9.23046875" style="543" hidden="1" customWidth="1" outlineLevel="1"/>
    <col min="23" max="28" width="9.23046875" style="318" hidden="1" customWidth="1" outlineLevel="1"/>
    <col min="29" max="29" width="9.23046875" style="318" collapsed="1"/>
    <col min="30" max="16384" width="9.23046875" style="318"/>
  </cols>
  <sheetData>
    <row r="1" spans="1:27" x14ac:dyDescent="0.4">
      <c r="A1" s="548" t="s">
        <v>1427</v>
      </c>
      <c r="C1" s="318"/>
      <c r="N1" s="318" t="s">
        <v>1421</v>
      </c>
      <c r="Q1" s="541"/>
      <c r="R1" s="541"/>
      <c r="S1" s="541"/>
    </row>
    <row r="2" spans="1:27" x14ac:dyDescent="0.4">
      <c r="A2" s="549" t="s">
        <v>1427</v>
      </c>
      <c r="C2" s="318"/>
      <c r="N2" s="533" t="s">
        <v>716</v>
      </c>
      <c r="O2" s="535" t="s">
        <v>717</v>
      </c>
      <c r="P2" s="536" t="s">
        <v>353</v>
      </c>
      <c r="Q2" s="541"/>
      <c r="R2" s="541"/>
      <c r="S2" s="541"/>
    </row>
    <row r="3" spans="1:27" x14ac:dyDescent="0.4">
      <c r="A3" s="549" t="s">
        <v>1427</v>
      </c>
      <c r="C3" s="318"/>
      <c r="N3" s="545">
        <f>SUM(Q:Q)</f>
        <v>0</v>
      </c>
      <c r="O3" s="534">
        <f>SUM(R:R)</f>
        <v>0</v>
      </c>
      <c r="P3" s="534">
        <f>SUM(S:S)</f>
        <v>0</v>
      </c>
      <c r="Q3" s="541"/>
      <c r="R3" s="589" t="s">
        <v>1426</v>
      </c>
      <c r="S3" s="590"/>
      <c r="T3" s="591"/>
    </row>
    <row r="4" spans="1:27" x14ac:dyDescent="0.4">
      <c r="A4" s="549" t="str">
        <f>$C5</f>
        <v>[Unit ID]</v>
      </c>
      <c r="B4" s="547" t="str">
        <f>A4</f>
        <v>[Unit ID]</v>
      </c>
      <c r="C4" s="547" t="str">
        <f t="shared" ref="C4:P4" si="0">B4</f>
        <v>[Unit ID]</v>
      </c>
      <c r="D4" s="547" t="str">
        <f t="shared" si="0"/>
        <v>[Unit ID]</v>
      </c>
      <c r="E4" s="547" t="str">
        <f t="shared" si="0"/>
        <v>[Unit ID]</v>
      </c>
      <c r="F4" s="547" t="str">
        <f t="shared" si="0"/>
        <v>[Unit ID]</v>
      </c>
      <c r="G4" s="547" t="str">
        <f t="shared" si="0"/>
        <v>[Unit ID]</v>
      </c>
      <c r="H4" s="547" t="str">
        <f t="shared" si="0"/>
        <v>[Unit ID]</v>
      </c>
      <c r="I4" s="547" t="str">
        <f t="shared" si="0"/>
        <v>[Unit ID]</v>
      </c>
      <c r="J4" s="547" t="str">
        <f t="shared" si="0"/>
        <v>[Unit ID]</v>
      </c>
      <c r="K4" s="547" t="str">
        <f t="shared" si="0"/>
        <v>[Unit ID]</v>
      </c>
      <c r="L4" s="547" t="str">
        <f t="shared" si="0"/>
        <v>[Unit ID]</v>
      </c>
      <c r="M4" s="547" t="str">
        <f t="shared" si="0"/>
        <v>[Unit ID]</v>
      </c>
      <c r="N4" s="547" t="str">
        <f t="shared" si="0"/>
        <v>[Unit ID]</v>
      </c>
      <c r="O4" s="547" t="str">
        <f t="shared" si="0"/>
        <v>[Unit ID]</v>
      </c>
      <c r="P4" s="547" t="str">
        <f t="shared" si="0"/>
        <v>[Unit ID]</v>
      </c>
      <c r="Q4" s="541"/>
      <c r="R4" s="589"/>
      <c r="S4" s="590"/>
      <c r="T4" s="591"/>
      <c r="V4" s="543" t="s">
        <v>1452</v>
      </c>
    </row>
    <row r="5" spans="1:27" x14ac:dyDescent="0.4">
      <c r="A5" s="549" t="str">
        <f>$C5</f>
        <v>[Unit ID]</v>
      </c>
      <c r="B5" s="539" t="s">
        <v>1394</v>
      </c>
      <c r="C5" s="543" t="s">
        <v>1440</v>
      </c>
      <c r="D5" s="544" t="s">
        <v>1441</v>
      </c>
      <c r="L5" s="318" t="str">
        <f>_xlfn.CONCAT(V5:V33,"
")</f>
        <v xml:space="preserve">[Unit ID] - Electrical power supply and controls to 1 [Unit Name] from Local power supply
</v>
      </c>
      <c r="Q5" s="541"/>
      <c r="R5" s="541"/>
      <c r="S5" s="541"/>
      <c r="AA5" s="318" t="str">
        <f>IF(D5="Header",IF(C8&gt;0,L5,""),"")</f>
        <v xml:space="preserve">[Unit ID] - Electrical power supply and controls to 1 [Unit Name] from Local power supply
</v>
      </c>
    </row>
    <row r="6" spans="1:27" s="537" customFormat="1" x14ac:dyDescent="0.4">
      <c r="A6" s="549" t="str">
        <f>$C5</f>
        <v>[Unit ID]</v>
      </c>
      <c r="B6" s="539" t="s">
        <v>1399</v>
      </c>
      <c r="C6" s="543" t="s">
        <v>1428</v>
      </c>
      <c r="D6" s="544" t="s">
        <v>1453</v>
      </c>
      <c r="E6" s="541"/>
      <c r="F6" s="583" t="s">
        <v>1420</v>
      </c>
      <c r="G6" s="584"/>
      <c r="H6" s="584"/>
      <c r="I6" s="584"/>
      <c r="J6" s="585"/>
      <c r="K6" s="541"/>
      <c r="L6" s="537" t="str">
        <f>_xlfn.CONCAT(W6:W23)</f>
        <v>Power for system includes: 00000000000</v>
      </c>
      <c r="M6" s="538"/>
      <c r="O6" s="538"/>
      <c r="P6" s="538"/>
      <c r="Q6" s="541"/>
      <c r="R6" s="541"/>
      <c r="S6" s="541"/>
      <c r="T6" s="542"/>
      <c r="U6" s="541"/>
      <c r="V6" s="543" t="str">
        <f>_xlfn.CONCAT(C5," - Electrical power supply and controls to ",C8," ",C6 )</f>
        <v>[Unit ID] - Electrical power supply and controls to 1 [Unit Name]</v>
      </c>
      <c r="W6" s="537" t="s">
        <v>1454</v>
      </c>
      <c r="X6" s="537" t="s">
        <v>328</v>
      </c>
      <c r="AA6" s="318" t="str">
        <f t="shared" ref="AA6:AA8" si="1">IF(D6="Header",IF(C9&gt;0,L6,""),"")</f>
        <v/>
      </c>
    </row>
    <row r="7" spans="1:27" s="537" customFormat="1" x14ac:dyDescent="0.4">
      <c r="A7" s="549" t="str">
        <f>$C5</f>
        <v>[Unit ID]</v>
      </c>
      <c r="B7" s="539" t="s">
        <v>742</v>
      </c>
      <c r="C7" s="543"/>
      <c r="D7" s="544" t="s">
        <v>1251</v>
      </c>
      <c r="E7" s="541"/>
      <c r="F7" s="586"/>
      <c r="G7" s="587"/>
      <c r="H7" s="587"/>
      <c r="I7" s="587"/>
      <c r="J7" s="588"/>
      <c r="K7" s="541"/>
      <c r="L7" s="537" t="str">
        <f>_xlfn.CONCAT(X6:X33)</f>
        <v xml:space="preserve">Controls for system includes: </v>
      </c>
      <c r="M7" s="540"/>
      <c r="N7" s="533" t="s">
        <v>716</v>
      </c>
      <c r="O7" s="535" t="s">
        <v>717</v>
      </c>
      <c r="P7" s="536" t="s">
        <v>353</v>
      </c>
      <c r="Q7" s="541">
        <f t="shared" ref="Q7:Q32" si="2">IF(N5=N$2,N7,0)</f>
        <v>0</v>
      </c>
      <c r="R7" s="541">
        <f t="shared" ref="R7:R32" si="3">IF(O5=O$2,O7,0)</f>
        <v>0</v>
      </c>
      <c r="S7" s="541">
        <f t="shared" ref="S7:S32" si="4">IF(P5=P$2,P7,0)</f>
        <v>0</v>
      </c>
      <c r="T7" s="542"/>
      <c r="U7" s="541"/>
      <c r="V7" s="543"/>
      <c r="AA7" s="318" t="str">
        <f t="shared" si="1"/>
        <v/>
      </c>
    </row>
    <row r="8" spans="1:27" s="537" customFormat="1" x14ac:dyDescent="0.4">
      <c r="A8" s="549" t="str">
        <f>$C5</f>
        <v>[Unit ID]</v>
      </c>
      <c r="B8" s="539" t="s">
        <v>843</v>
      </c>
      <c r="C8" s="420">
        <v>1</v>
      </c>
      <c r="D8" s="539"/>
      <c r="E8" s="541"/>
      <c r="F8" s="541"/>
      <c r="G8" s="541"/>
      <c r="H8" s="541"/>
      <c r="I8" s="541"/>
      <c r="J8" s="541"/>
      <c r="K8" s="541"/>
      <c r="M8" s="538" t="s">
        <v>1394</v>
      </c>
      <c r="N8" s="114">
        <f>SUM(N11:N33)</f>
        <v>0</v>
      </c>
      <c r="O8" s="114">
        <f t="shared" ref="O8:P8" si="5">SUM(O11:O33)</f>
        <v>0</v>
      </c>
      <c r="P8" s="114">
        <f t="shared" si="5"/>
        <v>0</v>
      </c>
      <c r="Q8" s="541">
        <f t="shared" si="2"/>
        <v>0</v>
      </c>
      <c r="R8" s="541">
        <f t="shared" si="3"/>
        <v>0</v>
      </c>
      <c r="S8" s="541">
        <f t="shared" si="4"/>
        <v>0</v>
      </c>
      <c r="T8" s="542"/>
      <c r="U8" s="541"/>
      <c r="V8" s="543"/>
      <c r="AA8" s="318" t="str">
        <f t="shared" si="1"/>
        <v/>
      </c>
    </row>
    <row r="9" spans="1:27" s="537" customFormat="1" x14ac:dyDescent="0.4">
      <c r="A9" s="549" t="str">
        <f>$C5</f>
        <v>[Unit ID]</v>
      </c>
      <c r="B9" s="539" t="s">
        <v>929</v>
      </c>
      <c r="C9" s="543"/>
      <c r="D9" s="539"/>
      <c r="E9" s="305" t="s">
        <v>1403</v>
      </c>
      <c r="F9" s="305" t="s">
        <v>1404</v>
      </c>
      <c r="G9" s="305" t="s">
        <v>1405</v>
      </c>
      <c r="H9" s="305" t="s">
        <v>1406</v>
      </c>
      <c r="I9" s="305" t="s">
        <v>1407</v>
      </c>
      <c r="J9" s="305" t="s">
        <v>1408</v>
      </c>
      <c r="K9" s="305" t="s">
        <v>1409</v>
      </c>
      <c r="M9" s="538" t="s">
        <v>893</v>
      </c>
      <c r="N9" s="114">
        <f>N8*$C8</f>
        <v>0</v>
      </c>
      <c r="O9" s="423">
        <f>O8*$C8</f>
        <v>0</v>
      </c>
      <c r="P9" s="423">
        <f>P8*$C8</f>
        <v>0</v>
      </c>
      <c r="Q9" s="541">
        <f t="shared" si="2"/>
        <v>0</v>
      </c>
      <c r="R9" s="541">
        <f t="shared" si="3"/>
        <v>0</v>
      </c>
      <c r="S9" s="541">
        <f t="shared" si="4"/>
        <v>0</v>
      </c>
      <c r="T9" s="542"/>
      <c r="U9" s="541"/>
      <c r="V9" s="543"/>
    </row>
    <row r="10" spans="1:27" s="539" customFormat="1" x14ac:dyDescent="0.4">
      <c r="A10" s="549" t="str">
        <f>$C5</f>
        <v>[Unit ID]</v>
      </c>
      <c r="B10" s="539" t="s">
        <v>994</v>
      </c>
      <c r="C10" s="544" t="s">
        <v>1400</v>
      </c>
      <c r="D10" s="539" t="s">
        <v>843</v>
      </c>
      <c r="E10" s="305">
        <f>SUM(E11:E23)</f>
        <v>0</v>
      </c>
      <c r="F10" s="305">
        <f t="shared" ref="F10:K10" si="6">SUM(F11:F23)</f>
        <v>0</v>
      </c>
      <c r="G10" s="305">
        <f t="shared" si="6"/>
        <v>0</v>
      </c>
      <c r="H10" s="305">
        <f t="shared" si="6"/>
        <v>0</v>
      </c>
      <c r="I10" s="305">
        <f t="shared" si="6"/>
        <v>0</v>
      </c>
      <c r="J10" s="305">
        <f t="shared" si="6"/>
        <v>0</v>
      </c>
      <c r="K10" s="305">
        <f t="shared" si="6"/>
        <v>0</v>
      </c>
      <c r="L10" s="539" t="s">
        <v>1395</v>
      </c>
      <c r="M10" s="540" t="s">
        <v>1396</v>
      </c>
      <c r="N10" s="539" t="s">
        <v>996</v>
      </c>
      <c r="O10" s="540" t="s">
        <v>995</v>
      </c>
      <c r="P10" s="540" t="s">
        <v>1397</v>
      </c>
      <c r="Q10" s="541">
        <f t="shared" si="2"/>
        <v>0</v>
      </c>
      <c r="R10" s="541">
        <f t="shared" si="3"/>
        <v>0</v>
      </c>
      <c r="S10" s="541">
        <f t="shared" si="4"/>
        <v>0</v>
      </c>
      <c r="T10" s="542"/>
      <c r="U10" s="541"/>
      <c r="V10" s="544"/>
    </row>
    <row r="11" spans="1:27" x14ac:dyDescent="0.4">
      <c r="A11" s="549" t="str">
        <f>$C5</f>
        <v>[Unit ID]</v>
      </c>
      <c r="B11" s="318" t="s">
        <v>676</v>
      </c>
      <c r="C11" s="543" t="s">
        <v>1401</v>
      </c>
      <c r="E11" s="542">
        <f>IF($C11="MSSB",20,5)*$D11*(IF(ISBLANK(C11),0,1))</f>
        <v>0</v>
      </c>
      <c r="L11" s="318">
        <f>IFERROR(VLOOKUP(C11,Fan_Pricing!B:E,3,FALSE),0)</f>
        <v>1</v>
      </c>
      <c r="M11" s="534">
        <f>IFERROR(VLOOKUP(C11,Fan_Pricing!B:E,4,FALSE),0)</f>
        <v>88.25</v>
      </c>
      <c r="N11" s="318">
        <f>D11*L11</f>
        <v>0</v>
      </c>
      <c r="O11" s="534">
        <f>M11*D11</f>
        <v>0</v>
      </c>
      <c r="P11" s="534">
        <f>N11*Takeoff_Backend!$B$1+O11</f>
        <v>0</v>
      </c>
      <c r="Q11" s="541">
        <f t="shared" si="2"/>
        <v>0</v>
      </c>
      <c r="R11" s="541">
        <f t="shared" si="3"/>
        <v>0</v>
      </c>
      <c r="S11" s="541">
        <f t="shared" si="4"/>
        <v>0</v>
      </c>
      <c r="U11" s="542">
        <f>D11*C8</f>
        <v>0</v>
      </c>
      <c r="V11" s="543" t="str">
        <f>_xlfn.CONCAT(Z11,IF(SUM(D12:D22)&gt;0," with:",""))</f>
        <v xml:space="preserve"> from Local power supply</v>
      </c>
      <c r="Z11" s="543" t="str">
        <f>IFERROR(_xlfn.CONCAT(" from ",VLOOKUP(C11,Fan_Pricing!B:H,7,FALSE)," power supply"),"")</f>
        <v xml:space="preserve"> from Local power supply</v>
      </c>
    </row>
    <row r="12" spans="1:27" x14ac:dyDescent="0.4">
      <c r="A12" s="549" t="str">
        <f>$C5</f>
        <v>[Unit ID]</v>
      </c>
      <c r="B12" s="318" t="s">
        <v>982</v>
      </c>
      <c r="E12" s="542">
        <f>IF($C12,5,0)*$D12</f>
        <v>0</v>
      </c>
      <c r="L12" s="318">
        <f>IF(C12,VLOOKUP(B12,Fan_Pricing!B:E,IF(L$10="t [U]",3,4),FALSE),0)</f>
        <v>0</v>
      </c>
      <c r="M12" s="318">
        <f>IF(C12,VLOOKUP(B12,Fan_Pricing!B:E,IF(M$10="t [U]",3,4),FALSE),0)</f>
        <v>0</v>
      </c>
      <c r="N12" s="318">
        <f t="shared" ref="N12:N23" si="7">D12*L12</f>
        <v>0</v>
      </c>
      <c r="O12" s="534">
        <f t="shared" ref="O12:O23" si="8">M12*D12</f>
        <v>0</v>
      </c>
      <c r="P12" s="534">
        <f>N12*Takeoff_Backend!$B$1+O12</f>
        <v>0</v>
      </c>
      <c r="Q12" s="541">
        <f t="shared" si="2"/>
        <v>0</v>
      </c>
      <c r="R12" s="541">
        <f t="shared" si="3"/>
        <v>0</v>
      </c>
      <c r="S12" s="541">
        <f t="shared" si="4"/>
        <v>0</v>
      </c>
      <c r="U12" s="542">
        <f>D12*C8</f>
        <v>0</v>
      </c>
      <c r="V12" s="543" t="str">
        <f>IF(C12,Z12,"")</f>
        <v/>
      </c>
      <c r="W12" s="318">
        <f t="shared" ref="W12:W23" si="9">AA12</f>
        <v>0</v>
      </c>
      <c r="X12" s="318" t="str">
        <f>IF(C12,AB12,"")</f>
        <v/>
      </c>
      <c r="Z12" s="318" t="str">
        <f>VLOOKUP(B12, Fan_Pricing!B:H,7,FALSE)</f>
        <v>, BMS Provisions</v>
      </c>
    </row>
    <row r="13" spans="1:27" x14ac:dyDescent="0.4">
      <c r="A13" s="549" t="str">
        <f>$C5</f>
        <v>[Unit ID]</v>
      </c>
      <c r="B13" s="318" t="s">
        <v>983</v>
      </c>
      <c r="E13" s="542">
        <f>IF($C13,5,0)*$D13</f>
        <v>0</v>
      </c>
      <c r="L13" s="318">
        <f>IF(C13,VLOOKUP(B13,Fan_Pricing!B:E,IF(L$10="t [U]",3,4),FALSE),0)</f>
        <v>0</v>
      </c>
      <c r="M13" s="318">
        <f>IF(C13,VLOOKUP(B13,Fan_Pricing!B:E,IF(M$10="t [U]",3,4),FALSE),0)</f>
        <v>0</v>
      </c>
      <c r="N13" s="318">
        <f t="shared" si="7"/>
        <v>0</v>
      </c>
      <c r="O13" s="534">
        <f t="shared" si="8"/>
        <v>0</v>
      </c>
      <c r="P13" s="534">
        <f>N13*Takeoff_Backend!$B$1+O13</f>
        <v>0</v>
      </c>
      <c r="Q13" s="541">
        <f t="shared" si="2"/>
        <v>0</v>
      </c>
      <c r="R13" s="541">
        <f t="shared" si="3"/>
        <v>0</v>
      </c>
      <c r="S13" s="541">
        <f t="shared" si="4"/>
        <v>0</v>
      </c>
      <c r="U13" s="542">
        <f>D13*C8</f>
        <v>0</v>
      </c>
      <c r="V13" s="543" t="str">
        <f t="shared" ref="V13:V23" si="10">IF(C13,Z13,"")</f>
        <v/>
      </c>
      <c r="W13" s="318">
        <f t="shared" si="9"/>
        <v>0</v>
      </c>
      <c r="X13" s="318" t="str">
        <f t="shared" ref="X13:X23" si="11">IF(C13,AB13,"")</f>
        <v/>
      </c>
      <c r="Z13" s="318" t="str">
        <f>VLOOKUP(B13, Fan_Pricing!B:H,7,FALSE)</f>
        <v>, Fire Shutdown</v>
      </c>
    </row>
    <row r="14" spans="1:27" x14ac:dyDescent="0.4">
      <c r="A14" s="549" t="str">
        <f>$C5</f>
        <v>[Unit ID]</v>
      </c>
      <c r="B14" s="318" t="s">
        <v>984</v>
      </c>
      <c r="F14" s="542">
        <f>IF(NOT(ISBLANK(C14)),5,0)*$D14</f>
        <v>0</v>
      </c>
      <c r="L14" s="318">
        <f>IFERROR(VLOOKUP(C14,Fan_Pricing!B:E,3,FALSE),0)</f>
        <v>0</v>
      </c>
      <c r="M14" s="534">
        <f>IFERROR(VLOOKUP(C14,Fan_Pricing!B:E,4,FALSE),0)</f>
        <v>0</v>
      </c>
      <c r="N14" s="318">
        <f t="shared" si="7"/>
        <v>0</v>
      </c>
      <c r="O14" s="534">
        <f t="shared" si="8"/>
        <v>0</v>
      </c>
      <c r="P14" s="534">
        <f>N14*Takeoff_Backend!$B$1+O14</f>
        <v>0</v>
      </c>
      <c r="Q14" s="541">
        <f t="shared" si="2"/>
        <v>0</v>
      </c>
      <c r="R14" s="541">
        <f t="shared" si="3"/>
        <v>0</v>
      </c>
      <c r="S14" s="541">
        <f t="shared" si="4"/>
        <v>0</v>
      </c>
      <c r="U14" s="542">
        <f>D14*C8</f>
        <v>0</v>
      </c>
      <c r="V14" s="543" t="str">
        <f t="shared" si="10"/>
        <v/>
      </c>
      <c r="W14" s="318">
        <f t="shared" si="9"/>
        <v>0</v>
      </c>
      <c r="X14" s="318" t="str">
        <f t="shared" si="11"/>
        <v/>
      </c>
      <c r="Z14" s="318" t="str">
        <f>VLOOKUP(B14, Fan_Pricing!B:H,7,FALSE)</f>
        <v>, Interlock</v>
      </c>
    </row>
    <row r="15" spans="1:27" x14ac:dyDescent="0.4">
      <c r="A15" s="549" t="str">
        <f>$C5</f>
        <v>[Unit ID]</v>
      </c>
      <c r="B15" s="318" t="s">
        <v>1419</v>
      </c>
      <c r="F15" s="542">
        <f t="shared" ref="F15:F16" si="12">IF($C15,5,0)*$D15</f>
        <v>0</v>
      </c>
      <c r="L15" s="318">
        <f>IF(C15,VLOOKUP(B15,Fan_Pricing!B:E,IF(L$10="t [U]",3,4),FALSE),0)</f>
        <v>0</v>
      </c>
      <c r="M15" s="318">
        <f>IF(C15,VLOOKUP(B15,Fan_Pricing!B:E,IF(M$10="t [U]",3,4),FALSE),0)</f>
        <v>0</v>
      </c>
      <c r="N15" s="318">
        <f t="shared" si="7"/>
        <v>0</v>
      </c>
      <c r="O15" s="534">
        <f t="shared" si="8"/>
        <v>0</v>
      </c>
      <c r="P15" s="534">
        <f>N15*Takeoff_Backend!$B$1+O15</f>
        <v>0</v>
      </c>
      <c r="Q15" s="541">
        <f t="shared" si="2"/>
        <v>0</v>
      </c>
      <c r="R15" s="541">
        <f t="shared" si="3"/>
        <v>0</v>
      </c>
      <c r="S15" s="541">
        <f t="shared" si="4"/>
        <v>0</v>
      </c>
      <c r="U15" s="542">
        <f>D15*C8</f>
        <v>0</v>
      </c>
      <c r="V15" s="543" t="str">
        <f t="shared" si="10"/>
        <v/>
      </c>
      <c r="W15" s="318">
        <f t="shared" si="9"/>
        <v>0</v>
      </c>
      <c r="X15" s="318" t="str">
        <f t="shared" si="11"/>
        <v/>
      </c>
      <c r="Z15" s="318" t="str">
        <f>VLOOKUP(B15, Fan_Pricing!B:H,7,FALSE)</f>
        <v>, Reed Switch</v>
      </c>
    </row>
    <row r="16" spans="1:27" x14ac:dyDescent="0.4">
      <c r="A16" s="549" t="str">
        <f>$C5</f>
        <v>[Unit ID]</v>
      </c>
      <c r="B16" s="318" t="s">
        <v>1418</v>
      </c>
      <c r="F16" s="542">
        <f t="shared" si="12"/>
        <v>0</v>
      </c>
      <c r="L16" s="318">
        <f>IF(C16,VLOOKUP(B16,Fan_Pricing!B:E,IF(L$10="t [U]",3,4),FALSE),0)</f>
        <v>0</v>
      </c>
      <c r="M16" s="318">
        <f>IF(C16,VLOOKUP(B16,Fan_Pricing!B:E,IF(M$10="t [U]",3,4),FALSE),0)</f>
        <v>0</v>
      </c>
      <c r="N16" s="318">
        <f t="shared" si="7"/>
        <v>0</v>
      </c>
      <c r="O16" s="534">
        <f t="shared" si="8"/>
        <v>0</v>
      </c>
      <c r="P16" s="534">
        <f>N16*Takeoff_Backend!$B$1+O16</f>
        <v>0</v>
      </c>
      <c r="Q16" s="541">
        <f t="shared" si="2"/>
        <v>0</v>
      </c>
      <c r="R16" s="541">
        <f t="shared" si="3"/>
        <v>0</v>
      </c>
      <c r="S16" s="541">
        <f t="shared" si="4"/>
        <v>0</v>
      </c>
      <c r="U16" s="542">
        <f>D16*C8</f>
        <v>0</v>
      </c>
      <c r="V16" s="543" t="str">
        <f t="shared" si="10"/>
        <v/>
      </c>
      <c r="W16" s="318">
        <f t="shared" si="9"/>
        <v>0</v>
      </c>
      <c r="X16" s="318" t="str">
        <f t="shared" si="11"/>
        <v/>
      </c>
      <c r="Z16" s="318" t="str">
        <f>VLOOKUP(B16, Fan_Pricing!B:H,7,FALSE)</f>
        <v>, Mechanical Thermostat</v>
      </c>
    </row>
    <row r="17" spans="1:26" x14ac:dyDescent="0.4">
      <c r="A17" s="549" t="str">
        <f>$C5</f>
        <v>[Unit ID]</v>
      </c>
      <c r="B17" s="318" t="s">
        <v>1417</v>
      </c>
      <c r="L17" s="318">
        <f>IF(C17,VLOOKUP(B17,Fan_Pricing!B:E,IF(L$10="t [U]",3,4),FALSE),0)</f>
        <v>0</v>
      </c>
      <c r="M17" s="318">
        <f>IF(C17,VLOOKUP(B17,Fan_Pricing!B:E,IF(M$10="t [U]",3,4),FALSE),0)</f>
        <v>0</v>
      </c>
      <c r="N17" s="318">
        <f t="shared" si="7"/>
        <v>0</v>
      </c>
      <c r="O17" s="534">
        <f t="shared" si="8"/>
        <v>0</v>
      </c>
      <c r="P17" s="534">
        <f>N17*Takeoff_Backend!$B$1+O17</f>
        <v>0</v>
      </c>
      <c r="Q17" s="541">
        <f t="shared" si="2"/>
        <v>0</v>
      </c>
      <c r="R17" s="541">
        <f t="shared" si="3"/>
        <v>0</v>
      </c>
      <c r="S17" s="541">
        <f t="shared" si="4"/>
        <v>0</v>
      </c>
      <c r="U17" s="542">
        <f>D17*C8</f>
        <v>0</v>
      </c>
      <c r="V17" s="543" t="str">
        <f t="shared" si="10"/>
        <v/>
      </c>
      <c r="W17" s="318">
        <f t="shared" si="9"/>
        <v>0</v>
      </c>
      <c r="X17" s="318" t="str">
        <f t="shared" si="11"/>
        <v/>
      </c>
      <c r="Z17" s="318" t="str">
        <f>VLOOKUP(B17, Fan_Pricing!B:H,7,FALSE)</f>
        <v>, Run-On Timer</v>
      </c>
    </row>
    <row r="18" spans="1:26" x14ac:dyDescent="0.4">
      <c r="A18" s="549" t="str">
        <f>$C5</f>
        <v>[Unit ID]</v>
      </c>
      <c r="B18" s="318" t="s">
        <v>1416</v>
      </c>
      <c r="L18" s="318">
        <f>IF(C18,VLOOKUP(B18,Fan_Pricing!B:E,IF(L$10="t [U]",3,4),FALSE),0)</f>
        <v>0</v>
      </c>
      <c r="M18" s="318">
        <f>IF(C18,VLOOKUP(B18,Fan_Pricing!B:E,IF(M$10="t [U]",3,4),FALSE),0)</f>
        <v>0</v>
      </c>
      <c r="N18" s="318">
        <f t="shared" si="7"/>
        <v>0</v>
      </c>
      <c r="O18" s="534">
        <f t="shared" si="8"/>
        <v>0</v>
      </c>
      <c r="P18" s="534">
        <f>N18*Takeoff_Backend!$B$1+O18</f>
        <v>0</v>
      </c>
      <c r="Q18" s="541">
        <f t="shared" si="2"/>
        <v>0</v>
      </c>
      <c r="R18" s="541">
        <f t="shared" si="3"/>
        <v>0</v>
      </c>
      <c r="S18" s="541">
        <f t="shared" si="4"/>
        <v>0</v>
      </c>
      <c r="U18" s="542">
        <f>D18*C8</f>
        <v>0</v>
      </c>
      <c r="V18" s="543" t="str">
        <f t="shared" si="10"/>
        <v/>
      </c>
      <c r="W18" s="318">
        <f t="shared" si="9"/>
        <v>0</v>
      </c>
      <c r="X18" s="318" t="str">
        <f t="shared" si="11"/>
        <v/>
      </c>
      <c r="Z18" s="318" t="str">
        <f>VLOOKUP(B18, Fan_Pricing!B:H,7,FALSE)</f>
        <v>, Time Clock</v>
      </c>
    </row>
    <row r="19" spans="1:26" x14ac:dyDescent="0.4">
      <c r="A19" s="549" t="str">
        <f>$C5</f>
        <v>[Unit ID]</v>
      </c>
      <c r="B19" s="318" t="s">
        <v>1415</v>
      </c>
      <c r="L19" s="318">
        <f>IF(C19,VLOOKUP(B19,Fan_Pricing!B:E,IF(L$10="t [U]",3,4),FALSE),0)</f>
        <v>0</v>
      </c>
      <c r="M19" s="318">
        <f>IF(C19,VLOOKUP(B19,Fan_Pricing!B:E,IF(M$10="t [U]",3,4),FALSE),0)</f>
        <v>0</v>
      </c>
      <c r="N19" s="318">
        <f t="shared" si="7"/>
        <v>0</v>
      </c>
      <c r="O19" s="534">
        <f t="shared" si="8"/>
        <v>0</v>
      </c>
      <c r="P19" s="534">
        <f>N19*Takeoff_Backend!$B$1+O19</f>
        <v>0</v>
      </c>
      <c r="Q19" s="541">
        <f t="shared" si="2"/>
        <v>0</v>
      </c>
      <c r="R19" s="541">
        <f t="shared" si="3"/>
        <v>0</v>
      </c>
      <c r="S19" s="541">
        <f t="shared" si="4"/>
        <v>0</v>
      </c>
      <c r="U19" s="542">
        <f>D19*C8</f>
        <v>0</v>
      </c>
      <c r="V19" s="543" t="str">
        <f t="shared" si="10"/>
        <v/>
      </c>
      <c r="W19" s="318">
        <f t="shared" si="9"/>
        <v>0</v>
      </c>
      <c r="X19" s="318" t="str">
        <f t="shared" si="11"/>
        <v/>
      </c>
      <c r="Z19" s="318" t="str">
        <f>VLOOKUP(B19, Fan_Pricing!B:H,7,FALSE)</f>
        <v>, Local Switch</v>
      </c>
    </row>
    <row r="20" spans="1:26" x14ac:dyDescent="0.4">
      <c r="A20" s="549" t="str">
        <f>$C5</f>
        <v>[Unit ID]</v>
      </c>
      <c r="B20" s="318" t="s">
        <v>1414</v>
      </c>
      <c r="G20" s="542">
        <f t="shared" ref="G20" si="13">IF($C20,5,0)*$D20</f>
        <v>0</v>
      </c>
      <c r="L20" s="318">
        <f>IF(C20,VLOOKUP(B20,Fan_Pricing!B:E,IF(L$10="t [U]",3,4),FALSE),0)</f>
        <v>0</v>
      </c>
      <c r="M20" s="318">
        <f>IF(C20,VLOOKUP(B20,Fan_Pricing!B:E,IF(M$10="t [U]",3,4),FALSE),0)</f>
        <v>0</v>
      </c>
      <c r="N20" s="318">
        <f t="shared" si="7"/>
        <v>0</v>
      </c>
      <c r="O20" s="534">
        <f t="shared" si="8"/>
        <v>0</v>
      </c>
      <c r="P20" s="534">
        <f>N20*Takeoff_Backend!$B$1+O20</f>
        <v>0</v>
      </c>
      <c r="Q20" s="541">
        <f t="shared" si="2"/>
        <v>0</v>
      </c>
      <c r="R20" s="541">
        <f t="shared" si="3"/>
        <v>0</v>
      </c>
      <c r="S20" s="541">
        <f t="shared" si="4"/>
        <v>0</v>
      </c>
      <c r="U20" s="542">
        <f>D20*C8</f>
        <v>0</v>
      </c>
      <c r="V20" s="543" t="str">
        <f t="shared" si="10"/>
        <v/>
      </c>
      <c r="W20" s="318">
        <f t="shared" si="9"/>
        <v>0</v>
      </c>
      <c r="X20" s="318" t="str">
        <f t="shared" si="11"/>
        <v/>
      </c>
      <c r="Z20" s="318" t="str">
        <f>VLOOKUP(B20, Fan_Pricing!B:H,7,FALSE)</f>
        <v>, Run Status Light</v>
      </c>
    </row>
    <row r="21" spans="1:26" x14ac:dyDescent="0.4">
      <c r="A21" s="549" t="str">
        <f>$C5</f>
        <v>[Unit ID]</v>
      </c>
      <c r="B21" s="318" t="s">
        <v>1240</v>
      </c>
      <c r="M21" s="318"/>
      <c r="Q21" s="541">
        <f t="shared" si="2"/>
        <v>0</v>
      </c>
      <c r="R21" s="541">
        <f t="shared" si="3"/>
        <v>0</v>
      </c>
      <c r="S21" s="541">
        <f t="shared" si="4"/>
        <v>0</v>
      </c>
      <c r="U21" s="542">
        <f>D21*C8</f>
        <v>0</v>
      </c>
      <c r="X21" s="318" t="str">
        <f t="shared" si="11"/>
        <v/>
      </c>
    </row>
    <row r="22" spans="1:26" x14ac:dyDescent="0.4">
      <c r="A22" s="549" t="str">
        <f>$C5</f>
        <v>[Unit ID]</v>
      </c>
      <c r="B22" s="318" t="s">
        <v>1287</v>
      </c>
      <c r="E22" s="542">
        <f>IF($C22="KEF [Facet]",5,IF($C22="VSD [Facet]",10,0))*D22</f>
        <v>0</v>
      </c>
      <c r="F22" s="542">
        <f>IF($C22="KEF [Facet]",0,IF($C22="VSD [Facet]",5,0))*D22</f>
        <v>0</v>
      </c>
      <c r="G22" s="542">
        <f>IF($C22="KEF [Facet]",10,IF($C22="VSD [Facet]",0,0))*D22</f>
        <v>0</v>
      </c>
      <c r="H22" s="542">
        <f>IF($C22="KEF [Facet]",10,IF($C22="VSD [Facet]",0,0))*D22</f>
        <v>0</v>
      </c>
      <c r="I22" s="542">
        <f>IF($C22="KEF [Facet]",0,IF($C22="VSD [Facet]",0,0))*D22</f>
        <v>0</v>
      </c>
      <c r="J22" s="542">
        <f>IF($C22="KEF [Facet]",0,IF($C22="VSD [Facet]",0,0))*D22</f>
        <v>0</v>
      </c>
      <c r="K22" s="542">
        <f>IF($C22="KEF [Facet]",0,IF($C22="VSD [Facet]",0,0))*D22</f>
        <v>0</v>
      </c>
      <c r="L22" s="318">
        <f>IFERROR(VLOOKUP(C22,Fan_Pricing!B:E,3,FALSE),0)</f>
        <v>0</v>
      </c>
      <c r="M22" s="534">
        <f>IFERROR(VLOOKUP(C22,Fan_Pricing!B:E,4,FALSE),0)</f>
        <v>0</v>
      </c>
      <c r="N22" s="318">
        <f t="shared" si="7"/>
        <v>0</v>
      </c>
      <c r="O22" s="534">
        <f t="shared" si="8"/>
        <v>0</v>
      </c>
      <c r="P22" s="534">
        <f>N22*Takeoff_Backend!$B$1+O22</f>
        <v>0</v>
      </c>
      <c r="Q22" s="541">
        <f t="shared" si="2"/>
        <v>0</v>
      </c>
      <c r="R22" s="541">
        <f t="shared" si="3"/>
        <v>0</v>
      </c>
      <c r="S22" s="541">
        <f t="shared" si="4"/>
        <v>0</v>
      </c>
      <c r="U22" s="542">
        <f>D22*C8</f>
        <v>0</v>
      </c>
      <c r="V22" s="543" t="str">
        <f>IF(D22 &gt; 0,Z22,"")</f>
        <v/>
      </c>
      <c r="W22" s="318">
        <f t="shared" si="9"/>
        <v>0</v>
      </c>
      <c r="X22" s="318" t="str">
        <f>IF(D22 &gt; 0,AB22,"")</f>
        <v/>
      </c>
      <c r="Z22" s="318" t="str">
        <f>IFERROR(VLOOKUP(C22, Fan_Pricing!B:H,7,FALSE), "")</f>
        <v/>
      </c>
    </row>
    <row r="23" spans="1:26" x14ac:dyDescent="0.4">
      <c r="A23" s="549" t="str">
        <f>$C5</f>
        <v>[Unit ID]</v>
      </c>
      <c r="B23" s="318" t="s">
        <v>1412</v>
      </c>
      <c r="G23" s="542">
        <f t="shared" ref="G23" si="14">IF($C23,5,0)*$D23</f>
        <v>0</v>
      </c>
      <c r="L23" s="318">
        <f>IF(C23,VLOOKUP(B23,Fan_Pricing!B:E,IF(L$10="t [U]",3,4),FALSE),0)</f>
        <v>0</v>
      </c>
      <c r="M23" s="318">
        <f>IF(C23,VLOOKUP(B23,Fan_Pricing!B:E,IF(M$10="t [U]",3,4),FALSE),0)</f>
        <v>0</v>
      </c>
      <c r="N23" s="318">
        <f t="shared" si="7"/>
        <v>0</v>
      </c>
      <c r="O23" s="534">
        <f t="shared" si="8"/>
        <v>0</v>
      </c>
      <c r="P23" s="534">
        <f>N23*Takeoff_Backend!$B$1+O23</f>
        <v>0</v>
      </c>
      <c r="Q23" s="541">
        <f t="shared" si="2"/>
        <v>0</v>
      </c>
      <c r="R23" s="541">
        <f t="shared" si="3"/>
        <v>0</v>
      </c>
      <c r="S23" s="541">
        <f t="shared" si="4"/>
        <v>0</v>
      </c>
      <c r="U23" s="542">
        <f>D23*C8</f>
        <v>0</v>
      </c>
      <c r="V23" s="543" t="str">
        <f t="shared" si="10"/>
        <v/>
      </c>
      <c r="W23" s="318">
        <f t="shared" si="9"/>
        <v>0</v>
      </c>
      <c r="X23" s="318" t="str">
        <f t="shared" si="11"/>
        <v/>
      </c>
      <c r="Z23" s="318" t="str">
        <f>VLOOKUP(B23, Fan_Pricing!B:H,7,FALSE)</f>
        <v>, Run &amp; Fault LEDs</v>
      </c>
    </row>
    <row r="24" spans="1:26" x14ac:dyDescent="0.4">
      <c r="A24" s="549" t="str">
        <f>$C5</f>
        <v>[Unit ID]</v>
      </c>
      <c r="D24" s="446"/>
      <c r="Q24" s="541">
        <f t="shared" si="2"/>
        <v>0</v>
      </c>
      <c r="R24" s="541">
        <f t="shared" si="3"/>
        <v>0</v>
      </c>
      <c r="S24" s="541">
        <f t="shared" si="4"/>
        <v>0</v>
      </c>
      <c r="U24" s="542">
        <f>D24*C8</f>
        <v>0</v>
      </c>
    </row>
    <row r="25" spans="1:26" x14ac:dyDescent="0.4">
      <c r="A25" s="549" t="str">
        <f>$C5</f>
        <v>[Unit ID]</v>
      </c>
      <c r="B25" s="532" t="s">
        <v>1018</v>
      </c>
      <c r="D25" s="446"/>
      <c r="Q25" s="541">
        <f t="shared" si="2"/>
        <v>0</v>
      </c>
      <c r="R25" s="541">
        <f t="shared" si="3"/>
        <v>0</v>
      </c>
      <c r="S25" s="541">
        <f t="shared" si="4"/>
        <v>0</v>
      </c>
      <c r="U25" s="542">
        <f>D25*C8</f>
        <v>0</v>
      </c>
    </row>
    <row r="26" spans="1:26" x14ac:dyDescent="0.4">
      <c r="A26" s="549" t="str">
        <f>$C5</f>
        <v>[Unit ID]</v>
      </c>
      <c r="B26" s="318" t="s">
        <v>1403</v>
      </c>
      <c r="D26" s="318">
        <f>HLOOKUP($B26,$E9:$K10,2,FALSE)</f>
        <v>0</v>
      </c>
      <c r="L26" s="318">
        <f>VLOOKUP(B26,Fan_Pricing!B:E,3,FALSE)</f>
        <v>0.1</v>
      </c>
      <c r="M26" s="534">
        <f>VLOOKUP(B26,Fan_Pricing!B:E,4,FALSE)</f>
        <v>0.85</v>
      </c>
      <c r="N26" s="318">
        <f>D26*L26</f>
        <v>0</v>
      </c>
      <c r="O26" s="534">
        <f>M26*D26</f>
        <v>0</v>
      </c>
      <c r="P26" s="534">
        <f>N26*Takeoff_Backend!$B$1+O26</f>
        <v>0</v>
      </c>
      <c r="Q26" s="541">
        <f t="shared" si="2"/>
        <v>0</v>
      </c>
      <c r="R26" s="541">
        <f t="shared" si="3"/>
        <v>0</v>
      </c>
      <c r="S26" s="541">
        <f t="shared" si="4"/>
        <v>0</v>
      </c>
      <c r="U26" s="542">
        <f>D26*C8</f>
        <v>0</v>
      </c>
    </row>
    <row r="27" spans="1:26" x14ac:dyDescent="0.4">
      <c r="A27" s="549" t="str">
        <f>$C5</f>
        <v>[Unit ID]</v>
      </c>
      <c r="B27" s="318" t="s">
        <v>1404</v>
      </c>
      <c r="D27" s="318">
        <f>HLOOKUP($B27,$E9:$K10,2,FALSE)</f>
        <v>0</v>
      </c>
      <c r="L27" s="318">
        <f>VLOOKUP(B27,Fan_Pricing!B:E,3,FALSE)</f>
        <v>0.1</v>
      </c>
      <c r="M27" s="534">
        <f>VLOOKUP(B27,Fan_Pricing!B:E,4,FALSE)</f>
        <v>0.28000000000000003</v>
      </c>
      <c r="N27" s="318">
        <f t="shared" ref="N27:N32" si="15">D27*L27</f>
        <v>0</v>
      </c>
      <c r="O27" s="534">
        <f t="shared" ref="O27:O32" si="16">M27*D27</f>
        <v>0</v>
      </c>
      <c r="P27" s="534">
        <f>N27*Takeoff_Backend!$B$1+O27</f>
        <v>0</v>
      </c>
      <c r="Q27" s="541">
        <f t="shared" si="2"/>
        <v>0</v>
      </c>
      <c r="R27" s="541">
        <f t="shared" si="3"/>
        <v>0</v>
      </c>
      <c r="S27" s="541">
        <f t="shared" si="4"/>
        <v>0</v>
      </c>
      <c r="U27" s="542">
        <f>D27*C8</f>
        <v>0</v>
      </c>
    </row>
    <row r="28" spans="1:26" x14ac:dyDescent="0.4">
      <c r="A28" s="549" t="str">
        <f>$C5</f>
        <v>[Unit ID]</v>
      </c>
      <c r="B28" s="318" t="s">
        <v>1405</v>
      </c>
      <c r="D28" s="318">
        <f>HLOOKUP($B28,$E9:$K10,2,FALSE)</f>
        <v>0</v>
      </c>
      <c r="L28" s="318">
        <f>VLOOKUP(B28,Fan_Pricing!B:E,3,FALSE)</f>
        <v>0.1</v>
      </c>
      <c r="M28" s="534">
        <f>VLOOKUP(B28,Fan_Pricing!B:E,4,FALSE)</f>
        <v>1.056</v>
      </c>
      <c r="N28" s="318">
        <f t="shared" si="15"/>
        <v>0</v>
      </c>
      <c r="O28" s="534">
        <f t="shared" si="16"/>
        <v>0</v>
      </c>
      <c r="P28" s="534">
        <f>N28*Takeoff_Backend!$B$1+O28</f>
        <v>0</v>
      </c>
      <c r="Q28" s="541">
        <f t="shared" si="2"/>
        <v>0</v>
      </c>
      <c r="R28" s="541">
        <f t="shared" si="3"/>
        <v>0</v>
      </c>
      <c r="S28" s="541">
        <f t="shared" si="4"/>
        <v>0</v>
      </c>
      <c r="U28" s="542">
        <f>D28*C8</f>
        <v>0</v>
      </c>
    </row>
    <row r="29" spans="1:26" x14ac:dyDescent="0.4">
      <c r="A29" s="549" t="str">
        <f>$C5</f>
        <v>[Unit ID]</v>
      </c>
      <c r="B29" s="318" t="s">
        <v>1406</v>
      </c>
      <c r="D29" s="318">
        <f>HLOOKUP($B29,$E9:$K10,2,FALSE)</f>
        <v>0</v>
      </c>
      <c r="L29" s="318">
        <f>VLOOKUP(B29,Fan_Pricing!B:E,3,FALSE)</f>
        <v>0.1</v>
      </c>
      <c r="M29" s="534">
        <f>VLOOKUP(B29,Fan_Pricing!B:E,4,FALSE)</f>
        <v>3.48</v>
      </c>
      <c r="N29" s="318">
        <f t="shared" si="15"/>
        <v>0</v>
      </c>
      <c r="O29" s="534">
        <f t="shared" si="16"/>
        <v>0</v>
      </c>
      <c r="P29" s="534">
        <f>N29*Takeoff_Backend!$B$1+O29</f>
        <v>0</v>
      </c>
      <c r="Q29" s="541">
        <f t="shared" si="2"/>
        <v>0</v>
      </c>
      <c r="R29" s="541">
        <f t="shared" si="3"/>
        <v>0</v>
      </c>
      <c r="S29" s="541">
        <f t="shared" si="4"/>
        <v>0</v>
      </c>
      <c r="U29" s="542">
        <f>D29*C8</f>
        <v>0</v>
      </c>
    </row>
    <row r="30" spans="1:26" x14ac:dyDescent="0.4">
      <c r="A30" s="549" t="str">
        <f>$C5</f>
        <v>[Unit ID]</v>
      </c>
      <c r="B30" s="318" t="s">
        <v>1407</v>
      </c>
      <c r="D30" s="318">
        <f>HLOOKUP($B30,$E9:$K10,2,FALSE)</f>
        <v>0</v>
      </c>
      <c r="L30" s="318">
        <f>VLOOKUP(B30,Fan_Pricing!B:E,3,FALSE)</f>
        <v>0.1</v>
      </c>
      <c r="M30" s="534">
        <f>VLOOKUP(B30,Fan_Pricing!B:E,4,FALSE)</f>
        <v>4.5599999999999996</v>
      </c>
      <c r="N30" s="318">
        <f t="shared" si="15"/>
        <v>0</v>
      </c>
      <c r="O30" s="534">
        <f t="shared" si="16"/>
        <v>0</v>
      </c>
      <c r="P30" s="534">
        <f>N30*Takeoff_Backend!$B$1+O30</f>
        <v>0</v>
      </c>
      <c r="Q30" s="541">
        <f t="shared" si="2"/>
        <v>0</v>
      </c>
      <c r="R30" s="541">
        <f t="shared" si="3"/>
        <v>0</v>
      </c>
      <c r="S30" s="541">
        <f t="shared" si="4"/>
        <v>0</v>
      </c>
      <c r="U30" s="542">
        <f>D30*C8</f>
        <v>0</v>
      </c>
    </row>
    <row r="31" spans="1:26" x14ac:dyDescent="0.4">
      <c r="A31" s="549" t="str">
        <f>$C5</f>
        <v>[Unit ID]</v>
      </c>
      <c r="B31" s="318" t="s">
        <v>1408</v>
      </c>
      <c r="D31" s="318">
        <f>HLOOKUP($B31,$E9:$K10,2,FALSE)</f>
        <v>0</v>
      </c>
      <c r="L31" s="318">
        <f>VLOOKUP(B31,Fan_Pricing!B:E,3,FALSE)</f>
        <v>0.1</v>
      </c>
      <c r="M31" s="534">
        <f>VLOOKUP(B31,Fan_Pricing!B:E,4,FALSE)</f>
        <v>2.4</v>
      </c>
      <c r="N31" s="318">
        <f t="shared" si="15"/>
        <v>0</v>
      </c>
      <c r="O31" s="534">
        <f t="shared" si="16"/>
        <v>0</v>
      </c>
      <c r="P31" s="534">
        <f>N31*Takeoff_Backend!$B$1+O31</f>
        <v>0</v>
      </c>
      <c r="Q31" s="541">
        <f t="shared" si="2"/>
        <v>0</v>
      </c>
      <c r="R31" s="541">
        <f t="shared" si="3"/>
        <v>0</v>
      </c>
      <c r="S31" s="541">
        <f t="shared" si="4"/>
        <v>0</v>
      </c>
      <c r="U31" s="542">
        <f>D31*C8</f>
        <v>0</v>
      </c>
    </row>
    <row r="32" spans="1:26" x14ac:dyDescent="0.4">
      <c r="A32" s="549" t="str">
        <f>$C5</f>
        <v>[Unit ID]</v>
      </c>
      <c r="B32" s="318" t="s">
        <v>1409</v>
      </c>
      <c r="D32" s="318">
        <f>HLOOKUP($B32,$E9:$K10,2,FALSE)</f>
        <v>0</v>
      </c>
      <c r="L32" s="318">
        <f>VLOOKUP(B32,Fan_Pricing!B:E,3,FALSE)</f>
        <v>0.1</v>
      </c>
      <c r="M32" s="534">
        <f>VLOOKUP(B32,Fan_Pricing!B:E,4,FALSE)</f>
        <v>5.8</v>
      </c>
      <c r="N32" s="318">
        <f t="shared" si="15"/>
        <v>0</v>
      </c>
      <c r="O32" s="534">
        <f t="shared" si="16"/>
        <v>0</v>
      </c>
      <c r="P32" s="534">
        <f>N32*Takeoff_Backend!$B$1+O32</f>
        <v>0</v>
      </c>
      <c r="Q32" s="541">
        <f t="shared" si="2"/>
        <v>0</v>
      </c>
      <c r="R32" s="541">
        <f t="shared" si="3"/>
        <v>0</v>
      </c>
      <c r="S32" s="541">
        <f t="shared" si="4"/>
        <v>0</v>
      </c>
      <c r="U32" s="542">
        <f>D32*C8</f>
        <v>0</v>
      </c>
    </row>
    <row r="33" spans="1:19" x14ac:dyDescent="0.4">
      <c r="A33" s="549" t="str">
        <f>$C5</f>
        <v>[Unit ID]</v>
      </c>
      <c r="B33" s="547" t="str">
        <f>A33</f>
        <v>[Unit ID]</v>
      </c>
      <c r="C33" s="547" t="str">
        <f t="shared" ref="C33:P33" si="17">B33</f>
        <v>[Unit ID]</v>
      </c>
      <c r="D33" s="547" t="str">
        <f t="shared" si="17"/>
        <v>[Unit ID]</v>
      </c>
      <c r="E33" s="547" t="str">
        <f t="shared" si="17"/>
        <v>[Unit ID]</v>
      </c>
      <c r="F33" s="547" t="str">
        <f t="shared" si="17"/>
        <v>[Unit ID]</v>
      </c>
      <c r="G33" s="547" t="str">
        <f t="shared" si="17"/>
        <v>[Unit ID]</v>
      </c>
      <c r="H33" s="547" t="str">
        <f t="shared" si="17"/>
        <v>[Unit ID]</v>
      </c>
      <c r="I33" s="547" t="str">
        <f t="shared" si="17"/>
        <v>[Unit ID]</v>
      </c>
      <c r="J33" s="547" t="str">
        <f t="shared" si="17"/>
        <v>[Unit ID]</v>
      </c>
      <c r="K33" s="547" t="str">
        <f t="shared" si="17"/>
        <v>[Unit ID]</v>
      </c>
      <c r="L33" s="547" t="str">
        <f t="shared" si="17"/>
        <v>[Unit ID]</v>
      </c>
      <c r="M33" s="547" t="str">
        <f t="shared" si="17"/>
        <v>[Unit ID]</v>
      </c>
      <c r="N33" s="547" t="str">
        <f t="shared" si="17"/>
        <v>[Unit ID]</v>
      </c>
      <c r="O33" s="547" t="str">
        <f t="shared" si="17"/>
        <v>[Unit ID]</v>
      </c>
      <c r="P33" s="547" t="str">
        <f t="shared" si="17"/>
        <v>[Unit ID]</v>
      </c>
      <c r="Q33" s="541"/>
      <c r="R33" s="541"/>
      <c r="S33" s="541"/>
    </row>
  </sheetData>
  <autoFilter ref="A1:A33" xr:uid="{ED50C970-49AC-4EAF-B236-0528B70288D8}"/>
  <mergeCells count="2">
    <mergeCell ref="F6:J7"/>
    <mergeCell ref="R3:T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0091D2-90B9-4488-9F34-09B96F4B4E82}">
          <x14:formula1>
            <xm:f>Fan_Backend!$A$2:$A$4</xm:f>
          </x14:formula1>
          <xm:sqref>C11</xm:sqref>
        </x14:dataValidation>
        <x14:dataValidation type="list" allowBlank="1" showInputMessage="1" showErrorMessage="1" xr:uid="{9F784F46-7102-4984-9CC9-BA6794220D4D}">
          <x14:formula1>
            <xm:f>Fan_Backend!$L$2:$L$4</xm:f>
          </x14:formula1>
          <xm:sqref>C22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1891-7B3B-4DAA-B618-E1A2D6914CED}">
  <dimension ref="A1:B29"/>
  <sheetViews>
    <sheetView workbookViewId="0">
      <selection activeCell="B22" sqref="B22"/>
    </sheetView>
  </sheetViews>
  <sheetFormatPr defaultRowHeight="14.6" x14ac:dyDescent="0.4"/>
  <cols>
    <col min="1" max="1" width="31.53515625" customWidth="1"/>
  </cols>
  <sheetData>
    <row r="1" spans="1:2" x14ac:dyDescent="0.4">
      <c r="A1" s="318" t="s">
        <v>724</v>
      </c>
      <c r="B1" s="543" t="s">
        <v>843</v>
      </c>
    </row>
    <row r="2" spans="1:2" x14ac:dyDescent="0.4">
      <c r="A2" s="318" t="s">
        <v>982</v>
      </c>
      <c r="B2" s="543">
        <f>SUMIF(Fan_Takeoff!B:B,A2,Fan_Takeoff!U:U)+SUMIF(Fan_Takeoff!C:C,A2,Fan_Takeoff!U:U)</f>
        <v>0</v>
      </c>
    </row>
    <row r="3" spans="1:2" x14ac:dyDescent="0.4">
      <c r="A3" s="318" t="s">
        <v>983</v>
      </c>
      <c r="B3" s="543">
        <f>SUMIF(Fan_Takeoff!B:B,A3,Fan_Takeoff!U:U)+SUMIF(Fan_Takeoff!C:C,A3,Fan_Takeoff!U:U)</f>
        <v>0</v>
      </c>
    </row>
    <row r="4" spans="1:2" x14ac:dyDescent="0.4">
      <c r="A4" s="318" t="s">
        <v>1419</v>
      </c>
      <c r="B4" s="543">
        <f>SUMIF(Fan_Takeoff!B:B,A4,Fan_Takeoff!U:U)+SUMIF(Fan_Takeoff!C:C,A4,Fan_Takeoff!U:U)</f>
        <v>0</v>
      </c>
    </row>
    <row r="5" spans="1:2" x14ac:dyDescent="0.4">
      <c r="A5" s="318" t="s">
        <v>1418</v>
      </c>
      <c r="B5" s="543">
        <f>SUMIF(Fan_Takeoff!B:B,A5,Fan_Takeoff!U:U)+SUMIF(Fan_Takeoff!C:C,A5,Fan_Takeoff!U:U)</f>
        <v>0</v>
      </c>
    </row>
    <row r="6" spans="1:2" x14ac:dyDescent="0.4">
      <c r="A6" s="318" t="s">
        <v>1417</v>
      </c>
      <c r="B6" s="543">
        <f>SUMIF(Fan_Takeoff!B:B,A6,Fan_Takeoff!U:U)+SUMIF(Fan_Takeoff!C:C,A6,Fan_Takeoff!U:U)</f>
        <v>0</v>
      </c>
    </row>
    <row r="7" spans="1:2" x14ac:dyDescent="0.4">
      <c r="A7" s="318" t="s">
        <v>1416</v>
      </c>
      <c r="B7" s="543">
        <f>SUMIF(Fan_Takeoff!B:B,A7,Fan_Takeoff!U:U)+SUMIF(Fan_Takeoff!C:C,A7,Fan_Takeoff!U:U)</f>
        <v>0</v>
      </c>
    </row>
    <row r="8" spans="1:2" x14ac:dyDescent="0.4">
      <c r="A8" s="318" t="s">
        <v>1415</v>
      </c>
      <c r="B8" s="543">
        <f>SUMIF(Fan_Takeoff!B:B,A8,Fan_Takeoff!U:U)+SUMIF(Fan_Takeoff!C:C,A8,Fan_Takeoff!U:U)</f>
        <v>0</v>
      </c>
    </row>
    <row r="9" spans="1:2" x14ac:dyDescent="0.4">
      <c r="A9" s="318" t="s">
        <v>1414</v>
      </c>
      <c r="B9" s="543">
        <f>SUMIF(Fan_Takeoff!B:B,A9,Fan_Takeoff!U:U)+SUMIF(Fan_Takeoff!C:C,A9,Fan_Takeoff!U:U)</f>
        <v>0</v>
      </c>
    </row>
    <row r="10" spans="1:2" x14ac:dyDescent="0.4">
      <c r="A10" s="318" t="s">
        <v>1240</v>
      </c>
      <c r="B10" s="543">
        <f>SUMIF(Fan_Takeoff!B:B,A10,Fan_Takeoff!U:U)+SUMIF(Fan_Takeoff!C:C,A10,Fan_Takeoff!U:U)</f>
        <v>0</v>
      </c>
    </row>
    <row r="11" spans="1:2" x14ac:dyDescent="0.4">
      <c r="A11" s="318" t="s">
        <v>1412</v>
      </c>
      <c r="B11" s="543">
        <f>SUMIF(Fan_Takeoff!B:B,A11,Fan_Takeoff!U:U)+SUMIF(Fan_Takeoff!C:C,A11,Fan_Takeoff!U:U)</f>
        <v>0</v>
      </c>
    </row>
    <row r="12" spans="1:2" x14ac:dyDescent="0.4">
      <c r="A12" s="114" t="s">
        <v>984</v>
      </c>
      <c r="B12" s="543">
        <f>SUMIF(Fan_Takeoff!B:B,A12,Fan_Takeoff!U:U)+SUMIF(Fan_Takeoff!C:C,A12,Fan_Takeoff!U:U)</f>
        <v>0</v>
      </c>
    </row>
    <row r="13" spans="1:2" x14ac:dyDescent="0.4">
      <c r="A13" s="114" t="s">
        <v>992</v>
      </c>
      <c r="B13" s="543">
        <f>SUMIF(Fan_Takeoff!B:B,A13,Fan_Takeoff!U:U)+SUMIF(Fan_Takeoff!C:C,A13,Fan_Takeoff!U:U)</f>
        <v>0</v>
      </c>
    </row>
    <row r="14" spans="1:2" x14ac:dyDescent="0.4">
      <c r="A14" s="114" t="s">
        <v>991</v>
      </c>
      <c r="B14" s="543">
        <f>SUMIF(Fan_Takeoff!B:B,A14,Fan_Takeoff!U:U)+SUMIF(Fan_Takeoff!C:C,A14,Fan_Takeoff!U:U)</f>
        <v>0</v>
      </c>
    </row>
    <row r="15" spans="1:2" x14ac:dyDescent="0.4">
      <c r="A15" s="114" t="s">
        <v>993</v>
      </c>
      <c r="B15" s="543">
        <f>SUMIF(Fan_Takeoff!B:B,A15,Fan_Takeoff!U:U)+SUMIF(Fan_Takeoff!C:C,A15,Fan_Takeoff!U:U)</f>
        <v>0</v>
      </c>
    </row>
    <row r="16" spans="1:2" x14ac:dyDescent="0.4">
      <c r="A16" s="318" t="s">
        <v>1401</v>
      </c>
      <c r="B16" s="543">
        <f>SUMIF(Fan_Takeoff!B:B,A16,Fan_Takeoff!U:U)+SUMIF(Fan_Takeoff!C:C,A16,Fan_Takeoff!U:U)</f>
        <v>0</v>
      </c>
    </row>
    <row r="17" spans="1:2" x14ac:dyDescent="0.4">
      <c r="A17" s="318" t="s">
        <v>1402</v>
      </c>
      <c r="B17" s="543">
        <f>SUMIF(Fan_Takeoff!B:B,A17,Fan_Takeoff!U:U)+SUMIF(Fan_Takeoff!C:C,A17,Fan_Takeoff!U:U)</f>
        <v>0</v>
      </c>
    </row>
    <row r="18" spans="1:2" x14ac:dyDescent="0.4">
      <c r="A18" s="318" t="s">
        <v>678</v>
      </c>
      <c r="B18" s="543">
        <f>SUMIF(Fan_Takeoff!B:B,A18,Fan_Takeoff!U:U)+SUMIF(Fan_Takeoff!C:C,A18,Fan_Takeoff!U:U)</f>
        <v>0</v>
      </c>
    </row>
    <row r="19" spans="1:2" x14ac:dyDescent="0.4">
      <c r="A19" s="114" t="s">
        <v>1413</v>
      </c>
      <c r="B19" s="543">
        <f>SUMIF(Fan_Takeoff!B:B,A19,Fan_Takeoff!U:U)+SUMIF(Fan_Takeoff!C:C,A19,Fan_Takeoff!U:U)</f>
        <v>0</v>
      </c>
    </row>
    <row r="20" spans="1:2" x14ac:dyDescent="0.4">
      <c r="A20" s="114" t="s">
        <v>1411</v>
      </c>
      <c r="B20" s="543">
        <f>SUMIF(Fan_Takeoff!B:B,A20,Fan_Takeoff!U:U)+SUMIF(Fan_Takeoff!C:C,A20,Fan_Takeoff!U:U)</f>
        <v>0</v>
      </c>
    </row>
    <row r="21" spans="1:2" x14ac:dyDescent="0.4">
      <c r="A21" s="318"/>
      <c r="B21" s="543"/>
    </row>
    <row r="22" spans="1:2" x14ac:dyDescent="0.4">
      <c r="A22" s="446" t="s">
        <v>1018</v>
      </c>
      <c r="B22" s="543"/>
    </row>
    <row r="23" spans="1:2" x14ac:dyDescent="0.4">
      <c r="A23" s="318" t="s">
        <v>1403</v>
      </c>
      <c r="B23" s="543">
        <f>SUMIF(Fan_Takeoff!B:B,A23,Fan_Takeoff!U:U)+SUMIF(Fan_Takeoff!C:C,A23,Fan_Takeoff!U:U)</f>
        <v>0</v>
      </c>
    </row>
    <row r="24" spans="1:2" x14ac:dyDescent="0.4">
      <c r="A24" s="318" t="s">
        <v>1404</v>
      </c>
      <c r="B24" s="543">
        <f>SUMIF(Fan_Takeoff!B:B,A24,Fan_Takeoff!U:U)+SUMIF(Fan_Takeoff!C:C,A24,Fan_Takeoff!U:U)</f>
        <v>0</v>
      </c>
    </row>
    <row r="25" spans="1:2" x14ac:dyDescent="0.4">
      <c r="A25" s="318" t="s">
        <v>1405</v>
      </c>
      <c r="B25" s="543">
        <f>SUMIF(Fan_Takeoff!B:B,A25,Fan_Takeoff!U:U)+SUMIF(Fan_Takeoff!C:C,A25,Fan_Takeoff!U:U)</f>
        <v>0</v>
      </c>
    </row>
    <row r="26" spans="1:2" x14ac:dyDescent="0.4">
      <c r="A26" s="318" t="s">
        <v>1406</v>
      </c>
      <c r="B26" s="543">
        <f>SUMIF(Fan_Takeoff!B:B,A26,Fan_Takeoff!U:U)+SUMIF(Fan_Takeoff!C:C,A26,Fan_Takeoff!U:U)</f>
        <v>0</v>
      </c>
    </row>
    <row r="27" spans="1:2" x14ac:dyDescent="0.4">
      <c r="A27" s="318" t="s">
        <v>1407</v>
      </c>
      <c r="B27" s="543">
        <f>SUMIF(Fan_Takeoff!B:B,A27,Fan_Takeoff!U:U)+SUMIF(Fan_Takeoff!C:C,A27,Fan_Takeoff!U:U)</f>
        <v>0</v>
      </c>
    </row>
    <row r="28" spans="1:2" x14ac:dyDescent="0.4">
      <c r="A28" s="318" t="s">
        <v>1408</v>
      </c>
      <c r="B28" s="543">
        <f>SUMIF(Fan_Takeoff!B:B,A28,Fan_Takeoff!U:U)+SUMIF(Fan_Takeoff!C:C,A28,Fan_Takeoff!U:U)</f>
        <v>0</v>
      </c>
    </row>
    <row r="29" spans="1:2" x14ac:dyDescent="0.4">
      <c r="A29" s="318" t="s">
        <v>1409</v>
      </c>
      <c r="B29" s="543">
        <f>SUMIF(Fan_Takeoff!B:B,A29,Fan_Takeoff!U:U)+SUMIF(Fan_Takeoff!C:C,A29,Fan_Takeoff!U:U)</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CD61F-B222-4DB4-A0E1-731B59AD886E}">
  <dimension ref="A1:J102"/>
  <sheetViews>
    <sheetView topLeftCell="A25" workbookViewId="0">
      <selection activeCell="H37" sqref="H37"/>
    </sheetView>
  </sheetViews>
  <sheetFormatPr defaultRowHeight="14.6" x14ac:dyDescent="0.4"/>
  <cols>
    <col min="1" max="1" width="26.53515625" style="114" customWidth="1"/>
    <col min="2" max="2" width="28.921875" style="114" bestFit="1" customWidth="1"/>
    <col min="3" max="5" width="9.61328125" style="114" customWidth="1"/>
    <col min="6" max="6" width="7.765625" customWidth="1"/>
  </cols>
  <sheetData>
    <row r="1" spans="1:10" s="546" customFormat="1" ht="19.75" thickBot="1" x14ac:dyDescent="0.55000000000000004">
      <c r="A1" s="546" t="s">
        <v>1423</v>
      </c>
      <c r="B1" s="546" t="s">
        <v>1422</v>
      </c>
      <c r="C1" s="546" t="s">
        <v>843</v>
      </c>
      <c r="D1" s="546" t="s">
        <v>996</v>
      </c>
      <c r="E1" s="546" t="s">
        <v>995</v>
      </c>
      <c r="F1" s="546" t="s">
        <v>1424</v>
      </c>
      <c r="G1" s="546" t="s">
        <v>1441</v>
      </c>
      <c r="H1" s="546" t="s">
        <v>1455</v>
      </c>
    </row>
    <row r="2" spans="1:10" ht="15" thickTop="1" x14ac:dyDescent="0.4">
      <c r="A2" s="114" t="s">
        <v>1401</v>
      </c>
      <c r="B2" s="114" t="s">
        <v>1401</v>
      </c>
      <c r="C2" s="114" t="s">
        <v>639</v>
      </c>
      <c r="D2" s="114">
        <f>SUM(D3:D7)</f>
        <v>1</v>
      </c>
      <c r="E2" s="114">
        <f>SUM(E3:E7)</f>
        <v>88.25</v>
      </c>
      <c r="F2">
        <f>IFERROR(IF(A2=B2,0,VLOOKUP(A2,'Fan Summary'!A:E,2,FALSE))*C2,0)</f>
        <v>0</v>
      </c>
      <c r="G2" t="b">
        <f>A2=B2</f>
        <v>1</v>
      </c>
      <c r="H2" t="s">
        <v>990</v>
      </c>
      <c r="I2" s="114"/>
      <c r="J2" s="114"/>
    </row>
    <row r="3" spans="1:10" x14ac:dyDescent="0.4">
      <c r="A3" s="114" t="s">
        <v>1401</v>
      </c>
      <c r="B3" s="114" t="s">
        <v>253</v>
      </c>
      <c r="C3" s="114">
        <v>1</v>
      </c>
      <c r="D3" s="114">
        <f>VLOOKUP($B3,Parts!$A:$G,IF(D$1="t",4,3),FALSE)*$C3</f>
        <v>0</v>
      </c>
      <c r="E3" s="114">
        <f>VLOOKUP($B3,Parts!$A:$G,IF(E$1="t",4,3),FALSE)*$C3</f>
        <v>8.4499999999999993</v>
      </c>
      <c r="F3" s="114">
        <f>IFERROR(IF(A3=B3,0,VLOOKUP(A3,'Fan Summary'!A:E,2,FALSE))*C3,0)</f>
        <v>0</v>
      </c>
      <c r="G3" s="114" t="b">
        <f t="shared" ref="G3:G66" si="0">A3=B3</f>
        <v>0</v>
      </c>
    </row>
    <row r="4" spans="1:10" x14ac:dyDescent="0.4">
      <c r="A4" s="114" t="s">
        <v>1401</v>
      </c>
      <c r="B4" s="114" t="s">
        <v>998</v>
      </c>
      <c r="C4" s="114">
        <v>1</v>
      </c>
      <c r="D4" s="114">
        <f>VLOOKUP($B4,Parts!$A:$G,IF(D$1="t",4,3),FALSE)*$C4</f>
        <v>0</v>
      </c>
      <c r="E4" s="114">
        <f>VLOOKUP($B4,Parts!$A:$G,IF(E$1="t",4,3),FALSE)*$C4</f>
        <v>19.8</v>
      </c>
      <c r="F4" s="114">
        <f>IFERROR(IF(A4=B4,0,VLOOKUP(A4,'Fan Summary'!A:E,2,FALSE))*C4,0)</f>
        <v>0</v>
      </c>
      <c r="G4" s="114" t="b">
        <f t="shared" si="0"/>
        <v>0</v>
      </c>
      <c r="I4" s="114"/>
    </row>
    <row r="5" spans="1:10" x14ac:dyDescent="0.4">
      <c r="A5" s="114" t="s">
        <v>1401</v>
      </c>
      <c r="B5" s="114" t="s">
        <v>268</v>
      </c>
      <c r="D5" s="114">
        <f>VLOOKUP($B5,Parts!$A:$G,IF(D$1="t",4,3),FALSE)*$C5</f>
        <v>0</v>
      </c>
      <c r="E5" s="114">
        <f>VLOOKUP($B5,Parts!$A:$G,IF(E$1="t",4,3),FALSE)*$C5</f>
        <v>0</v>
      </c>
      <c r="F5" s="114">
        <f>IFERROR(IF(A5=B5,0,VLOOKUP(A5,'Fan Summary'!A:E,2,FALSE))*C5,0)</f>
        <v>0</v>
      </c>
      <c r="G5" s="114" t="b">
        <f t="shared" si="0"/>
        <v>0</v>
      </c>
      <c r="I5" s="114"/>
    </row>
    <row r="6" spans="1:10" x14ac:dyDescent="0.4">
      <c r="A6" s="114" t="s">
        <v>1401</v>
      </c>
      <c r="B6" s="114" t="s">
        <v>999</v>
      </c>
      <c r="C6" s="114">
        <v>1</v>
      </c>
      <c r="D6" s="114">
        <f>VLOOKUP($B6,Parts!$A:$G,IF(D$1="t",4,3),FALSE)*$C6</f>
        <v>0</v>
      </c>
      <c r="E6" s="114">
        <f>VLOOKUP($B6,Parts!$A:$G,IF(E$1="t",4,3),FALSE)*$C6</f>
        <v>60</v>
      </c>
      <c r="F6" s="114">
        <f>IFERROR(IF(A6=B6,0,VLOOKUP(A6,'Fan Summary'!A:E,2,FALSE))*C6,0)</f>
        <v>0</v>
      </c>
      <c r="G6" s="114" t="b">
        <f t="shared" si="0"/>
        <v>0</v>
      </c>
      <c r="I6" s="114"/>
    </row>
    <row r="7" spans="1:10" x14ac:dyDescent="0.4">
      <c r="A7" s="114" t="s">
        <v>1401</v>
      </c>
      <c r="B7" s="114" t="s">
        <v>1000</v>
      </c>
      <c r="C7" s="114">
        <v>1</v>
      </c>
      <c r="D7" s="114">
        <f>VLOOKUP($B7,Parts!$A:$G,IF(D$1="t",4,3),FALSE)*$C7</f>
        <v>1</v>
      </c>
      <c r="E7" s="114">
        <f>VLOOKUP($B7,Parts!$A:$G,IF(E$1="t",4,3),FALSE)*$C7</f>
        <v>0</v>
      </c>
      <c r="F7" s="114">
        <f>IFERROR(IF(A7=B7,0,VLOOKUP(A7,'Fan Summary'!A:E,2,FALSE))*C7,0)</f>
        <v>0</v>
      </c>
      <c r="G7" s="114" t="b">
        <f t="shared" si="0"/>
        <v>0</v>
      </c>
      <c r="I7" s="114"/>
    </row>
    <row r="8" spans="1:10" x14ac:dyDescent="0.4">
      <c r="A8" s="114" t="s">
        <v>1402</v>
      </c>
      <c r="B8" s="114" t="s">
        <v>1402</v>
      </c>
      <c r="C8" s="114" t="s">
        <v>639</v>
      </c>
      <c r="D8" s="114">
        <f>SUM(D9:D13)</f>
        <v>1</v>
      </c>
      <c r="E8" s="114">
        <f>SUM(E9:E13)</f>
        <v>68.45</v>
      </c>
      <c r="F8" s="114">
        <f>IFERROR(IF(A8=B8,0,VLOOKUP(A8,'Fan Summary'!A:E,2,FALSE))*C8,0)</f>
        <v>0</v>
      </c>
      <c r="G8" s="114" t="b">
        <f t="shared" si="0"/>
        <v>1</v>
      </c>
      <c r="H8" t="s">
        <v>990</v>
      </c>
      <c r="I8" s="114"/>
      <c r="J8" s="114"/>
    </row>
    <row r="9" spans="1:10" x14ac:dyDescent="0.4">
      <c r="A9" s="114" t="s">
        <v>1402</v>
      </c>
      <c r="B9" s="114" t="s">
        <v>253</v>
      </c>
      <c r="C9" s="114">
        <v>1</v>
      </c>
      <c r="D9" s="114">
        <f>VLOOKUP($B9,Parts!$A:$G,IF(D$1="t",4,3),FALSE)*$C9</f>
        <v>0</v>
      </c>
      <c r="E9" s="114">
        <f>VLOOKUP($B9,Parts!$A:$G,IF(E$1="t",4,3),FALSE)*$C9</f>
        <v>8.4499999999999993</v>
      </c>
      <c r="F9" s="114">
        <f>IFERROR(IF(A9=B9,0,VLOOKUP(A9,'Fan Summary'!A:E,2,FALSE))*C9,0)</f>
        <v>0</v>
      </c>
      <c r="G9" s="114" t="b">
        <f t="shared" si="0"/>
        <v>0</v>
      </c>
      <c r="I9" s="114"/>
    </row>
    <row r="10" spans="1:10" x14ac:dyDescent="0.4">
      <c r="A10" s="114" t="s">
        <v>1402</v>
      </c>
      <c r="B10" s="114" t="s">
        <v>998</v>
      </c>
      <c r="D10" s="114">
        <f>VLOOKUP($B10,Parts!$A:$G,IF(D$1="t",4,3),FALSE)*$C10</f>
        <v>0</v>
      </c>
      <c r="E10" s="114">
        <f>VLOOKUP($B10,Parts!$A:$G,IF(E$1="t",4,3),FALSE)*$C10</f>
        <v>0</v>
      </c>
      <c r="F10" s="114">
        <f>IFERROR(IF(A10=B10,0,VLOOKUP(A10,'Fan Summary'!A:E,2,FALSE))*C10,0)</f>
        <v>0</v>
      </c>
      <c r="G10" s="114" t="b">
        <f t="shared" si="0"/>
        <v>0</v>
      </c>
      <c r="I10" s="114"/>
    </row>
    <row r="11" spans="1:10" x14ac:dyDescent="0.4">
      <c r="A11" s="114" t="s">
        <v>1402</v>
      </c>
      <c r="B11" s="114" t="s">
        <v>268</v>
      </c>
      <c r="D11" s="114">
        <f>VLOOKUP($B11,Parts!$A:$G,IF(D$1="t",4,3),FALSE)*$C11</f>
        <v>0</v>
      </c>
      <c r="E11" s="114">
        <f>VLOOKUP($B11,Parts!$A:$G,IF(E$1="t",4,3),FALSE)*$C11</f>
        <v>0</v>
      </c>
      <c r="F11" s="114">
        <f>IFERROR(IF(A11=B11,0,VLOOKUP(A11,'Fan Summary'!A:E,2,FALSE))*C11,0)</f>
        <v>0</v>
      </c>
      <c r="G11" s="114" t="b">
        <f t="shared" si="0"/>
        <v>0</v>
      </c>
      <c r="I11" s="114"/>
    </row>
    <row r="12" spans="1:10" x14ac:dyDescent="0.4">
      <c r="A12" s="114" t="s">
        <v>1402</v>
      </c>
      <c r="B12" s="114" t="s">
        <v>999</v>
      </c>
      <c r="C12" s="114">
        <v>1</v>
      </c>
      <c r="D12" s="114">
        <f>VLOOKUP($B12,Parts!$A:$G,IF(D$1="t",4,3),FALSE)*$C12</f>
        <v>0</v>
      </c>
      <c r="E12" s="114">
        <f>VLOOKUP($B12,Parts!$A:$G,IF(E$1="t",4,3),FALSE)*$C12</f>
        <v>60</v>
      </c>
      <c r="F12" s="114">
        <f>IFERROR(IF(A12=B12,0,VLOOKUP(A12,'Fan Summary'!A:E,2,FALSE))*C12,0)</f>
        <v>0</v>
      </c>
      <c r="G12" s="114" t="b">
        <f t="shared" si="0"/>
        <v>0</v>
      </c>
      <c r="I12" s="114"/>
    </row>
    <row r="13" spans="1:10" x14ac:dyDescent="0.4">
      <c r="A13" s="114" t="s">
        <v>1402</v>
      </c>
      <c r="B13" s="114" t="s">
        <v>1000</v>
      </c>
      <c r="C13" s="114">
        <v>1</v>
      </c>
      <c r="D13" s="114">
        <f>VLOOKUP($B13,Parts!$A:$G,IF(D$1="t",4,3),FALSE)*$C13</f>
        <v>1</v>
      </c>
      <c r="E13" s="114">
        <f>VLOOKUP($B13,Parts!$A:$G,IF(E$1="t",4,3),FALSE)*$C13</f>
        <v>0</v>
      </c>
      <c r="F13" s="114">
        <f>IFERROR(IF(A13=B13,0,VLOOKUP(A13,'Fan Summary'!A:E,2,FALSE))*C13,0)</f>
        <v>0</v>
      </c>
      <c r="G13" s="114" t="b">
        <f t="shared" si="0"/>
        <v>0</v>
      </c>
      <c r="I13" s="114"/>
    </row>
    <row r="14" spans="1:10" x14ac:dyDescent="0.4">
      <c r="A14" s="114" t="s">
        <v>1403</v>
      </c>
      <c r="B14" s="114" t="s">
        <v>1403</v>
      </c>
      <c r="C14" s="114" t="s">
        <v>639</v>
      </c>
      <c r="D14" s="114">
        <f>SUM(D15)</f>
        <v>0.1</v>
      </c>
      <c r="E14" s="114">
        <f>SUM(E15)</f>
        <v>0.85</v>
      </c>
      <c r="F14" s="114">
        <f>IFERROR(IF(A14=B14,0,VLOOKUP(A14,'Fan Summary'!A:E,2,FALSE))*C14,0)</f>
        <v>0</v>
      </c>
      <c r="G14" s="114" t="b">
        <f t="shared" si="0"/>
        <v>1</v>
      </c>
      <c r="I14" s="114"/>
    </row>
    <row r="15" spans="1:10" x14ac:dyDescent="0.4">
      <c r="A15" s="114" t="s">
        <v>1403</v>
      </c>
      <c r="B15" s="114" t="s">
        <v>268</v>
      </c>
      <c r="C15" s="114">
        <v>1</v>
      </c>
      <c r="D15" s="114">
        <f>VLOOKUP($B15,Parts!$A:$G,IF(D$1="t",4,3),FALSE)*$C15</f>
        <v>0.1</v>
      </c>
      <c r="E15" s="114">
        <f>VLOOKUP($B15,Parts!$A:$G,IF(E$1="t",4,3),FALSE)*$C15</f>
        <v>0.85</v>
      </c>
      <c r="F15" s="114">
        <f>IFERROR(IF(A15=B15,0,VLOOKUP(A15,'Fan Summary'!A:E,2,FALSE))*C15,0)</f>
        <v>0</v>
      </c>
      <c r="G15" s="114" t="b">
        <f t="shared" si="0"/>
        <v>0</v>
      </c>
      <c r="I15" s="114"/>
    </row>
    <row r="16" spans="1:10" x14ac:dyDescent="0.4">
      <c r="A16" s="114" t="s">
        <v>1404</v>
      </c>
      <c r="B16" s="114" t="s">
        <v>1404</v>
      </c>
      <c r="C16" s="114" t="s">
        <v>639</v>
      </c>
      <c r="D16" s="114">
        <f>SUM(D17)</f>
        <v>0.1</v>
      </c>
      <c r="E16" s="114">
        <f>SUM(E17)</f>
        <v>0.28000000000000003</v>
      </c>
      <c r="F16" s="114">
        <f>IFERROR(IF(A16=B16,0,VLOOKUP(A16,'Fan Summary'!A:E,2,FALSE))*C16,0)</f>
        <v>0</v>
      </c>
      <c r="G16" s="114" t="b">
        <f t="shared" si="0"/>
        <v>1</v>
      </c>
      <c r="I16" s="114"/>
    </row>
    <row r="17" spans="1:9" x14ac:dyDescent="0.4">
      <c r="A17" s="114" t="s">
        <v>1404</v>
      </c>
      <c r="B17" s="114" t="s">
        <v>418</v>
      </c>
      <c r="C17" s="114">
        <v>1</v>
      </c>
      <c r="D17" s="114">
        <f>VLOOKUP($B17,Parts!$A:$G,IF(D$1="t",4,3),FALSE)*$C17</f>
        <v>0.1</v>
      </c>
      <c r="E17" s="114">
        <f>VLOOKUP($B17,Parts!$A:$G,IF(E$1="t",4,3),FALSE)*$C17</f>
        <v>0.28000000000000003</v>
      </c>
      <c r="F17" s="114">
        <f>IFERROR(IF(A17=B17,0,VLOOKUP(A17,'Fan Summary'!A:E,2,FALSE))*C17,0)</f>
        <v>0</v>
      </c>
      <c r="G17" s="114" t="b">
        <f t="shared" si="0"/>
        <v>0</v>
      </c>
      <c r="I17" s="114"/>
    </row>
    <row r="18" spans="1:9" x14ac:dyDescent="0.4">
      <c r="A18" s="114" t="s">
        <v>1405</v>
      </c>
      <c r="B18" s="114" t="s">
        <v>1405</v>
      </c>
      <c r="C18" s="114" t="s">
        <v>639</v>
      </c>
      <c r="D18" s="114">
        <f>SUM(D19)</f>
        <v>0.1</v>
      </c>
      <c r="E18" s="114">
        <f>SUM(E19)</f>
        <v>1.056</v>
      </c>
      <c r="F18" s="114">
        <f>IFERROR(IF(A18=B18,0,VLOOKUP(A18,'Fan Summary'!A:E,2,FALSE))*C18,0)</f>
        <v>0</v>
      </c>
      <c r="G18" s="114" t="b">
        <f t="shared" si="0"/>
        <v>1</v>
      </c>
      <c r="I18" s="114"/>
    </row>
    <row r="19" spans="1:9" x14ac:dyDescent="0.4">
      <c r="A19" s="114" t="s">
        <v>1405</v>
      </c>
      <c r="B19" s="114" t="s">
        <v>269</v>
      </c>
      <c r="C19" s="114">
        <v>1</v>
      </c>
      <c r="D19" s="114">
        <f>VLOOKUP($B19,Parts!$A:$G,IF(D$1="t",4,3),FALSE)*$C19</f>
        <v>0.1</v>
      </c>
      <c r="E19" s="114">
        <f>VLOOKUP($B19,Parts!$A:$G,IF(E$1="t",4,3),FALSE)*$C19</f>
        <v>1.056</v>
      </c>
      <c r="F19" s="114">
        <f>IFERROR(IF(A19=B19,0,VLOOKUP(A19,'Fan Summary'!A:E,2,FALSE))*C19,0)</f>
        <v>0</v>
      </c>
      <c r="G19" s="114" t="b">
        <f t="shared" si="0"/>
        <v>0</v>
      </c>
      <c r="I19" s="114"/>
    </row>
    <row r="20" spans="1:9" x14ac:dyDescent="0.4">
      <c r="A20" s="114" t="s">
        <v>1406</v>
      </c>
      <c r="B20" s="114" t="s">
        <v>1406</v>
      </c>
      <c r="C20" s="114" t="s">
        <v>639</v>
      </c>
      <c r="D20" s="114">
        <f>SUM(D21)</f>
        <v>0.1</v>
      </c>
      <c r="E20" s="114">
        <f>SUM(E21)</f>
        <v>3.48</v>
      </c>
      <c r="F20" s="114">
        <f>IFERROR(IF(A20=B20,0,VLOOKUP(A20,'Fan Summary'!A:E,2,FALSE))*C20,0)</f>
        <v>0</v>
      </c>
      <c r="G20" s="114" t="b">
        <f t="shared" si="0"/>
        <v>1</v>
      </c>
      <c r="I20" s="114"/>
    </row>
    <row r="21" spans="1:9" x14ac:dyDescent="0.4">
      <c r="A21" s="114" t="s">
        <v>1406</v>
      </c>
      <c r="B21" s="114" t="s">
        <v>267</v>
      </c>
      <c r="C21" s="114">
        <v>1</v>
      </c>
      <c r="D21" s="114">
        <f>VLOOKUP($B21,Parts!$A:$G,IF(D$1="t",4,3),FALSE)*$C21</f>
        <v>0.1</v>
      </c>
      <c r="E21" s="114">
        <f>VLOOKUP($B21,Parts!$A:$G,IF(E$1="t",4,3),FALSE)*$C21</f>
        <v>3.48</v>
      </c>
      <c r="F21" s="114">
        <f>IFERROR(IF(A21=B21,0,VLOOKUP(A21,'Fan Summary'!A:E,2,FALSE))*C21,0)</f>
        <v>0</v>
      </c>
      <c r="G21" s="114" t="b">
        <f t="shared" si="0"/>
        <v>0</v>
      </c>
      <c r="I21" s="114"/>
    </row>
    <row r="22" spans="1:9" x14ac:dyDescent="0.4">
      <c r="A22" s="114" t="s">
        <v>1407</v>
      </c>
      <c r="B22" s="114" t="s">
        <v>1407</v>
      </c>
      <c r="C22" s="114" t="s">
        <v>639</v>
      </c>
      <c r="D22" s="114">
        <f>SUM(D23)</f>
        <v>0.1</v>
      </c>
      <c r="E22" s="114">
        <f>SUM(E23)</f>
        <v>4.5599999999999996</v>
      </c>
      <c r="F22" s="114">
        <f>IFERROR(IF(A22=B22,0,VLOOKUP(A22,'Fan Summary'!A:E,2,FALSE))*C22,0)</f>
        <v>0</v>
      </c>
      <c r="G22" s="114" t="b">
        <f t="shared" si="0"/>
        <v>1</v>
      </c>
      <c r="I22" s="114"/>
    </row>
    <row r="23" spans="1:9" x14ac:dyDescent="0.4">
      <c r="A23" s="114" t="s">
        <v>1407</v>
      </c>
      <c r="B23" s="114" t="s">
        <v>266</v>
      </c>
      <c r="C23" s="114">
        <v>1</v>
      </c>
      <c r="D23" s="114">
        <f>VLOOKUP($B23,Parts!$A:$G,IF(D$1="t",4,3),FALSE)*$C23</f>
        <v>0.1</v>
      </c>
      <c r="E23" s="114">
        <f>VLOOKUP($B23,Parts!$A:$G,IF(E$1="t",4,3),FALSE)*$C23</f>
        <v>4.5599999999999996</v>
      </c>
      <c r="F23" s="114">
        <f>IFERROR(IF(A23=B23,0,VLOOKUP(A23,'Fan Summary'!A:E,2,FALSE))*C23,0)</f>
        <v>0</v>
      </c>
      <c r="G23" s="114" t="b">
        <f t="shared" si="0"/>
        <v>0</v>
      </c>
      <c r="I23" s="114"/>
    </row>
    <row r="24" spans="1:9" x14ac:dyDescent="0.4">
      <c r="A24" s="114" t="s">
        <v>1408</v>
      </c>
      <c r="B24" s="114" t="s">
        <v>1408</v>
      </c>
      <c r="C24" s="114" t="s">
        <v>639</v>
      </c>
      <c r="D24" s="114">
        <f>SUM(D25)</f>
        <v>0.1</v>
      </c>
      <c r="E24" s="114">
        <f>SUM(E25)</f>
        <v>2.4</v>
      </c>
      <c r="F24" s="114">
        <f>IFERROR(IF(A24=B24,0,VLOOKUP(A24,'Fan Summary'!A:E,2,FALSE))*C24,0)</f>
        <v>0</v>
      </c>
      <c r="G24" s="114" t="b">
        <f t="shared" si="0"/>
        <v>1</v>
      </c>
      <c r="I24" s="114"/>
    </row>
    <row r="25" spans="1:9" x14ac:dyDescent="0.4">
      <c r="A25" s="114" t="s">
        <v>1408</v>
      </c>
      <c r="B25" s="114" t="s">
        <v>360</v>
      </c>
      <c r="C25" s="114">
        <v>1</v>
      </c>
      <c r="D25" s="114">
        <f>VLOOKUP($B25,Parts!$A:$G,IF(D$1="t",4,3),FALSE)*$C25</f>
        <v>0.1</v>
      </c>
      <c r="E25" s="114">
        <f>VLOOKUP($B25,Parts!$A:$G,IF(E$1="t",4,3),FALSE)*$C25</f>
        <v>2.4</v>
      </c>
      <c r="F25" s="114">
        <f>IFERROR(IF(A25=B25,0,VLOOKUP(A25,'Fan Summary'!A:E,2,FALSE))*C25,0)</f>
        <v>0</v>
      </c>
      <c r="G25" s="114" t="b">
        <f t="shared" si="0"/>
        <v>0</v>
      </c>
      <c r="I25" s="114"/>
    </row>
    <row r="26" spans="1:9" x14ac:dyDescent="0.4">
      <c r="A26" s="114" t="s">
        <v>1409</v>
      </c>
      <c r="B26" s="114" t="s">
        <v>1409</v>
      </c>
      <c r="C26" s="114" t="s">
        <v>639</v>
      </c>
      <c r="D26" s="114">
        <f>SUM(D27)</f>
        <v>0.1</v>
      </c>
      <c r="E26" s="114">
        <f>SUM(E27)</f>
        <v>5.8</v>
      </c>
      <c r="F26" s="114">
        <f>IFERROR(IF(A26=B26,0,VLOOKUP(A26,'Fan Summary'!A:E,2,FALSE))*C26,0)</f>
        <v>0</v>
      </c>
      <c r="G26" s="114" t="b">
        <f t="shared" si="0"/>
        <v>1</v>
      </c>
      <c r="I26" s="114"/>
    </row>
    <row r="27" spans="1:9" x14ac:dyDescent="0.4">
      <c r="A27" s="114" t="s">
        <v>1409</v>
      </c>
      <c r="B27" s="114" t="s">
        <v>1254</v>
      </c>
      <c r="C27" s="114">
        <v>1</v>
      </c>
      <c r="D27" s="114">
        <f>VLOOKUP($B27,Parts!$A:$G,IF(D$1="t",4,3),FALSE)*$C27</f>
        <v>0.1</v>
      </c>
      <c r="E27" s="114">
        <f>VLOOKUP($B27,Parts!$A:$G,IF(E$1="t",4,3),FALSE)*$C27</f>
        <v>5.8</v>
      </c>
      <c r="F27" s="114">
        <f>IFERROR(IF(A27=B27,0,VLOOKUP(A27,'Fan Summary'!A:E,2,FALSE))*C27,0)</f>
        <v>0</v>
      </c>
      <c r="G27" s="114" t="b">
        <f t="shared" si="0"/>
        <v>0</v>
      </c>
      <c r="I27" s="114"/>
    </row>
    <row r="28" spans="1:9" x14ac:dyDescent="0.4">
      <c r="A28" s="114" t="s">
        <v>678</v>
      </c>
      <c r="B28" s="114" t="s">
        <v>678</v>
      </c>
      <c r="C28" s="114" t="s">
        <v>639</v>
      </c>
      <c r="D28" s="114">
        <f>SUM(D29:D36)</f>
        <v>2</v>
      </c>
      <c r="E28" s="114">
        <f>SUM(E29:E36)</f>
        <v>553.25</v>
      </c>
      <c r="F28" s="114">
        <f>IFERROR(IF(A28=B28,0,VLOOKUP(A28,'Fan Summary'!A:E,2,FALSE))*C28,0)</f>
        <v>0</v>
      </c>
      <c r="G28" s="114" t="b">
        <f t="shared" si="0"/>
        <v>1</v>
      </c>
      <c r="H28" t="s">
        <v>678</v>
      </c>
      <c r="I28" s="114"/>
    </row>
    <row r="29" spans="1:9" x14ac:dyDescent="0.4">
      <c r="A29" s="114" t="s">
        <v>678</v>
      </c>
      <c r="B29" s="114" t="s">
        <v>253</v>
      </c>
      <c r="C29" s="114">
        <v>1</v>
      </c>
      <c r="D29" s="114">
        <f>VLOOKUP($B29,Parts!$A:$G,IF(D$1="t",4,3),FALSE)*$C29</f>
        <v>0</v>
      </c>
      <c r="E29" s="114">
        <f>VLOOKUP($B29,Parts!$A:$G,IF(E$1="t",4,3),FALSE)*$C29</f>
        <v>8.4499999999999993</v>
      </c>
      <c r="F29" s="114">
        <f>IFERROR(IF(A29=B29,0,VLOOKUP(A29,'Fan Summary'!A:E,2,FALSE))*C29,0)</f>
        <v>0</v>
      </c>
      <c r="G29" s="114" t="b">
        <f t="shared" si="0"/>
        <v>0</v>
      </c>
      <c r="I29" s="114"/>
    </row>
    <row r="30" spans="1:9" x14ac:dyDescent="0.4">
      <c r="A30" s="114" t="s">
        <v>678</v>
      </c>
      <c r="B30" s="114" t="s">
        <v>998</v>
      </c>
      <c r="C30" s="114">
        <v>1</v>
      </c>
      <c r="D30" s="114">
        <f>VLOOKUP($B30,Parts!$A:$G,IF(D$1="t",4,3),FALSE)*$C30</f>
        <v>0</v>
      </c>
      <c r="E30" s="114">
        <f>VLOOKUP($B30,Parts!$A:$G,IF(E$1="t",4,3),FALSE)*$C30</f>
        <v>19.8</v>
      </c>
      <c r="F30" s="114">
        <f>IFERROR(IF(A30=B30,0,VLOOKUP(A30,'Fan Summary'!A:E,2,FALSE))*C30,0)</f>
        <v>0</v>
      </c>
      <c r="G30" s="114" t="b">
        <f t="shared" si="0"/>
        <v>0</v>
      </c>
      <c r="I30" s="114"/>
    </row>
    <row r="31" spans="1:9" x14ac:dyDescent="0.4">
      <c r="A31" s="114" t="s">
        <v>678</v>
      </c>
      <c r="B31" s="114" t="s">
        <v>268</v>
      </c>
      <c r="D31" s="114">
        <f>VLOOKUP($B31,Parts!$A:$G,IF(D$1="t",4,3),FALSE)*$C31</f>
        <v>0</v>
      </c>
      <c r="E31" s="114">
        <f>VLOOKUP($B31,Parts!$A:$G,IF(E$1="t",4,3),FALSE)*$C31</f>
        <v>0</v>
      </c>
      <c r="F31" s="114">
        <f>IFERROR(IF(A31=B31,0,VLOOKUP(A31,'Fan Summary'!A:E,2,FALSE))*C31,0)</f>
        <v>0</v>
      </c>
      <c r="G31" s="114" t="b">
        <f t="shared" si="0"/>
        <v>0</v>
      </c>
      <c r="I31" s="114"/>
    </row>
    <row r="32" spans="1:9" x14ac:dyDescent="0.4">
      <c r="A32" s="114" t="s">
        <v>678</v>
      </c>
      <c r="B32" s="114" t="s">
        <v>304</v>
      </c>
      <c r="C32" s="114">
        <v>1</v>
      </c>
      <c r="D32" s="114">
        <f>VLOOKUP($B32,Parts!$A:$G,IF(D$1="t",4,3),FALSE)*$C32</f>
        <v>1</v>
      </c>
      <c r="E32" s="114">
        <f>VLOOKUP($B32,Parts!$A:$G,IF(E$1="t",4,3),FALSE)*$C32</f>
        <v>57.95</v>
      </c>
      <c r="F32" s="114">
        <f>IFERROR(IF(A32=B32,0,VLOOKUP(A32,'Fan Summary'!A:E,2,FALSE))*C32,0)</f>
        <v>0</v>
      </c>
      <c r="G32" s="114" t="b">
        <f t="shared" si="0"/>
        <v>0</v>
      </c>
      <c r="I32" s="114"/>
    </row>
    <row r="33" spans="1:9" x14ac:dyDescent="0.4">
      <c r="A33" s="114" t="s">
        <v>678</v>
      </c>
      <c r="B33" s="114" t="s">
        <v>1344</v>
      </c>
      <c r="C33" s="114">
        <v>1</v>
      </c>
      <c r="D33" s="114">
        <f>VLOOKUP($B33,Parts!$A:$G,IF(D$1="t",4,3),FALSE)*$C33</f>
        <v>0</v>
      </c>
      <c r="E33" s="114">
        <f>VLOOKUP($B33,Parts!$A:$G,IF(E$1="t",4,3),FALSE)*$C33</f>
        <v>91.05</v>
      </c>
      <c r="F33" s="114">
        <f>IFERROR(IF(A33=B33,0,VLOOKUP(A33,'Fan Summary'!A:E,2,FALSE))*C33,0)</f>
        <v>0</v>
      </c>
      <c r="G33" s="114" t="b">
        <f t="shared" si="0"/>
        <v>0</v>
      </c>
      <c r="I33" s="114"/>
    </row>
    <row r="34" spans="1:9" x14ac:dyDescent="0.4">
      <c r="A34" s="114" t="s">
        <v>678</v>
      </c>
      <c r="B34" s="114" t="s">
        <v>1003</v>
      </c>
      <c r="C34" s="114">
        <v>1</v>
      </c>
      <c r="D34" s="114">
        <f>VLOOKUP($B34,Parts!$A:$G,IF(D$1="t",4,3),FALSE)*$C34</f>
        <v>0</v>
      </c>
      <c r="E34" s="114">
        <f>VLOOKUP($B34,Parts!$A:$G,IF(E$1="t",4,3),FALSE)*$C34</f>
        <v>16</v>
      </c>
      <c r="F34" s="114">
        <f>IFERROR(IF(A34=B34,0,VLOOKUP(A34,'Fan Summary'!A:E,2,FALSE))*C34,0)</f>
        <v>0</v>
      </c>
      <c r="G34" s="114" t="b">
        <f t="shared" si="0"/>
        <v>0</v>
      </c>
      <c r="I34" s="114"/>
    </row>
    <row r="35" spans="1:9" x14ac:dyDescent="0.4">
      <c r="A35" s="114" t="s">
        <v>678</v>
      </c>
      <c r="B35" s="114" t="s">
        <v>1004</v>
      </c>
      <c r="C35" s="114">
        <v>1</v>
      </c>
      <c r="D35" s="114">
        <f>VLOOKUP($B35,Parts!$A:$G,IF(D$1="t",4,3),FALSE)*$C35</f>
        <v>0</v>
      </c>
      <c r="E35" s="114">
        <f>VLOOKUP($B35,Parts!$A:$G,IF(E$1="t",4,3),FALSE)*$C35</f>
        <v>360</v>
      </c>
      <c r="F35" s="114">
        <f>IFERROR(IF(A35=B35,0,VLOOKUP(A35,'Fan Summary'!A:E,2,FALSE))*C35,0)</f>
        <v>0</v>
      </c>
      <c r="G35" s="114" t="b">
        <f t="shared" si="0"/>
        <v>0</v>
      </c>
      <c r="I35" s="114"/>
    </row>
    <row r="36" spans="1:9" x14ac:dyDescent="0.4">
      <c r="A36" s="114" t="s">
        <v>678</v>
      </c>
      <c r="B36" s="114" t="s">
        <v>1000</v>
      </c>
      <c r="C36" s="114">
        <v>1</v>
      </c>
      <c r="D36" s="114">
        <f>VLOOKUP($B36,Parts!$A:$G,IF(D$1="t",4,3),FALSE)*$C36</f>
        <v>1</v>
      </c>
      <c r="E36" s="114">
        <f>VLOOKUP($B36,Parts!$A:$G,IF(E$1="t",4,3),FALSE)*$C36</f>
        <v>0</v>
      </c>
      <c r="F36" s="114">
        <f>IFERROR(IF(A36=B36,0,VLOOKUP(A36,'Fan Summary'!A:E,2,FALSE))*C36,0)</f>
        <v>0</v>
      </c>
      <c r="G36" s="114" t="b">
        <f t="shared" si="0"/>
        <v>0</v>
      </c>
      <c r="I36" s="114"/>
    </row>
    <row r="37" spans="1:9" x14ac:dyDescent="0.4">
      <c r="A37" s="114" t="s">
        <v>982</v>
      </c>
      <c r="B37" s="114" t="s">
        <v>982</v>
      </c>
      <c r="C37" s="114" t="s">
        <v>639</v>
      </c>
      <c r="D37" s="114">
        <f>SUM(D38)</f>
        <v>0</v>
      </c>
      <c r="E37" s="114">
        <f>SUM(E38)</f>
        <v>0</v>
      </c>
      <c r="F37" s="114">
        <f>IFERROR(IF(A37=B37,0,VLOOKUP(A37,'Fan Summary'!A:E,2,FALSE))*C37,0)</f>
        <v>0</v>
      </c>
      <c r="G37" s="114" t="b">
        <f t="shared" si="0"/>
        <v>1</v>
      </c>
      <c r="H37" t="s">
        <v>1442</v>
      </c>
      <c r="I37" s="114"/>
    </row>
    <row r="38" spans="1:9" x14ac:dyDescent="0.4">
      <c r="A38" s="114" t="s">
        <v>982</v>
      </c>
      <c r="B38" s="114" t="s">
        <v>268</v>
      </c>
      <c r="D38" s="114">
        <f>VLOOKUP($B38,Parts!$A:$G,IF(D$1="t",4,3),FALSE)*$C38</f>
        <v>0</v>
      </c>
      <c r="E38" s="114">
        <f>VLOOKUP($B38,Parts!$A:$G,IF(E$1="t",4,3),FALSE)*$C38</f>
        <v>0</v>
      </c>
      <c r="F38" s="114">
        <f>IFERROR(IF(A38=B38,0,VLOOKUP(A38,'Fan Summary'!A:E,2,FALSE))*C38,0)</f>
        <v>0</v>
      </c>
      <c r="G38" s="114" t="b">
        <f t="shared" si="0"/>
        <v>0</v>
      </c>
      <c r="I38" s="114"/>
    </row>
    <row r="39" spans="1:9" x14ac:dyDescent="0.4">
      <c r="A39" s="114" t="s">
        <v>983</v>
      </c>
      <c r="B39" s="114" t="s">
        <v>983</v>
      </c>
      <c r="C39" s="114" t="s">
        <v>639</v>
      </c>
      <c r="D39" s="114">
        <f>SUM(D40:D41)</f>
        <v>0</v>
      </c>
      <c r="E39" s="114">
        <f>SUM(E40:E41)</f>
        <v>37.799999999999997</v>
      </c>
      <c r="F39" s="114">
        <f>IFERROR(IF(A39=B39,0,VLOOKUP(A39,'Fan Summary'!A:E,2,FALSE))*C39,0)</f>
        <v>0</v>
      </c>
      <c r="G39" s="114" t="b">
        <f t="shared" si="0"/>
        <v>1</v>
      </c>
      <c r="H39" t="str">
        <f>_xlfn.CONCAT(", ",A39)</f>
        <v>, Fire Shutdown</v>
      </c>
      <c r="I39" s="114"/>
    </row>
    <row r="40" spans="1:9" x14ac:dyDescent="0.4">
      <c r="A40" s="114" t="s">
        <v>983</v>
      </c>
      <c r="B40" s="114" t="s">
        <v>268</v>
      </c>
      <c r="D40" s="114">
        <f>VLOOKUP($B40,Parts!$A:$G,IF(D$1="t",4,3),FALSE)*$C40</f>
        <v>0</v>
      </c>
      <c r="E40" s="114">
        <f>VLOOKUP($B40,Parts!$A:$G,IF(E$1="t",4,3),FALSE)*$C40</f>
        <v>0</v>
      </c>
      <c r="F40" s="114">
        <f>IFERROR(IF(A40=B40,0,VLOOKUP(A40,'Fan Summary'!A:E,2,FALSE))*C40,0)</f>
        <v>0</v>
      </c>
      <c r="G40" s="114" t="b">
        <f t="shared" si="0"/>
        <v>0</v>
      </c>
      <c r="I40" s="114"/>
    </row>
    <row r="41" spans="1:9" x14ac:dyDescent="0.4">
      <c r="A41" s="114" t="s">
        <v>983</v>
      </c>
      <c r="B41" s="114" t="s">
        <v>1389</v>
      </c>
      <c r="C41" s="114">
        <v>1</v>
      </c>
      <c r="D41" s="114">
        <f>VLOOKUP($B41,Parts!$A:$G,IF(D$1="t",4,3),FALSE)*$C41</f>
        <v>0</v>
      </c>
      <c r="E41" s="114">
        <f>VLOOKUP($B41,Parts!$A:$G,IF(E$1="t",4,3),FALSE)*$C41</f>
        <v>37.799999999999997</v>
      </c>
      <c r="F41" s="114">
        <f>IFERROR(IF(A41=B41,0,VLOOKUP(A41,'Fan Summary'!A:E,2,FALSE))*C41,0)</f>
        <v>0</v>
      </c>
      <c r="G41" s="114" t="b">
        <f t="shared" si="0"/>
        <v>0</v>
      </c>
      <c r="I41" s="114"/>
    </row>
    <row r="42" spans="1:9" x14ac:dyDescent="0.4">
      <c r="A42" s="114" t="s">
        <v>984</v>
      </c>
      <c r="B42" s="114" t="s">
        <v>984</v>
      </c>
      <c r="C42" s="114" t="s">
        <v>639</v>
      </c>
      <c r="D42" s="114">
        <f>SUM(D43:D44)</f>
        <v>0</v>
      </c>
      <c r="E42" s="114">
        <f>SUM(E43:E44)</f>
        <v>24.2</v>
      </c>
      <c r="F42" s="114">
        <f>IFERROR(IF(A42=B42,0,VLOOKUP(A42,'Fan Summary'!A:E,2,FALSE))*C42,0)</f>
        <v>0</v>
      </c>
      <c r="G42" s="114" t="b">
        <f t="shared" si="0"/>
        <v>1</v>
      </c>
      <c r="H42" s="114" t="str">
        <f>_xlfn.CONCAT(", ",A42)</f>
        <v>, Interlock</v>
      </c>
      <c r="I42" s="114"/>
    </row>
    <row r="43" spans="1:9" x14ac:dyDescent="0.4">
      <c r="A43" s="114" t="s">
        <v>984</v>
      </c>
      <c r="B43" s="114" t="s">
        <v>418</v>
      </c>
      <c r="D43" s="114">
        <f>VLOOKUP($B43,Parts!$A:$G,IF(D$1="t",4,3),FALSE)*$C43</f>
        <v>0</v>
      </c>
      <c r="E43" s="114">
        <f>VLOOKUP($B43,Parts!$A:$G,IF(E$1="t",4,3),FALSE)*$C43</f>
        <v>0</v>
      </c>
      <c r="F43" s="114">
        <f>IFERROR(IF(A43=B43,0,VLOOKUP(A43,'Fan Summary'!A:E,2,FALSE))*C43,0)</f>
        <v>0</v>
      </c>
      <c r="G43" s="114" t="b">
        <f t="shared" si="0"/>
        <v>0</v>
      </c>
      <c r="I43" s="114"/>
    </row>
    <row r="44" spans="1:9" x14ac:dyDescent="0.4">
      <c r="A44" s="114" t="s">
        <v>984</v>
      </c>
      <c r="B44" s="114" t="s">
        <v>326</v>
      </c>
      <c r="C44" s="114">
        <v>1</v>
      </c>
      <c r="D44" s="114">
        <f>VLOOKUP($B44,Parts!$A:$G,IF(D$1="t",4,3),FALSE)*$C44</f>
        <v>0</v>
      </c>
      <c r="E44" s="114">
        <f>VLOOKUP($B44,Parts!$A:$G,IF(E$1="t",4,3),FALSE)*$C44</f>
        <v>24.2</v>
      </c>
      <c r="F44" s="114">
        <f>IFERROR(IF(A44=B44,0,VLOOKUP(A44,'Fan Summary'!A:E,2,FALSE))*C44,0)</f>
        <v>0</v>
      </c>
      <c r="G44" s="114" t="b">
        <f t="shared" si="0"/>
        <v>0</v>
      </c>
      <c r="I44" s="114"/>
    </row>
    <row r="45" spans="1:9" x14ac:dyDescent="0.4">
      <c r="A45" s="114" t="s">
        <v>992</v>
      </c>
      <c r="B45" s="114" t="s">
        <v>992</v>
      </c>
      <c r="C45" s="114" t="s">
        <v>639</v>
      </c>
      <c r="D45" s="114">
        <f>SUM(D46:D48)</f>
        <v>0</v>
      </c>
      <c r="E45" s="114">
        <f>SUM(E46:E48)</f>
        <v>47.599999999999994</v>
      </c>
      <c r="F45" s="114">
        <f>IFERROR(IF(A45=B45,0,VLOOKUP(A45,'Fan Summary'!A:E,2,FALSE))*C45,0)</f>
        <v>0</v>
      </c>
      <c r="G45" s="114" t="b">
        <f t="shared" si="0"/>
        <v>1</v>
      </c>
      <c r="H45" s="114" t="str">
        <f>_xlfn.CONCAT(", ",A45)</f>
        <v>, Interlock with Associated Units</v>
      </c>
      <c r="I45" s="114"/>
    </row>
    <row r="46" spans="1:9" x14ac:dyDescent="0.4">
      <c r="A46" s="114" t="s">
        <v>992</v>
      </c>
      <c r="B46" s="114" t="s">
        <v>831</v>
      </c>
      <c r="C46" s="114">
        <v>1</v>
      </c>
      <c r="D46" s="114">
        <f>VLOOKUP($B46,Parts!$A:$G,IF(D$1="t",4,3),FALSE)*$C46</f>
        <v>0</v>
      </c>
      <c r="E46" s="114">
        <f>VLOOKUP($B46,Parts!$A:$G,IF(E$1="t",4,3),FALSE)*$C46</f>
        <v>23.4</v>
      </c>
      <c r="F46" s="114">
        <f>IFERROR(IF(A46=B46,0,VLOOKUP(A46,'Fan Summary'!A:E,2,FALSE))*C46,0)</f>
        <v>0</v>
      </c>
      <c r="G46" s="114" t="b">
        <f t="shared" si="0"/>
        <v>0</v>
      </c>
      <c r="I46" s="114"/>
    </row>
    <row r="47" spans="1:9" x14ac:dyDescent="0.4">
      <c r="A47" s="114" t="s">
        <v>992</v>
      </c>
      <c r="B47" s="114" t="s">
        <v>697</v>
      </c>
      <c r="C47" s="114">
        <v>1</v>
      </c>
      <c r="D47" s="114">
        <f>VLOOKUP($B47,Parts!$A:$G,IF(D$1="t",4,3),FALSE)*$C47</f>
        <v>0</v>
      </c>
      <c r="E47" s="114">
        <f>VLOOKUP($B47,Parts!$A:$G,IF(E$1="t",4,3),FALSE)*$C47</f>
        <v>24.2</v>
      </c>
      <c r="F47" s="114">
        <f>IFERROR(IF(A47=B47,0,VLOOKUP(A47,'Fan Summary'!A:E,2,FALSE))*C47,0)</f>
        <v>0</v>
      </c>
      <c r="G47" s="114" t="b">
        <f t="shared" si="0"/>
        <v>0</v>
      </c>
      <c r="I47" s="114"/>
    </row>
    <row r="48" spans="1:9" x14ac:dyDescent="0.4">
      <c r="A48" s="114" t="s">
        <v>992</v>
      </c>
      <c r="B48" s="114" t="s">
        <v>418</v>
      </c>
      <c r="D48" s="114">
        <f>VLOOKUP($B48,Parts!$A:$G,IF(D$1="t",4,3),FALSE)*$C48</f>
        <v>0</v>
      </c>
      <c r="E48" s="114">
        <f>VLOOKUP($B48,Parts!$A:$G,IF(E$1="t",4,3),FALSE)*$C48</f>
        <v>0</v>
      </c>
      <c r="F48" s="114">
        <f>IFERROR(IF(A48=B48,0,VLOOKUP(A48,'Fan Summary'!A:E,2,FALSE))*C48,0)</f>
        <v>0</v>
      </c>
      <c r="G48" s="114" t="b">
        <f t="shared" si="0"/>
        <v>0</v>
      </c>
      <c r="I48" s="114"/>
    </row>
    <row r="49" spans="1:9" x14ac:dyDescent="0.4">
      <c r="A49" s="114" t="s">
        <v>991</v>
      </c>
      <c r="B49" s="114" t="s">
        <v>991</v>
      </c>
      <c r="C49" s="114" t="s">
        <v>639</v>
      </c>
      <c r="D49" s="114">
        <f>SUM(D50:D51)</f>
        <v>0</v>
      </c>
      <c r="E49" s="114">
        <f>SUM(E50:E51)</f>
        <v>24.2</v>
      </c>
      <c r="F49" s="114">
        <f>IFERROR(IF(A49=B49,0,VLOOKUP(A49,'Fan Summary'!A:E,2,FALSE))*C49,0)</f>
        <v>0</v>
      </c>
      <c r="G49" s="114" t="b">
        <f t="shared" si="0"/>
        <v>1</v>
      </c>
      <c r="H49" s="114" t="str">
        <f>_xlfn.CONCAT(", ",A49)</f>
        <v>, Interlock with Lighting Circuit</v>
      </c>
      <c r="I49" s="114"/>
    </row>
    <row r="50" spans="1:9" x14ac:dyDescent="0.4">
      <c r="A50" s="114" t="s">
        <v>991</v>
      </c>
      <c r="B50" s="114" t="s">
        <v>418</v>
      </c>
      <c r="D50" s="114">
        <f>VLOOKUP($B50,Parts!$A:$G,IF(D$1="t",4,3),FALSE)*$C50</f>
        <v>0</v>
      </c>
      <c r="E50" s="114">
        <f>VLOOKUP($B50,Parts!$A:$G,IF(E$1="t",4,3),FALSE)*$C50</f>
        <v>0</v>
      </c>
      <c r="F50" s="114">
        <f>IFERROR(IF(A50=B50,0,VLOOKUP(A50,'Fan Summary'!A:E,2,FALSE))*C50,0)</f>
        <v>0</v>
      </c>
      <c r="G50" s="114" t="b">
        <f t="shared" si="0"/>
        <v>0</v>
      </c>
      <c r="I50" s="114"/>
    </row>
    <row r="51" spans="1:9" x14ac:dyDescent="0.4">
      <c r="A51" s="114" t="s">
        <v>991</v>
      </c>
      <c r="B51" s="114" t="s">
        <v>326</v>
      </c>
      <c r="C51" s="114">
        <v>1</v>
      </c>
      <c r="D51" s="114">
        <f>VLOOKUP($B51,Parts!$A:$G,IF(D$1="t",4,3),FALSE)*$C51</f>
        <v>0</v>
      </c>
      <c r="E51" s="114">
        <f>VLOOKUP($B51,Parts!$A:$G,IF(E$1="t",4,3),FALSE)*$C51</f>
        <v>24.2</v>
      </c>
      <c r="F51" s="114">
        <f>IFERROR(IF(A51=B51,0,VLOOKUP(A51,'Fan Summary'!A:E,2,FALSE))*C51,0)</f>
        <v>0</v>
      </c>
      <c r="G51" s="114" t="b">
        <f t="shared" si="0"/>
        <v>0</v>
      </c>
      <c r="I51" s="114"/>
    </row>
    <row r="52" spans="1:9" x14ac:dyDescent="0.4">
      <c r="A52" s="114" t="s">
        <v>993</v>
      </c>
      <c r="B52" s="114" t="s">
        <v>993</v>
      </c>
      <c r="C52" s="114" t="s">
        <v>639</v>
      </c>
      <c r="D52" s="114">
        <f t="shared" ref="D52:E52" si="1">SUM(D53:D54)</f>
        <v>0</v>
      </c>
      <c r="E52" s="114">
        <f t="shared" si="1"/>
        <v>24.2</v>
      </c>
      <c r="F52" s="114">
        <f>IFERROR(IF(A52=B52,0,VLOOKUP(A52,'Fan Summary'!A:E,2,FALSE))*C52,0)</f>
        <v>0</v>
      </c>
      <c r="G52" s="114" t="b">
        <f t="shared" si="0"/>
        <v>1</v>
      </c>
      <c r="H52" s="114" t="str">
        <f>_xlfn.CONCAT(", ",A52)</f>
        <v>, Interlock with Local Switch</v>
      </c>
      <c r="I52" s="114"/>
    </row>
    <row r="53" spans="1:9" x14ac:dyDescent="0.4">
      <c r="A53" s="114" t="s">
        <v>993</v>
      </c>
      <c r="B53" s="114" t="s">
        <v>418</v>
      </c>
      <c r="D53" s="114">
        <f>VLOOKUP($B53,Parts!$A:$G,IF(D$1="t",4,3),FALSE)*$C53</f>
        <v>0</v>
      </c>
      <c r="E53" s="114">
        <f>VLOOKUP($B53,Parts!$A:$G,IF(E$1="t",4,3),FALSE)*$C53</f>
        <v>0</v>
      </c>
      <c r="F53" s="114">
        <f>IFERROR(IF(A53=B53,0,VLOOKUP(A53,'Fan Summary'!A:E,2,FALSE))*C53,0)</f>
        <v>0</v>
      </c>
      <c r="G53" s="114" t="b">
        <f t="shared" si="0"/>
        <v>0</v>
      </c>
      <c r="I53" s="114"/>
    </row>
    <row r="54" spans="1:9" x14ac:dyDescent="0.4">
      <c r="A54" s="114" t="s">
        <v>993</v>
      </c>
      <c r="B54" s="114" t="s">
        <v>326</v>
      </c>
      <c r="C54" s="114">
        <v>1</v>
      </c>
      <c r="D54" s="114">
        <f>VLOOKUP($B54,Parts!$A:$G,IF(D$1="t",4,3),FALSE)*$C54</f>
        <v>0</v>
      </c>
      <c r="E54" s="114">
        <f>VLOOKUP($B54,Parts!$A:$G,IF(E$1="t",4,3),FALSE)*$C54</f>
        <v>24.2</v>
      </c>
      <c r="F54" s="114">
        <f>IFERROR(IF(A54=B54,0,VLOOKUP(A54,'Fan Summary'!A:E,2,FALSE))*C54,0)</f>
        <v>0</v>
      </c>
      <c r="G54" s="114" t="b">
        <f t="shared" si="0"/>
        <v>0</v>
      </c>
      <c r="I54" s="114"/>
    </row>
    <row r="55" spans="1:9" x14ac:dyDescent="0.4">
      <c r="A55" s="114" t="s">
        <v>1419</v>
      </c>
      <c r="B55" s="114" t="s">
        <v>1419</v>
      </c>
      <c r="C55" s="114" t="s">
        <v>639</v>
      </c>
      <c r="D55" s="114">
        <f>SUM(D56:D58)</f>
        <v>0</v>
      </c>
      <c r="E55" s="114">
        <f>SUM(E56:E58)</f>
        <v>84.2</v>
      </c>
      <c r="F55" s="114">
        <f>IFERROR(IF(A55=B55,0,VLOOKUP(A55,'Fan Summary'!A:E,2,FALSE))*C55,0)</f>
        <v>0</v>
      </c>
      <c r="G55" s="114" t="b">
        <f t="shared" si="0"/>
        <v>1</v>
      </c>
      <c r="H55" s="114" t="s">
        <v>1443</v>
      </c>
      <c r="I55" s="114"/>
    </row>
    <row r="56" spans="1:9" x14ac:dyDescent="0.4">
      <c r="A56" s="114" t="s">
        <v>1419</v>
      </c>
      <c r="B56" s="114" t="s">
        <v>669</v>
      </c>
      <c r="C56" s="114">
        <v>1</v>
      </c>
      <c r="D56" s="114">
        <f>VLOOKUP($B56,Parts!$A:$G,IF(D$1="t",4,3),FALSE)*$C56</f>
        <v>0</v>
      </c>
      <c r="E56" s="114">
        <f>VLOOKUP($B56,Parts!$A:$G,IF(E$1="t",4,3),FALSE)*$C56</f>
        <v>60</v>
      </c>
      <c r="F56" s="114">
        <f>IFERROR(IF(A56=B56,0,VLOOKUP(A56,'Fan Summary'!A:E,2,FALSE))*C56,0)</f>
        <v>0</v>
      </c>
      <c r="G56" s="114" t="b">
        <f t="shared" si="0"/>
        <v>0</v>
      </c>
      <c r="I56" s="114"/>
    </row>
    <row r="57" spans="1:9" x14ac:dyDescent="0.4">
      <c r="A57" s="114" t="s">
        <v>1419</v>
      </c>
      <c r="B57" s="114" t="s">
        <v>418</v>
      </c>
      <c r="D57" s="114">
        <f>VLOOKUP($B57,Parts!$A:$G,IF(D$1="t",4,3),FALSE)*$C57</f>
        <v>0</v>
      </c>
      <c r="E57" s="114">
        <f>VLOOKUP($B57,Parts!$A:$G,IF(E$1="t",4,3),FALSE)*$C57</f>
        <v>0</v>
      </c>
      <c r="F57" s="114">
        <f>IFERROR(IF(A57=B57,0,VLOOKUP(A57,'Fan Summary'!A:E,2,FALSE))*C57,0)</f>
        <v>0</v>
      </c>
      <c r="G57" s="114" t="b">
        <f t="shared" si="0"/>
        <v>0</v>
      </c>
      <c r="I57" s="114"/>
    </row>
    <row r="58" spans="1:9" x14ac:dyDescent="0.4">
      <c r="A58" s="114" t="s">
        <v>1419</v>
      </c>
      <c r="B58" s="114" t="s">
        <v>326</v>
      </c>
      <c r="C58" s="114">
        <v>1</v>
      </c>
      <c r="D58" s="114">
        <f>VLOOKUP($B58,Parts!$A:$G,IF(D$1="t",4,3),FALSE)*$C58</f>
        <v>0</v>
      </c>
      <c r="E58" s="114">
        <f>VLOOKUP($B58,Parts!$A:$G,IF(E$1="t",4,3),FALSE)*$C58</f>
        <v>24.2</v>
      </c>
      <c r="F58" s="114">
        <f>IFERROR(IF(A58=B58,0,VLOOKUP(A58,'Fan Summary'!A:E,2,FALSE))*C58,0)</f>
        <v>0</v>
      </c>
      <c r="G58" s="114" t="b">
        <f t="shared" si="0"/>
        <v>0</v>
      </c>
      <c r="I58" s="114"/>
    </row>
    <row r="59" spans="1:9" x14ac:dyDescent="0.4">
      <c r="A59" s="114" t="s">
        <v>1418</v>
      </c>
      <c r="B59" s="114" t="s">
        <v>1418</v>
      </c>
      <c r="C59" s="114" t="s">
        <v>639</v>
      </c>
      <c r="D59" s="114">
        <f>SUM(D60:D62)</f>
        <v>0</v>
      </c>
      <c r="E59" s="114">
        <f>SUM(E60:E62)</f>
        <v>331.4</v>
      </c>
      <c r="F59" s="114">
        <f>IFERROR(IF(A59=B59,0,VLOOKUP(A59,'Fan Summary'!A:E,2,FALSE))*C59,0)</f>
        <v>0</v>
      </c>
      <c r="G59" s="114" t="b">
        <f t="shared" si="0"/>
        <v>1</v>
      </c>
      <c r="H59" s="114" t="s">
        <v>1444</v>
      </c>
      <c r="I59" s="114"/>
    </row>
    <row r="60" spans="1:9" x14ac:dyDescent="0.4">
      <c r="A60" s="114" t="s">
        <v>1418</v>
      </c>
      <c r="B60" s="114" t="s">
        <v>985</v>
      </c>
      <c r="C60" s="114">
        <v>1</v>
      </c>
      <c r="D60" s="114">
        <f>VLOOKUP($B60,Parts!$A:$G,IF(D$1="t",4,3),FALSE)*$C60</f>
        <v>0</v>
      </c>
      <c r="E60" s="114">
        <f>VLOOKUP($B60,Parts!$A:$G,IF(E$1="t",4,3),FALSE)*$C60</f>
        <v>307.2</v>
      </c>
      <c r="F60" s="114">
        <f>IFERROR(IF(A60=B60,0,VLOOKUP(A60,'Fan Summary'!A:E,2,FALSE))*C60,0)</f>
        <v>0</v>
      </c>
      <c r="G60" s="114" t="b">
        <f t="shared" si="0"/>
        <v>0</v>
      </c>
      <c r="I60" s="114"/>
    </row>
    <row r="61" spans="1:9" x14ac:dyDescent="0.4">
      <c r="A61" s="114" t="s">
        <v>1418</v>
      </c>
      <c r="B61" s="114" t="s">
        <v>418</v>
      </c>
      <c r="D61" s="114">
        <f>VLOOKUP($B61,Parts!$A:$G,IF(D$1="t",4,3),FALSE)*$C61</f>
        <v>0</v>
      </c>
      <c r="E61" s="114">
        <f>VLOOKUP($B61,Parts!$A:$G,IF(E$1="t",4,3),FALSE)*$C61</f>
        <v>0</v>
      </c>
      <c r="F61" s="114">
        <f>IFERROR(IF(A61=B61,0,VLOOKUP(A61,'Fan Summary'!A:E,2,FALSE))*C61,0)</f>
        <v>0</v>
      </c>
      <c r="G61" s="114" t="b">
        <f t="shared" si="0"/>
        <v>0</v>
      </c>
      <c r="I61" s="114"/>
    </row>
    <row r="62" spans="1:9" x14ac:dyDescent="0.4">
      <c r="A62" s="114" t="s">
        <v>1418</v>
      </c>
      <c r="B62" s="114" t="s">
        <v>326</v>
      </c>
      <c r="C62" s="114">
        <v>1</v>
      </c>
      <c r="D62" s="114">
        <f>VLOOKUP($B62,Parts!$A:$G,IF(D$1="t",4,3),FALSE)*$C62</f>
        <v>0</v>
      </c>
      <c r="E62" s="114">
        <f>VLOOKUP($B62,Parts!$A:$G,IF(E$1="t",4,3),FALSE)*$C62</f>
        <v>24.2</v>
      </c>
      <c r="F62" s="114">
        <f>IFERROR(IF(A62=B62,0,VLOOKUP(A62,'Fan Summary'!A:E,2,FALSE))*C62,0)</f>
        <v>0</v>
      </c>
      <c r="G62" s="114" t="b">
        <f t="shared" si="0"/>
        <v>0</v>
      </c>
      <c r="I62" s="114"/>
    </row>
    <row r="63" spans="1:9" x14ac:dyDescent="0.4">
      <c r="A63" s="114" t="s">
        <v>1417</v>
      </c>
      <c r="B63" s="114" t="s">
        <v>1417</v>
      </c>
      <c r="C63" s="114" t="s">
        <v>639</v>
      </c>
      <c r="D63" s="114">
        <f>SUM(D64)</f>
        <v>1</v>
      </c>
      <c r="E63" s="114">
        <f>SUM(E64)</f>
        <v>60</v>
      </c>
      <c r="F63" s="114">
        <f>IFERROR(IF(A63=B63,0,VLOOKUP(A63,'Fan Summary'!A:E,2,FALSE))*C63,0)</f>
        <v>0</v>
      </c>
      <c r="G63" s="114" t="b">
        <f t="shared" si="0"/>
        <v>1</v>
      </c>
      <c r="H63" s="114" t="s">
        <v>1445</v>
      </c>
      <c r="I63" s="114"/>
    </row>
    <row r="64" spans="1:9" x14ac:dyDescent="0.4">
      <c r="A64" s="114" t="s">
        <v>1417</v>
      </c>
      <c r="B64" s="114" t="s">
        <v>986</v>
      </c>
      <c r="C64" s="114">
        <v>1</v>
      </c>
      <c r="D64" s="114">
        <f>VLOOKUP($B64,Parts!$A:$G,IF(D$1="t",4,3),FALSE)*$C64</f>
        <v>1</v>
      </c>
      <c r="E64" s="114">
        <f>VLOOKUP($B64,Parts!$A:$G,IF(E$1="t",4,3),FALSE)*$C64</f>
        <v>60</v>
      </c>
      <c r="F64" s="114">
        <f>IFERROR(IF(A64=B64,0,VLOOKUP(A64,'Fan Summary'!A:E,2,FALSE))*C64,0)</f>
        <v>0</v>
      </c>
      <c r="G64" s="114" t="b">
        <f t="shared" si="0"/>
        <v>0</v>
      </c>
      <c r="I64" s="114"/>
    </row>
    <row r="65" spans="1:9" x14ac:dyDescent="0.4">
      <c r="A65" s="114" t="s">
        <v>1416</v>
      </c>
      <c r="B65" s="114" t="s">
        <v>1416</v>
      </c>
      <c r="C65" s="114" t="s">
        <v>639</v>
      </c>
      <c r="D65" s="114">
        <f>SUM(D66)</f>
        <v>2</v>
      </c>
      <c r="E65" s="114">
        <f>SUM(E66)</f>
        <v>80</v>
      </c>
      <c r="F65" s="114">
        <f>IFERROR(IF(A65=B65,0,VLOOKUP(A65,'Fan Summary'!A:E,2,FALSE))*C65,0)</f>
        <v>0</v>
      </c>
      <c r="G65" s="114" t="b">
        <f t="shared" si="0"/>
        <v>1</v>
      </c>
      <c r="H65" s="114" t="s">
        <v>1446</v>
      </c>
      <c r="I65" s="114"/>
    </row>
    <row r="66" spans="1:9" x14ac:dyDescent="0.4">
      <c r="A66" s="114" t="s">
        <v>1416</v>
      </c>
      <c r="B66" s="114" t="s">
        <v>588</v>
      </c>
      <c r="C66" s="114">
        <v>1</v>
      </c>
      <c r="D66" s="114">
        <f>VLOOKUP($B66,Parts!$A:$G,IF(D$1="t",4,3),FALSE)*$C66</f>
        <v>2</v>
      </c>
      <c r="E66" s="114">
        <f>VLOOKUP($B66,Parts!$A:$G,IF(E$1="t",4,3),FALSE)*$C66</f>
        <v>80</v>
      </c>
      <c r="F66" s="114">
        <f>IFERROR(IF(A66=B66,0,VLOOKUP(A66,'Fan Summary'!A:E,2,FALSE))*C66,0)</f>
        <v>0</v>
      </c>
      <c r="G66" s="114" t="b">
        <f t="shared" si="0"/>
        <v>0</v>
      </c>
      <c r="I66" s="114"/>
    </row>
    <row r="67" spans="1:9" x14ac:dyDescent="0.4">
      <c r="A67" s="114" t="s">
        <v>1415</v>
      </c>
      <c r="B67" s="114" t="s">
        <v>1415</v>
      </c>
      <c r="C67" s="114" t="s">
        <v>639</v>
      </c>
      <c r="D67" s="114">
        <f>SUM(D68)</f>
        <v>1</v>
      </c>
      <c r="E67" s="114">
        <f>SUM(E68)</f>
        <v>57.95</v>
      </c>
      <c r="F67" s="114">
        <f>IFERROR(IF(A67=B67,0,VLOOKUP(A67,'Fan Summary'!A:E,2,FALSE))*C67,0)</f>
        <v>0</v>
      </c>
      <c r="G67" s="114" t="b">
        <f t="shared" ref="G67:G102" si="2">A67=B67</f>
        <v>1</v>
      </c>
      <c r="H67" s="114" t="s">
        <v>1447</v>
      </c>
      <c r="I67" s="114"/>
    </row>
    <row r="68" spans="1:9" x14ac:dyDescent="0.4">
      <c r="A68" s="114" t="s">
        <v>1415</v>
      </c>
      <c r="B68" s="114" t="s">
        <v>304</v>
      </c>
      <c r="C68" s="114">
        <v>1</v>
      </c>
      <c r="D68" s="114">
        <f>VLOOKUP($B68,Parts!$A:$G,IF(D$1="t",4,3),FALSE)*$C68</f>
        <v>1</v>
      </c>
      <c r="E68" s="114">
        <f>VLOOKUP($B68,Parts!$A:$G,IF(E$1="t",4,3),FALSE)*$C68</f>
        <v>57.95</v>
      </c>
      <c r="F68" s="114">
        <f>IFERROR(IF(A68=B68,0,VLOOKUP(A68,'Fan Summary'!A:E,2,FALSE))*C68,0)</f>
        <v>0</v>
      </c>
      <c r="G68" s="114" t="b">
        <f t="shared" si="2"/>
        <v>0</v>
      </c>
      <c r="I68" s="114"/>
    </row>
    <row r="69" spans="1:9" x14ac:dyDescent="0.4">
      <c r="A69" s="114" t="s">
        <v>1414</v>
      </c>
      <c r="B69" s="114" t="s">
        <v>1414</v>
      </c>
      <c r="C69" s="114" t="s">
        <v>639</v>
      </c>
      <c r="D69" s="114">
        <f>SUM(D70:D71)</f>
        <v>0</v>
      </c>
      <c r="E69" s="114">
        <f>SUM(E70:E71)</f>
        <v>23.4</v>
      </c>
      <c r="F69" s="114">
        <f>IFERROR(IF(A69=B69,0,VLOOKUP(A69,'Fan Summary'!A:E,2,FALSE))*C69,0)</f>
        <v>0</v>
      </c>
      <c r="G69" s="114" t="b">
        <f t="shared" si="2"/>
        <v>1</v>
      </c>
      <c r="H69" s="114" t="s">
        <v>1448</v>
      </c>
      <c r="I69" s="114"/>
    </row>
    <row r="70" spans="1:9" x14ac:dyDescent="0.4">
      <c r="A70" s="114" t="s">
        <v>1414</v>
      </c>
      <c r="B70" s="114" t="s">
        <v>269</v>
      </c>
      <c r="D70" s="114">
        <f>VLOOKUP($B70,Parts!$A:$G,IF(D$1="t",4,3),FALSE)*$C70</f>
        <v>0</v>
      </c>
      <c r="E70" s="114">
        <f>VLOOKUP($B70,Parts!$A:$G,IF(E$1="t",4,3),FALSE)*$C70</f>
        <v>0</v>
      </c>
      <c r="F70" s="114">
        <f>IFERROR(IF(A70=B70,0,VLOOKUP(A70,'Fan Summary'!A:E,2,FALSE))*C70,0)</f>
        <v>0</v>
      </c>
      <c r="G70" s="114" t="b">
        <f t="shared" si="2"/>
        <v>0</v>
      </c>
      <c r="I70" s="114"/>
    </row>
    <row r="71" spans="1:9" x14ac:dyDescent="0.4">
      <c r="A71" s="114" t="s">
        <v>1414</v>
      </c>
      <c r="B71" s="114" t="s">
        <v>831</v>
      </c>
      <c r="C71" s="114">
        <v>1</v>
      </c>
      <c r="D71" s="114">
        <f>VLOOKUP($B71,Parts!$A:$G,IF(D$1="t",4,3),FALSE)*$C71</f>
        <v>0</v>
      </c>
      <c r="E71" s="114">
        <f>VLOOKUP($B71,Parts!$A:$G,IF(E$1="t",4,3),FALSE)*$C71</f>
        <v>23.4</v>
      </c>
      <c r="F71" s="114">
        <f>IFERROR(IF(A71=B71,0,VLOOKUP(A71,'Fan Summary'!A:E,2,FALSE))*C71,0)</f>
        <v>0</v>
      </c>
      <c r="G71" s="114" t="b">
        <f t="shared" si="2"/>
        <v>0</v>
      </c>
      <c r="I71" s="114"/>
    </row>
    <row r="72" spans="1:9" x14ac:dyDescent="0.4">
      <c r="A72" s="114" t="s">
        <v>1413</v>
      </c>
      <c r="B72" s="114" t="s">
        <v>1413</v>
      </c>
      <c r="C72" s="114" t="s">
        <v>639</v>
      </c>
      <c r="D72" s="114">
        <f>SUM(D73:D83)</f>
        <v>3</v>
      </c>
      <c r="E72" s="114">
        <f>SUM(E73:E83)</f>
        <v>1587.5600000000002</v>
      </c>
      <c r="F72" s="114">
        <f>IFERROR(IF(A72=B72,0,VLOOKUP(A72,'Fan Summary'!A:E,2,FALSE))*C72,0)</f>
        <v>0</v>
      </c>
      <c r="G72" s="114" t="b">
        <f t="shared" si="2"/>
        <v>1</v>
      </c>
      <c r="H72" s="114" t="s">
        <v>1449</v>
      </c>
      <c r="I72" s="114"/>
    </row>
    <row r="73" spans="1:9" x14ac:dyDescent="0.4">
      <c r="A73" s="114" t="s">
        <v>1413</v>
      </c>
      <c r="B73" s="114" t="s">
        <v>268</v>
      </c>
      <c r="D73" s="114">
        <f>VLOOKUP($B73,Parts!$A:$G,IF(D$1="t",4,3),FALSE)*$C73</f>
        <v>0</v>
      </c>
      <c r="E73" s="114">
        <f>VLOOKUP($B73,Parts!$A:$G,IF(E$1="t",4,3),FALSE)*$C73</f>
        <v>0</v>
      </c>
      <c r="F73" s="114">
        <f>IFERROR(IF(A73=B73,0,VLOOKUP(A73,'Fan Summary'!A:E,2,FALSE))*C73,0)</f>
        <v>0</v>
      </c>
      <c r="G73" s="114" t="b">
        <f t="shared" si="2"/>
        <v>0</v>
      </c>
      <c r="I73" s="114"/>
    </row>
    <row r="74" spans="1:9" x14ac:dyDescent="0.4">
      <c r="A74" s="114" t="s">
        <v>1413</v>
      </c>
      <c r="B74" s="114" t="s">
        <v>268</v>
      </c>
      <c r="D74" s="114">
        <f>VLOOKUP($B74,Parts!$A:$G,IF(D$1="t",4,3),FALSE)*$C74</f>
        <v>0</v>
      </c>
      <c r="E74" s="114">
        <f>VLOOKUP($B74,Parts!$A:$G,IF(E$1="t",4,3),FALSE)*$C74</f>
        <v>0</v>
      </c>
      <c r="F74" s="114">
        <f>IFERROR(IF(A74=B74,0,VLOOKUP(A74,'Fan Summary'!A:E,2,FALSE))*C74,0)</f>
        <v>0</v>
      </c>
      <c r="G74" s="114" t="b">
        <f t="shared" si="2"/>
        <v>0</v>
      </c>
      <c r="I74" s="114"/>
    </row>
    <row r="75" spans="1:9" x14ac:dyDescent="0.4">
      <c r="A75" s="114" t="s">
        <v>1413</v>
      </c>
      <c r="B75" s="114" t="s">
        <v>418</v>
      </c>
      <c r="D75" s="114">
        <f>VLOOKUP($B75,Parts!$A:$G,IF(D$1="t",4,3),FALSE)*$C75</f>
        <v>0</v>
      </c>
      <c r="E75" s="114">
        <f>VLOOKUP($B75,Parts!$A:$G,IF(E$1="t",4,3),FALSE)*$C75</f>
        <v>0</v>
      </c>
      <c r="F75" s="114">
        <f>IFERROR(IF(A75=B75,0,VLOOKUP(A75,'Fan Summary'!A:E,2,FALSE))*C75,0)</f>
        <v>0</v>
      </c>
      <c r="G75" s="114" t="b">
        <f t="shared" si="2"/>
        <v>0</v>
      </c>
      <c r="I75" s="114"/>
    </row>
    <row r="76" spans="1:9" x14ac:dyDescent="0.4">
      <c r="A76" s="114" t="s">
        <v>1413</v>
      </c>
      <c r="B76" s="114" t="s">
        <v>1250</v>
      </c>
      <c r="C76" s="114">
        <v>1</v>
      </c>
      <c r="D76" s="114">
        <f>VLOOKUP($B76,Parts!$A:$G,IF(D$1="t",4,3),FALSE)*$C76</f>
        <v>2</v>
      </c>
      <c r="E76" s="114">
        <f>VLOOKUP($B76,Parts!$A:$G,IF(E$1="t",4,3),FALSE)*$C76</f>
        <v>971.52</v>
      </c>
      <c r="F76" s="114">
        <f>IFERROR(IF(A76=B76,0,VLOOKUP(A76,'Fan Summary'!A:E,2,FALSE))*C76,0)</f>
        <v>0</v>
      </c>
      <c r="G76" s="114" t="b">
        <f t="shared" si="2"/>
        <v>0</v>
      </c>
      <c r="I76" s="114"/>
    </row>
    <row r="77" spans="1:9" x14ac:dyDescent="0.4">
      <c r="A77" s="114" t="s">
        <v>1413</v>
      </c>
      <c r="B77" s="114" t="s">
        <v>1040</v>
      </c>
      <c r="C77" s="114">
        <v>1</v>
      </c>
      <c r="D77" s="114">
        <f>VLOOKUP($B77,Parts!$A:$G,IF(D$1="t",4,3),FALSE)*$C77</f>
        <v>0</v>
      </c>
      <c r="E77" s="114">
        <f>VLOOKUP($B77,Parts!$A:$G,IF(E$1="t",4,3),FALSE)*$C77</f>
        <v>43.44</v>
      </c>
      <c r="F77" s="114">
        <f>IFERROR(IF(A77=B77,0,VLOOKUP(A77,'Fan Summary'!A:E,2,FALSE))*C77,0)</f>
        <v>0</v>
      </c>
      <c r="G77" s="114" t="b">
        <f t="shared" si="2"/>
        <v>0</v>
      </c>
      <c r="I77" s="114"/>
    </row>
    <row r="78" spans="1:9" x14ac:dyDescent="0.4">
      <c r="A78" s="114" t="s">
        <v>1413</v>
      </c>
      <c r="B78" s="114" t="s">
        <v>1344</v>
      </c>
      <c r="C78" s="114">
        <v>1</v>
      </c>
      <c r="D78" s="114">
        <f>VLOOKUP($B78,Parts!$A:$G,IF(D$1="t",4,3),FALSE)*$C78</f>
        <v>0</v>
      </c>
      <c r="E78" s="114">
        <f>VLOOKUP($B78,Parts!$A:$G,IF(E$1="t",4,3),FALSE)*$C78</f>
        <v>91.05</v>
      </c>
      <c r="F78" s="114">
        <f>IFERROR(IF(A78=B78,0,VLOOKUP(A78,'Fan Summary'!A:E,2,FALSE))*C78,0)</f>
        <v>0</v>
      </c>
      <c r="G78" s="114" t="b">
        <f t="shared" si="2"/>
        <v>0</v>
      </c>
      <c r="I78" s="114"/>
    </row>
    <row r="79" spans="1:9" x14ac:dyDescent="0.4">
      <c r="A79" s="114" t="s">
        <v>1413</v>
      </c>
      <c r="B79" s="114" t="s">
        <v>326</v>
      </c>
      <c r="C79" s="114">
        <v>1</v>
      </c>
      <c r="D79" s="114">
        <f>VLOOKUP($B79,Parts!$A:$G,IF(D$1="t",4,3),FALSE)*$C79</f>
        <v>0</v>
      </c>
      <c r="E79" s="114">
        <f>VLOOKUP($B79,Parts!$A:$G,IF(E$1="t",4,3),FALSE)*$C79</f>
        <v>24.2</v>
      </c>
      <c r="F79" s="114">
        <f>IFERROR(IF(A79=B79,0,VLOOKUP(A79,'Fan Summary'!A:E,2,FALSE))*C79,0)</f>
        <v>0</v>
      </c>
      <c r="G79" s="114" t="b">
        <f t="shared" si="2"/>
        <v>0</v>
      </c>
      <c r="I79" s="114"/>
    </row>
    <row r="80" spans="1:9" x14ac:dyDescent="0.4">
      <c r="A80" s="114" t="s">
        <v>1413</v>
      </c>
      <c r="B80" s="114" t="s">
        <v>1003</v>
      </c>
      <c r="C80" s="114">
        <v>1</v>
      </c>
      <c r="D80" s="114">
        <f>VLOOKUP($B80,Parts!$A:$G,IF(D$1="t",4,3),FALSE)*$C80</f>
        <v>0</v>
      </c>
      <c r="E80" s="114">
        <f>VLOOKUP($B80,Parts!$A:$G,IF(E$1="t",4,3),FALSE)*$C80</f>
        <v>16</v>
      </c>
      <c r="F80" s="114">
        <f>IFERROR(IF(A80=B80,0,VLOOKUP(A80,'Fan Summary'!A:E,2,FALSE))*C80,0)</f>
        <v>0</v>
      </c>
      <c r="G80" s="114" t="b">
        <f t="shared" si="2"/>
        <v>0</v>
      </c>
      <c r="I80" s="114"/>
    </row>
    <row r="81" spans="1:9" x14ac:dyDescent="0.4">
      <c r="A81" s="114" t="s">
        <v>1413</v>
      </c>
      <c r="B81" s="114" t="s">
        <v>831</v>
      </c>
      <c r="C81" s="114">
        <v>1</v>
      </c>
      <c r="D81" s="114">
        <f>VLOOKUP($B81,Parts!$A:$G,IF(D$1="t",4,3),FALSE)*$C81</f>
        <v>0</v>
      </c>
      <c r="E81" s="114">
        <f>VLOOKUP($B81,Parts!$A:$G,IF(E$1="t",4,3),FALSE)*$C81</f>
        <v>23.4</v>
      </c>
      <c r="F81" s="114">
        <f>IFERROR(IF(A81=B81,0,VLOOKUP(A81,'Fan Summary'!A:E,2,FALSE))*C81,0)</f>
        <v>0</v>
      </c>
      <c r="G81" s="114" t="b">
        <f t="shared" si="2"/>
        <v>0</v>
      </c>
      <c r="I81" s="114"/>
    </row>
    <row r="82" spans="1:9" x14ac:dyDescent="0.4">
      <c r="A82" s="114" t="s">
        <v>1413</v>
      </c>
      <c r="B82" s="114" t="s">
        <v>304</v>
      </c>
      <c r="C82" s="114">
        <v>1</v>
      </c>
      <c r="D82" s="114">
        <f>VLOOKUP($B82,Parts!$A:$G,IF(D$1="t",4,3),FALSE)*$C82</f>
        <v>1</v>
      </c>
      <c r="E82" s="114">
        <f>VLOOKUP($B82,Parts!$A:$G,IF(E$1="t",4,3),FALSE)*$C82</f>
        <v>57.95</v>
      </c>
      <c r="F82" s="114">
        <f>IFERROR(IF(A82=B82,0,VLOOKUP(A82,'Fan Summary'!A:E,2,FALSE))*C82,0)</f>
        <v>0</v>
      </c>
      <c r="G82" s="114" t="b">
        <f t="shared" si="2"/>
        <v>0</v>
      </c>
      <c r="I82" s="114"/>
    </row>
    <row r="83" spans="1:9" x14ac:dyDescent="0.4">
      <c r="A83" s="114" t="s">
        <v>1413</v>
      </c>
      <c r="B83" s="114" t="s">
        <v>1004</v>
      </c>
      <c r="C83" s="114">
        <v>1</v>
      </c>
      <c r="D83" s="114">
        <f>VLOOKUP($B83,Parts!$A:$G,IF(D$1="t",4,3),FALSE)*$C83</f>
        <v>0</v>
      </c>
      <c r="E83" s="114">
        <f>VLOOKUP($B83,Parts!$A:$G,IF(E$1="t",4,3),FALSE)*$C83</f>
        <v>360</v>
      </c>
      <c r="F83" s="114">
        <f>IFERROR(IF(A83=B83,0,VLOOKUP(A83,'Fan Summary'!A:E,2,FALSE))*C83,0)</f>
        <v>0</v>
      </c>
      <c r="G83" s="114" t="b">
        <f t="shared" si="2"/>
        <v>0</v>
      </c>
      <c r="I83" s="114"/>
    </row>
    <row r="84" spans="1:9" x14ac:dyDescent="0.4">
      <c r="A84" s="114" t="s">
        <v>1412</v>
      </c>
      <c r="B84" s="114" t="s">
        <v>1412</v>
      </c>
      <c r="C84" s="114" t="s">
        <v>639</v>
      </c>
      <c r="D84" s="114">
        <f>SUM(D85:D87)</f>
        <v>0</v>
      </c>
      <c r="E84" s="114">
        <f>SUM(E85:E87)</f>
        <v>39.4</v>
      </c>
      <c r="F84" s="114">
        <f>IFERROR(IF(A84=B84,0,VLOOKUP(A84,'Fan Summary'!A:E,2,FALSE))*C84,0)</f>
        <v>0</v>
      </c>
      <c r="G84" s="114" t="b">
        <f t="shared" si="2"/>
        <v>1</v>
      </c>
      <c r="H84" s="114" t="s">
        <v>1450</v>
      </c>
      <c r="I84" s="114"/>
    </row>
    <row r="85" spans="1:9" x14ac:dyDescent="0.4">
      <c r="A85" s="114" t="s">
        <v>1412</v>
      </c>
      <c r="B85" s="114" t="s">
        <v>269</v>
      </c>
      <c r="D85" s="114">
        <f>VLOOKUP($B85,Parts!$A:$G,IF(D$1="t",4,3),FALSE)*$C85</f>
        <v>0</v>
      </c>
      <c r="E85" s="114">
        <f>VLOOKUP($B85,Parts!$A:$G,IF(E$1="t",4,3),FALSE)*$C85</f>
        <v>0</v>
      </c>
      <c r="F85" s="114">
        <f>IFERROR(IF(A85=B85,0,VLOOKUP(A85,'Fan Summary'!A:E,2,FALSE))*C85,0)</f>
        <v>0</v>
      </c>
      <c r="G85" s="114" t="b">
        <f t="shared" si="2"/>
        <v>0</v>
      </c>
      <c r="I85" s="114"/>
    </row>
    <row r="86" spans="1:9" x14ac:dyDescent="0.4">
      <c r="A86" s="114" t="s">
        <v>1412</v>
      </c>
      <c r="B86" s="114" t="s">
        <v>831</v>
      </c>
      <c r="C86" s="114">
        <v>1</v>
      </c>
      <c r="D86" s="114">
        <f>VLOOKUP($B86,Parts!$A:$G,IF(D$1="t",4,3),FALSE)*$C86</f>
        <v>0</v>
      </c>
      <c r="E86" s="114">
        <f>VLOOKUP($B86,Parts!$A:$G,IF(E$1="t",4,3),FALSE)*$C86</f>
        <v>23.4</v>
      </c>
      <c r="F86" s="114">
        <f>IFERROR(IF(A86=B86,0,VLOOKUP(A86,'Fan Summary'!A:E,2,FALSE))*C86,0)</f>
        <v>0</v>
      </c>
      <c r="G86" s="114" t="b">
        <f t="shared" si="2"/>
        <v>0</v>
      </c>
      <c r="I86" s="114"/>
    </row>
    <row r="87" spans="1:9" x14ac:dyDescent="0.4">
      <c r="A87" s="114" t="s">
        <v>1412</v>
      </c>
      <c r="B87" s="114" t="s">
        <v>1003</v>
      </c>
      <c r="C87" s="114">
        <v>1</v>
      </c>
      <c r="D87" s="114">
        <f>VLOOKUP($B87,Parts!$A:$G,IF(D$1="t",4,3),FALSE)*$C87</f>
        <v>0</v>
      </c>
      <c r="E87" s="114">
        <f>VLOOKUP($B87,Parts!$A:$G,IF(E$1="t",4,3),FALSE)*$C87</f>
        <v>16</v>
      </c>
      <c r="F87" s="114">
        <f>IFERROR(IF(A87=B87,0,VLOOKUP(A87,'Fan Summary'!A:E,2,FALSE))*C87,0)</f>
        <v>0</v>
      </c>
      <c r="G87" s="114" t="b">
        <f t="shared" si="2"/>
        <v>0</v>
      </c>
      <c r="I87" s="114"/>
    </row>
    <row r="88" spans="1:9" x14ac:dyDescent="0.4">
      <c r="A88" s="114" t="s">
        <v>1411</v>
      </c>
      <c r="B88" s="114" t="s">
        <v>1411</v>
      </c>
      <c r="C88" s="114" t="s">
        <v>639</v>
      </c>
      <c r="D88" s="114">
        <f>SUM(D89:D102)</f>
        <v>5</v>
      </c>
      <c r="E88" s="114">
        <f>SUM(E89:E102)</f>
        <v>1736.0800000000002</v>
      </c>
      <c r="F88" s="114">
        <f>IFERROR(IF(A88=B88,0,VLOOKUP(A88,'Fan Summary'!A:E,2,FALSE))*C88,0)</f>
        <v>0</v>
      </c>
      <c r="G88" s="114" t="b">
        <f t="shared" si="2"/>
        <v>1</v>
      </c>
      <c r="H88" s="114" t="s">
        <v>1451</v>
      </c>
      <c r="I88" s="114"/>
    </row>
    <row r="89" spans="1:9" x14ac:dyDescent="0.4">
      <c r="A89" s="114" t="s">
        <v>1411</v>
      </c>
      <c r="B89" s="114" t="s">
        <v>1040</v>
      </c>
      <c r="C89" s="114">
        <v>1</v>
      </c>
      <c r="D89" s="114">
        <f>VLOOKUP($B89,Parts!$A:$G,IF(D$1="t",4,3),FALSE)*$C89</f>
        <v>0</v>
      </c>
      <c r="E89" s="114">
        <f>VLOOKUP($B89,Parts!$A:$G,IF(E$1="t",4,3),FALSE)*$C89</f>
        <v>43.44</v>
      </c>
      <c r="F89" s="114">
        <f>IFERROR(IF(A89=B89,0,VLOOKUP(A89,'Fan Summary'!A:E,2,FALSE))*C89,0)</f>
        <v>0</v>
      </c>
      <c r="G89" s="114" t="b">
        <f t="shared" si="2"/>
        <v>0</v>
      </c>
      <c r="I89" s="114"/>
    </row>
    <row r="90" spans="1:9" x14ac:dyDescent="0.4">
      <c r="A90" s="114" t="s">
        <v>1411</v>
      </c>
      <c r="B90" s="114" t="s">
        <v>1039</v>
      </c>
      <c r="C90" s="114">
        <v>1</v>
      </c>
      <c r="D90" s="114">
        <f>VLOOKUP($B90,Parts!$A:$G,IF(D$1="t",4,3),FALSE)*$C90</f>
        <v>0</v>
      </c>
      <c r="E90" s="114">
        <f>VLOOKUP($B90,Parts!$A:$G,IF(E$1="t",4,3),FALSE)*$C90</f>
        <v>46.46</v>
      </c>
      <c r="F90" s="114">
        <f>IFERROR(IF(A90=B90,0,VLOOKUP(A90,'Fan Summary'!A:E,2,FALSE))*C90,0)</f>
        <v>0</v>
      </c>
      <c r="G90" s="114" t="b">
        <f t="shared" si="2"/>
        <v>0</v>
      </c>
      <c r="I90" s="114"/>
    </row>
    <row r="91" spans="1:9" x14ac:dyDescent="0.4">
      <c r="A91" s="114" t="s">
        <v>1411</v>
      </c>
      <c r="B91" s="114" t="s">
        <v>1250</v>
      </c>
      <c r="C91" s="114">
        <v>1</v>
      </c>
      <c r="D91" s="114">
        <f>VLOOKUP($B91,Parts!$A:$G,IF(D$1="t",4,3),FALSE)*$C91</f>
        <v>2</v>
      </c>
      <c r="E91" s="114">
        <f>VLOOKUP($B91,Parts!$A:$G,IF(E$1="t",4,3),FALSE)*$C91</f>
        <v>971.52</v>
      </c>
      <c r="F91" s="114">
        <f>IFERROR(IF(A91=B91,0,VLOOKUP(A91,'Fan Summary'!A:E,2,FALSE))*C91,0)</f>
        <v>0</v>
      </c>
      <c r="G91" s="114" t="b">
        <f t="shared" si="2"/>
        <v>0</v>
      </c>
      <c r="I91" s="114"/>
    </row>
    <row r="92" spans="1:9" x14ac:dyDescent="0.4">
      <c r="A92" s="114" t="s">
        <v>1411</v>
      </c>
      <c r="B92" s="114" t="s">
        <v>999</v>
      </c>
      <c r="C92" s="114">
        <v>1</v>
      </c>
      <c r="D92" s="114">
        <f>VLOOKUP($B92,Parts!$A:$G,IF(D$1="t",4,3),FALSE)*$C92</f>
        <v>0</v>
      </c>
      <c r="E92" s="114">
        <f>VLOOKUP($B92,Parts!$A:$G,IF(E$1="t",4,3),FALSE)*$C92</f>
        <v>60</v>
      </c>
      <c r="F92" s="114">
        <f>IFERROR(IF(A92=B92,0,VLOOKUP(A92,'Fan Summary'!A:E,2,FALSE))*C92,0)</f>
        <v>0</v>
      </c>
      <c r="G92" s="114" t="b">
        <f t="shared" si="2"/>
        <v>0</v>
      </c>
      <c r="I92" s="114"/>
    </row>
    <row r="93" spans="1:9" x14ac:dyDescent="0.4">
      <c r="A93" s="114" t="s">
        <v>1411</v>
      </c>
      <c r="B93" s="114" t="s">
        <v>1290</v>
      </c>
      <c r="C93" s="114">
        <v>1</v>
      </c>
      <c r="D93" s="114">
        <f>VLOOKUP($B93,Parts!$A:$G,IF(D$1="t",4,3),FALSE)*$C93</f>
        <v>1</v>
      </c>
      <c r="E93" s="114">
        <f>VLOOKUP($B93,Parts!$A:$G,IF(E$1="t",4,3),FALSE)*$C93</f>
        <v>47</v>
      </c>
      <c r="F93" s="114">
        <f>IFERROR(IF(A93=B93,0,VLOOKUP(A93,'Fan Summary'!A:E,2,FALSE))*C93,0)</f>
        <v>0</v>
      </c>
      <c r="G93" s="114" t="b">
        <f t="shared" si="2"/>
        <v>0</v>
      </c>
      <c r="I93" s="114"/>
    </row>
    <row r="94" spans="1:9" x14ac:dyDescent="0.4">
      <c r="A94" s="114" t="s">
        <v>1411</v>
      </c>
      <c r="B94" s="114" t="s">
        <v>1291</v>
      </c>
      <c r="C94" s="114">
        <v>1</v>
      </c>
      <c r="D94" s="114">
        <f>VLOOKUP($B94,Parts!$A:$G,IF(D$1="t",4,3),FALSE)*$C94</f>
        <v>1</v>
      </c>
      <c r="E94" s="114">
        <f>VLOOKUP($B94,Parts!$A:$G,IF(E$1="t",4,3),FALSE)*$C94</f>
        <v>420</v>
      </c>
      <c r="F94" s="114">
        <f>IFERROR(IF(A94=B94,0,VLOOKUP(A94,'Fan Summary'!A:E,2,FALSE))*C94,0)</f>
        <v>0</v>
      </c>
      <c r="G94" s="114" t="b">
        <f t="shared" si="2"/>
        <v>0</v>
      </c>
      <c r="I94" s="114"/>
    </row>
    <row r="95" spans="1:9" x14ac:dyDescent="0.4">
      <c r="A95" s="114" t="s">
        <v>1411</v>
      </c>
      <c r="B95" s="114" t="s">
        <v>1003</v>
      </c>
      <c r="C95" s="114">
        <v>1</v>
      </c>
      <c r="D95" s="114">
        <f>VLOOKUP($B95,Parts!$A:$G,IF(D$1="t",4,3),FALSE)*$C95</f>
        <v>0</v>
      </c>
      <c r="E95" s="114">
        <f>VLOOKUP($B95,Parts!$A:$G,IF(E$1="t",4,3),FALSE)*$C95</f>
        <v>16</v>
      </c>
      <c r="F95" s="114">
        <f>IFERROR(IF(A95=B95,0,VLOOKUP(A95,'Fan Summary'!A:E,2,FALSE))*C95,0)</f>
        <v>0</v>
      </c>
      <c r="G95" s="114" t="b">
        <f t="shared" si="2"/>
        <v>0</v>
      </c>
      <c r="I95" s="114"/>
    </row>
    <row r="96" spans="1:9" x14ac:dyDescent="0.4">
      <c r="A96" s="114" t="s">
        <v>1411</v>
      </c>
      <c r="B96" s="114" t="s">
        <v>1023</v>
      </c>
      <c r="C96" s="114">
        <v>1</v>
      </c>
      <c r="D96" s="114">
        <f>VLOOKUP($B96,Parts!$A:$G,IF(D$1="t",4,3),FALSE)*$C96</f>
        <v>0</v>
      </c>
      <c r="E96" s="114">
        <f>VLOOKUP($B96,Parts!$A:$G,IF(E$1="t",4,3),FALSE)*$C96</f>
        <v>11.46</v>
      </c>
      <c r="F96" s="114">
        <f>IFERROR(IF(A96=B96,0,VLOOKUP(A96,'Fan Summary'!A:E,2,FALSE))*C96,0)</f>
        <v>0</v>
      </c>
      <c r="G96" s="114" t="b">
        <f t="shared" si="2"/>
        <v>0</v>
      </c>
      <c r="I96" s="114"/>
    </row>
    <row r="97" spans="1:9" x14ac:dyDescent="0.4">
      <c r="A97" s="114" t="s">
        <v>1411</v>
      </c>
      <c r="B97" s="114" t="s">
        <v>1292</v>
      </c>
      <c r="C97" s="114">
        <v>1</v>
      </c>
      <c r="D97" s="114">
        <f>VLOOKUP($B97,Parts!$A:$G,IF(D$1="t",4,3),FALSE)*$C97</f>
        <v>1</v>
      </c>
      <c r="E97" s="114">
        <f>VLOOKUP($B97,Parts!$A:$G,IF(E$1="t",4,3),FALSE)*$C97</f>
        <v>36</v>
      </c>
      <c r="F97" s="114">
        <f>IFERROR(IF(A97=B97,0,VLOOKUP(A97,'Fan Summary'!A:E,2,FALSE))*C97,0)</f>
        <v>0</v>
      </c>
      <c r="G97" s="114" t="b">
        <f t="shared" si="2"/>
        <v>0</v>
      </c>
      <c r="I97" s="114"/>
    </row>
    <row r="98" spans="1:9" x14ac:dyDescent="0.4">
      <c r="A98" s="114" t="s">
        <v>1411</v>
      </c>
      <c r="B98" s="114" t="s">
        <v>326</v>
      </c>
      <c r="C98" s="114">
        <v>1</v>
      </c>
      <c r="D98" s="114">
        <f>VLOOKUP($B98,Parts!$A:$G,IF(D$1="t",4,3),FALSE)*$C98</f>
        <v>0</v>
      </c>
      <c r="E98" s="114">
        <f>VLOOKUP($B98,Parts!$A:$G,IF(E$1="t",4,3),FALSE)*$C98</f>
        <v>24.2</v>
      </c>
      <c r="F98" s="114">
        <f>IFERROR(IF(A98=B98,0,VLOOKUP(A98,'Fan Summary'!A:E,2,FALSE))*C98,0)</f>
        <v>0</v>
      </c>
      <c r="G98" s="114" t="b">
        <f t="shared" si="2"/>
        <v>0</v>
      </c>
      <c r="I98" s="114"/>
    </row>
    <row r="99" spans="1:9" x14ac:dyDescent="0.4">
      <c r="A99" s="114" t="s">
        <v>1411</v>
      </c>
      <c r="B99" s="114" t="s">
        <v>322</v>
      </c>
      <c r="C99" s="114">
        <v>1</v>
      </c>
      <c r="D99" s="114">
        <f>VLOOKUP($B99,Parts!$A:$G,IF(D$1="t",4,3),FALSE)*$C99</f>
        <v>0</v>
      </c>
      <c r="E99" s="114">
        <f>VLOOKUP($B99,Parts!$A:$G,IF(E$1="t",4,3),FALSE)*$C99</f>
        <v>0</v>
      </c>
      <c r="F99" s="114">
        <f>IFERROR(IF(A99=B99,0,VLOOKUP(A99,'Fan Summary'!A:E,2,FALSE))*C99,0)</f>
        <v>0</v>
      </c>
      <c r="G99" s="114" t="b">
        <f t="shared" si="2"/>
        <v>0</v>
      </c>
      <c r="I99" s="114"/>
    </row>
    <row r="100" spans="1:9" x14ac:dyDescent="0.4">
      <c r="A100" s="114" t="s">
        <v>1411</v>
      </c>
      <c r="B100" s="114" t="s">
        <v>1253</v>
      </c>
      <c r="C100" s="114">
        <v>1</v>
      </c>
      <c r="D100" s="114">
        <f>VLOOKUP($B100,Parts!$A:$G,IF(D$1="t",4,3),FALSE)*$C100</f>
        <v>0</v>
      </c>
      <c r="E100" s="114">
        <f>VLOOKUP($B100,Parts!$A:$G,IF(E$1="t",4,3),FALSE)*$C100</f>
        <v>60</v>
      </c>
      <c r="F100" s="114">
        <f>IFERROR(IF(A100=B100,0,VLOOKUP(A100,'Fan Summary'!A:E,2,FALSE))*C100,0)</f>
        <v>0</v>
      </c>
      <c r="G100" s="114" t="b">
        <f t="shared" si="2"/>
        <v>0</v>
      </c>
      <c r="I100" s="114"/>
    </row>
    <row r="101" spans="1:9" x14ac:dyDescent="0.4">
      <c r="A101" s="114" t="s">
        <v>1411</v>
      </c>
      <c r="B101" s="114" t="s">
        <v>267</v>
      </c>
      <c r="D101" s="114">
        <f>VLOOKUP($B101,Parts!$A:$G,IF(D$1="t",4,3),FALSE)*$C101</f>
        <v>0</v>
      </c>
      <c r="E101" s="114">
        <f>VLOOKUP($B101,Parts!$A:$G,IF(E$1="t",4,3),FALSE)*$C101</f>
        <v>0</v>
      </c>
      <c r="F101" s="114">
        <f>IFERROR(IF(A101=B101,0,VLOOKUP(A101,'Fan Summary'!A:E,2,FALSE))*C101,0)</f>
        <v>0</v>
      </c>
      <c r="G101" s="114" t="b">
        <f t="shared" si="2"/>
        <v>0</v>
      </c>
      <c r="I101" s="114"/>
    </row>
    <row r="102" spans="1:9" x14ac:dyDescent="0.4">
      <c r="A102" s="114" t="s">
        <v>1411</v>
      </c>
      <c r="B102" s="114" t="s">
        <v>269</v>
      </c>
      <c r="D102" s="114">
        <f>VLOOKUP($B102,Parts!$A:$G,IF(D$1="t",4,3),FALSE)*$C102</f>
        <v>0</v>
      </c>
      <c r="E102" s="114">
        <f>VLOOKUP($B102,Parts!$A:$G,IF(E$1="t",4,3),FALSE)*$C102</f>
        <v>0</v>
      </c>
      <c r="F102" s="114">
        <f>IFERROR(IF(A102=B102,0,VLOOKUP(A102,'Fan Summary'!A:E,2,FALSE))*C102,0)</f>
        <v>0</v>
      </c>
      <c r="G102" s="114" t="b">
        <f t="shared" si="2"/>
        <v>0</v>
      </c>
      <c r="I102" s="114"/>
    </row>
  </sheetData>
  <autoFilter ref="G1:G102" xr:uid="{34FEF82D-66DB-4D90-93A6-2F6160516A3D}"/>
  <conditionalFormatting sqref="B1:E1048576 F1">
    <cfRule type="cellIs" dxfId="336" priority="48" operator="equal">
      <formula>""</formula>
    </cfRule>
  </conditionalFormatting>
  <conditionalFormatting sqref="A72:A83">
    <cfRule type="cellIs" dxfId="335" priority="10" operator="equal">
      <formula>""</formula>
    </cfRule>
  </conditionalFormatting>
  <conditionalFormatting sqref="A84:A87">
    <cfRule type="cellIs" dxfId="334" priority="9" operator="equal">
      <formula>""</formula>
    </cfRule>
  </conditionalFormatting>
  <conditionalFormatting sqref="A88:A102">
    <cfRule type="cellIs" dxfId="333" priority="8" operator="equal">
      <formula>""</formula>
    </cfRule>
  </conditionalFormatting>
  <conditionalFormatting sqref="A42:A44">
    <cfRule type="cellIs" dxfId="332" priority="20" operator="equal">
      <formula>""</formula>
    </cfRule>
  </conditionalFormatting>
  <conditionalFormatting sqref="A49:A51">
    <cfRule type="cellIs" dxfId="331" priority="18" operator="equal">
      <formula>""</formula>
    </cfRule>
  </conditionalFormatting>
  <conditionalFormatting sqref="A45:A48">
    <cfRule type="cellIs" dxfId="330" priority="19" operator="equal">
      <formula>""</formula>
    </cfRule>
  </conditionalFormatting>
  <conditionalFormatting sqref="A63:A64">
    <cfRule type="cellIs" dxfId="329" priority="14" operator="equal">
      <formula>""</formula>
    </cfRule>
  </conditionalFormatting>
  <conditionalFormatting sqref="A8:A13">
    <cfRule type="cellIs" dxfId="328" priority="32" operator="equal">
      <formula>""</formula>
    </cfRule>
  </conditionalFormatting>
  <conditionalFormatting sqref="A2:A7">
    <cfRule type="cellIs" dxfId="327" priority="31" operator="equal">
      <formula>""</formula>
    </cfRule>
  </conditionalFormatting>
  <conditionalFormatting sqref="A14:A15">
    <cfRule type="cellIs" dxfId="326" priority="30" operator="equal">
      <formula>""</formula>
    </cfRule>
  </conditionalFormatting>
  <conditionalFormatting sqref="A16:A17">
    <cfRule type="cellIs" dxfId="325" priority="29" operator="equal">
      <formula>""</formula>
    </cfRule>
  </conditionalFormatting>
  <conditionalFormatting sqref="A18:A19">
    <cfRule type="cellIs" dxfId="324" priority="28" operator="equal">
      <formula>""</formula>
    </cfRule>
  </conditionalFormatting>
  <conditionalFormatting sqref="A20:A21">
    <cfRule type="cellIs" dxfId="323" priority="27" operator="equal">
      <formula>""</formula>
    </cfRule>
  </conditionalFormatting>
  <conditionalFormatting sqref="A22:A23">
    <cfRule type="cellIs" dxfId="322" priority="26" operator="equal">
      <formula>""</formula>
    </cfRule>
  </conditionalFormatting>
  <conditionalFormatting sqref="A24:A25">
    <cfRule type="cellIs" dxfId="321" priority="25" operator="equal">
      <formula>""</formula>
    </cfRule>
  </conditionalFormatting>
  <conditionalFormatting sqref="A26:A27">
    <cfRule type="cellIs" dxfId="320" priority="24" operator="equal">
      <formula>""</formula>
    </cfRule>
  </conditionalFormatting>
  <conditionalFormatting sqref="A28:A36">
    <cfRule type="cellIs" dxfId="319" priority="23" operator="equal">
      <formula>""</formula>
    </cfRule>
  </conditionalFormatting>
  <conditionalFormatting sqref="A37:A38">
    <cfRule type="cellIs" dxfId="318" priority="22" operator="equal">
      <formula>""</formula>
    </cfRule>
  </conditionalFormatting>
  <conditionalFormatting sqref="A39:A41">
    <cfRule type="cellIs" dxfId="317" priority="21" operator="equal">
      <formula>""</formula>
    </cfRule>
  </conditionalFormatting>
  <conditionalFormatting sqref="A52:A54">
    <cfRule type="cellIs" dxfId="316" priority="17" operator="equal">
      <formula>""</formula>
    </cfRule>
  </conditionalFormatting>
  <conditionalFormatting sqref="A55:A58">
    <cfRule type="cellIs" dxfId="315" priority="16" operator="equal">
      <formula>""</formula>
    </cfRule>
  </conditionalFormatting>
  <conditionalFormatting sqref="A59:A62">
    <cfRule type="cellIs" dxfId="314" priority="15" operator="equal">
      <formula>""</formula>
    </cfRule>
  </conditionalFormatting>
  <conditionalFormatting sqref="A65:A66">
    <cfRule type="cellIs" dxfId="313" priority="13" operator="equal">
      <formula>""</formula>
    </cfRule>
  </conditionalFormatting>
  <conditionalFormatting sqref="A67:A68">
    <cfRule type="cellIs" dxfId="312" priority="12" operator="equal">
      <formula>""</formula>
    </cfRule>
  </conditionalFormatting>
  <conditionalFormatting sqref="A69:A71">
    <cfRule type="cellIs" dxfId="311" priority="11" operator="equal">
      <formula>""</formula>
    </cfRule>
  </conditionalFormatting>
  <conditionalFormatting sqref="H88">
    <cfRule type="cellIs" dxfId="310" priority="1" operator="equal">
      <formula>""</formula>
    </cfRule>
  </conditionalFormatting>
  <conditionalFormatting sqref="H63">
    <cfRule type="cellIs" dxfId="309" priority="7" operator="equal">
      <formula>""</formula>
    </cfRule>
  </conditionalFormatting>
  <conditionalFormatting sqref="H65">
    <cfRule type="cellIs" dxfId="308" priority="6" operator="equal">
      <formula>""</formula>
    </cfRule>
  </conditionalFormatting>
  <conditionalFormatting sqref="H67">
    <cfRule type="cellIs" dxfId="307" priority="5" operator="equal">
      <formula>""</formula>
    </cfRule>
  </conditionalFormatting>
  <conditionalFormatting sqref="H69">
    <cfRule type="cellIs" dxfId="306" priority="4" operator="equal">
      <formula>""</formula>
    </cfRule>
  </conditionalFormatting>
  <conditionalFormatting sqref="H72">
    <cfRule type="cellIs" dxfId="305" priority="3" operator="equal">
      <formula>""</formula>
    </cfRule>
  </conditionalFormatting>
  <conditionalFormatting sqref="H84">
    <cfRule type="cellIs" dxfId="304" priority="2" operator="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C89624-4A27-4F02-B69B-1609FBC1230D}">
          <x14:formula1>
            <xm:f>'D:\Github\IGOC-Workspace\Mech Elec Template\[AAA-MechElec - 1.0_SS.xlsx]Part List'!#REF!</xm:f>
          </x14:formula1>
          <xm:sqref>B36 B38 B40 B43:B44 B46:B48 B50:B51 B53:B54 B56:B58 B60:B62 B64 B66 B68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4901-2235-4413-81FB-F7C5AF18D44D}">
  <dimension ref="A1:R24"/>
  <sheetViews>
    <sheetView workbookViewId="0">
      <selection activeCell="B22" sqref="B22"/>
    </sheetView>
  </sheetViews>
  <sheetFormatPr defaultRowHeight="14.6" x14ac:dyDescent="0.4"/>
  <sheetData>
    <row r="1" spans="1:18" x14ac:dyDescent="0.4">
      <c r="A1" s="318" t="s">
        <v>676</v>
      </c>
      <c r="B1" s="114" t="s">
        <v>982</v>
      </c>
      <c r="C1" s="114" t="s">
        <v>983</v>
      </c>
      <c r="D1" s="114" t="s">
        <v>984</v>
      </c>
      <c r="E1" s="114" t="s">
        <v>669</v>
      </c>
      <c r="F1" s="114" t="s">
        <v>985</v>
      </c>
      <c r="G1" s="114" t="s">
        <v>1410</v>
      </c>
      <c r="H1" s="114" t="s">
        <v>987</v>
      </c>
      <c r="I1" s="114" t="s">
        <v>988</v>
      </c>
      <c r="J1" s="114" t="s">
        <v>989</v>
      </c>
      <c r="K1" s="114" t="s">
        <v>1240</v>
      </c>
      <c r="L1" s="114" t="s">
        <v>1287</v>
      </c>
      <c r="M1" s="114" t="s">
        <v>1003</v>
      </c>
      <c r="O1" t="s">
        <v>1018</v>
      </c>
      <c r="P1" s="114"/>
      <c r="Q1" s="114"/>
      <c r="R1" s="114"/>
    </row>
    <row r="2" spans="1:18" x14ac:dyDescent="0.4">
      <c r="A2" s="318" t="s">
        <v>1401</v>
      </c>
      <c r="B2" s="114" t="s">
        <v>885</v>
      </c>
      <c r="C2" s="114" t="s">
        <v>885</v>
      </c>
      <c r="D2" s="114" t="s">
        <v>984</v>
      </c>
      <c r="E2" s="114" t="s">
        <v>885</v>
      </c>
      <c r="F2" s="114" t="s">
        <v>885</v>
      </c>
      <c r="G2" s="114" t="s">
        <v>885</v>
      </c>
      <c r="H2" s="114" t="s">
        <v>885</v>
      </c>
      <c r="I2" s="114" t="s">
        <v>885</v>
      </c>
      <c r="J2" s="114" t="s">
        <v>885</v>
      </c>
      <c r="K2" s="114" t="s">
        <v>885</v>
      </c>
      <c r="L2" s="114" t="s">
        <v>886</v>
      </c>
      <c r="M2" s="114" t="s">
        <v>885</v>
      </c>
      <c r="O2" s="117" t="s">
        <v>1403</v>
      </c>
    </row>
    <row r="3" spans="1:18" x14ac:dyDescent="0.4">
      <c r="A3" s="318" t="s">
        <v>678</v>
      </c>
      <c r="B3" s="114" t="s">
        <v>886</v>
      </c>
      <c r="C3" s="114" t="s">
        <v>886</v>
      </c>
      <c r="D3" s="114" t="s">
        <v>992</v>
      </c>
      <c r="E3" s="114" t="s">
        <v>886</v>
      </c>
      <c r="F3" s="114" t="s">
        <v>886</v>
      </c>
      <c r="G3" s="114" t="s">
        <v>886</v>
      </c>
      <c r="H3" s="114" t="s">
        <v>886</v>
      </c>
      <c r="I3" s="114" t="s">
        <v>886</v>
      </c>
      <c r="J3" s="114" t="s">
        <v>886</v>
      </c>
      <c r="K3" s="114" t="s">
        <v>886</v>
      </c>
      <c r="L3" s="114" t="s">
        <v>1413</v>
      </c>
      <c r="M3" s="114" t="s">
        <v>886</v>
      </c>
      <c r="O3" s="117" t="s">
        <v>1404</v>
      </c>
    </row>
    <row r="4" spans="1:18" x14ac:dyDescent="0.4">
      <c r="A4" s="318" t="s">
        <v>1402</v>
      </c>
      <c r="B4" s="114"/>
      <c r="C4" s="114"/>
      <c r="D4" s="114" t="s">
        <v>991</v>
      </c>
      <c r="E4" s="114"/>
      <c r="F4" s="114"/>
      <c r="G4" s="114"/>
      <c r="H4" s="114"/>
      <c r="I4" s="114"/>
      <c r="J4" s="114"/>
      <c r="K4" s="114"/>
      <c r="L4" s="114" t="s">
        <v>1411</v>
      </c>
      <c r="M4" s="114"/>
      <c r="O4" s="117" t="s">
        <v>1405</v>
      </c>
    </row>
    <row r="5" spans="1:18" x14ac:dyDescent="0.4">
      <c r="A5" s="318"/>
      <c r="B5" s="114"/>
      <c r="C5" s="114"/>
      <c r="D5" s="114" t="s">
        <v>993</v>
      </c>
      <c r="E5" s="114"/>
      <c r="F5" s="114"/>
      <c r="G5" s="114"/>
      <c r="H5" s="114"/>
      <c r="I5" s="114"/>
      <c r="J5" s="114"/>
      <c r="K5" s="114"/>
      <c r="L5" s="114"/>
      <c r="M5" s="114"/>
      <c r="O5" s="117" t="s">
        <v>1406</v>
      </c>
    </row>
    <row r="6" spans="1:18" x14ac:dyDescent="0.4">
      <c r="A6" s="318"/>
      <c r="B6" s="114"/>
      <c r="C6" s="114"/>
      <c r="D6" s="114" t="s">
        <v>886</v>
      </c>
      <c r="E6" s="114"/>
      <c r="F6" s="114"/>
      <c r="G6" s="114"/>
      <c r="H6" s="114"/>
      <c r="I6" s="114"/>
      <c r="J6" s="114"/>
      <c r="K6" s="114"/>
      <c r="L6" s="114"/>
      <c r="M6" s="114"/>
      <c r="O6" s="117" t="s">
        <v>1407</v>
      </c>
    </row>
    <row r="7" spans="1:18" x14ac:dyDescent="0.4">
      <c r="O7" s="117" t="s">
        <v>1408</v>
      </c>
    </row>
    <row r="8" spans="1:18" x14ac:dyDescent="0.4">
      <c r="O8" s="117" t="s">
        <v>1409</v>
      </c>
    </row>
    <row r="23" spans="1:4" x14ac:dyDescent="0.4">
      <c r="A23" s="114"/>
      <c r="B23" s="114"/>
      <c r="C23" s="114"/>
      <c r="D23" s="114"/>
    </row>
    <row r="24" spans="1:4" x14ac:dyDescent="0.4">
      <c r="A24" s="11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0F291-A41C-47E1-9BF0-3555DC9D793E}">
  <dimension ref="A1:AA32"/>
  <sheetViews>
    <sheetView workbookViewId="0">
      <selection activeCell="L6" sqref="L6"/>
    </sheetView>
  </sheetViews>
  <sheetFormatPr defaultRowHeight="14.6" outlineLevelCol="1" x14ac:dyDescent="0.4"/>
  <cols>
    <col min="1" max="1" width="10.921875" style="549" bestFit="1" customWidth="1"/>
    <col min="2" max="2" width="26.921875" style="318" bestFit="1" customWidth="1"/>
    <col min="3" max="3" width="12.69140625" style="543" bestFit="1" customWidth="1"/>
    <col min="4" max="4" width="12.69140625" style="318" bestFit="1" customWidth="1"/>
    <col min="5" max="11" width="13.07421875" style="542" hidden="1" customWidth="1" outlineLevel="1"/>
    <col min="12" max="12" width="12.69140625" style="318" bestFit="1" customWidth="1" collapsed="1"/>
    <col min="13" max="13" width="12.69140625" style="534" bestFit="1" customWidth="1"/>
    <col min="14" max="14" width="12.69140625" style="318" bestFit="1" customWidth="1"/>
    <col min="15" max="16" width="12.69140625" style="534" bestFit="1" customWidth="1"/>
    <col min="17" max="19" width="1.921875" style="542" hidden="1" customWidth="1" outlineLevel="1"/>
    <col min="20" max="20" width="9.23046875" style="542" hidden="1" customWidth="1" outlineLevel="1"/>
    <col min="21" max="21" width="1.921875" style="542" hidden="1" customWidth="1" outlineLevel="1"/>
    <col min="22" max="26" width="0" style="318" hidden="1" customWidth="1" outlineLevel="1"/>
    <col min="27" max="27" width="9.23046875" style="318" collapsed="1"/>
    <col min="28" max="16384" width="9.23046875" style="318"/>
  </cols>
  <sheetData>
    <row r="1" spans="1:27" x14ac:dyDescent="0.4">
      <c r="A1" s="548" t="s">
        <v>1427</v>
      </c>
      <c r="C1" s="318"/>
      <c r="N1" s="318" t="s">
        <v>1421</v>
      </c>
      <c r="Q1" s="541"/>
      <c r="R1" s="541"/>
      <c r="S1" s="541"/>
    </row>
    <row r="2" spans="1:27" x14ac:dyDescent="0.4">
      <c r="A2" s="549" t="s">
        <v>1427</v>
      </c>
      <c r="C2" s="318"/>
      <c r="N2" s="533" t="s">
        <v>716</v>
      </c>
      <c r="O2" s="535" t="s">
        <v>717</v>
      </c>
      <c r="P2" s="536" t="s">
        <v>353</v>
      </c>
      <c r="Q2" s="541"/>
      <c r="R2" s="541"/>
      <c r="S2" s="541"/>
    </row>
    <row r="3" spans="1:27" x14ac:dyDescent="0.4">
      <c r="A3" s="549" t="s">
        <v>1427</v>
      </c>
      <c r="C3" s="318"/>
      <c r="N3" s="545">
        <f>SUM(Q:Q)</f>
        <v>8</v>
      </c>
      <c r="O3" s="534">
        <f>SUM(R:R)</f>
        <v>872.16999999999985</v>
      </c>
      <c r="P3" s="534">
        <f>SUM(S:S)</f>
        <v>1512.17</v>
      </c>
      <c r="Q3" s="541"/>
      <c r="R3" s="589" t="s">
        <v>1426</v>
      </c>
      <c r="S3" s="590"/>
      <c r="T3" s="591"/>
    </row>
    <row r="4" spans="1:27" x14ac:dyDescent="0.4">
      <c r="A4" s="549" t="str">
        <f>$C5</f>
        <v>[Unit Name]</v>
      </c>
      <c r="B4" s="547" t="str">
        <f>A4</f>
        <v>[Unit Name]</v>
      </c>
      <c r="C4" s="547" t="str">
        <f t="shared" ref="C4:P4" si="0">B4</f>
        <v>[Unit Name]</v>
      </c>
      <c r="D4" s="547" t="str">
        <f t="shared" si="0"/>
        <v>[Unit Name]</v>
      </c>
      <c r="E4" s="547" t="str">
        <f t="shared" si="0"/>
        <v>[Unit Name]</v>
      </c>
      <c r="F4" s="547" t="str">
        <f t="shared" si="0"/>
        <v>[Unit Name]</v>
      </c>
      <c r="G4" s="547" t="str">
        <f t="shared" si="0"/>
        <v>[Unit Name]</v>
      </c>
      <c r="H4" s="547" t="str">
        <f t="shared" si="0"/>
        <v>[Unit Name]</v>
      </c>
      <c r="I4" s="547" t="str">
        <f t="shared" si="0"/>
        <v>[Unit Name]</v>
      </c>
      <c r="J4" s="547" t="str">
        <f t="shared" si="0"/>
        <v>[Unit Name]</v>
      </c>
      <c r="K4" s="547" t="str">
        <f t="shared" si="0"/>
        <v>[Unit Name]</v>
      </c>
      <c r="L4" s="547" t="str">
        <f t="shared" si="0"/>
        <v>[Unit Name]</v>
      </c>
      <c r="M4" s="547" t="str">
        <f t="shared" si="0"/>
        <v>[Unit Name]</v>
      </c>
      <c r="N4" s="547" t="str">
        <f t="shared" si="0"/>
        <v>[Unit Name]</v>
      </c>
      <c r="O4" s="547" t="str">
        <f t="shared" si="0"/>
        <v>[Unit Name]</v>
      </c>
      <c r="P4" s="547" t="str">
        <f t="shared" si="0"/>
        <v>[Unit Name]</v>
      </c>
      <c r="Q4" s="541"/>
      <c r="R4" s="589"/>
      <c r="S4" s="590"/>
      <c r="T4" s="591"/>
    </row>
    <row r="5" spans="1:27" x14ac:dyDescent="0.4">
      <c r="A5" s="549" t="str">
        <f>$C5</f>
        <v>[Unit Name]</v>
      </c>
      <c r="B5" s="539" t="s">
        <v>1394</v>
      </c>
      <c r="C5" s="543" t="s">
        <v>1428</v>
      </c>
      <c r="D5" s="532" t="s">
        <v>1441</v>
      </c>
      <c r="L5" s="318" t="str">
        <f>_xlfn.CONCAT(V5:V33,"
")</f>
        <v xml:space="preserve">[Unit Name] - Electrical power supply and controls to 1 Outdoor Condenser from MSSB with:, BMS Provisions, Fire Shutdown, Reed Switch, Mechanical Thermostat, Run-On Timer, Time Clock, Local Switch, Push Button
</v>
      </c>
      <c r="Q5" s="541"/>
      <c r="R5" s="541"/>
      <c r="S5" s="541"/>
      <c r="V5" s="318" t="str">
        <f>_xlfn.CONCAT(C5," - Electrical power supply and controls to ",C8," ",C6,Z5,IF(C8&gt;1,"s",""))</f>
        <v>[Unit Name] - Electrical power supply and controls to 1 Outdoor Condenser from MSSB</v>
      </c>
      <c r="Z5" s="318" t="str">
        <f>VLOOKUP(C11, AC_Pricing!B:H,7,FALSE)</f>
        <v>Outdoor Condenser from MSSB</v>
      </c>
      <c r="AA5" s="318" t="str">
        <f>IF(D5="Header",IF(C8&gt;0,L5,""),"")</f>
        <v xml:space="preserve">[Unit Name] - Electrical power supply and controls to 1 Outdoor Condenser from MSSB with:, BMS Provisions, Fire Shutdown, Reed Switch, Mechanical Thermostat, Run-On Timer, Time Clock, Local Switch, Push Button
</v>
      </c>
    </row>
    <row r="6" spans="1:27" s="537" customFormat="1" x14ac:dyDescent="0.4">
      <c r="A6" s="549" t="str">
        <f>$C5</f>
        <v>[Unit Name]</v>
      </c>
      <c r="B6" s="539" t="s">
        <v>1399</v>
      </c>
      <c r="C6" s="543"/>
      <c r="E6" s="541"/>
      <c r="F6" s="583" t="s">
        <v>1420</v>
      </c>
      <c r="G6" s="584"/>
      <c r="H6" s="584"/>
      <c r="I6" s="584"/>
      <c r="J6" s="585"/>
      <c r="K6" s="541"/>
      <c r="M6" s="538"/>
      <c r="O6" s="538"/>
      <c r="P6" s="538"/>
      <c r="Q6" s="541"/>
      <c r="R6" s="541"/>
      <c r="S6" s="541"/>
      <c r="T6" s="542"/>
      <c r="U6" s="541"/>
    </row>
    <row r="7" spans="1:27" s="537" customFormat="1" x14ac:dyDescent="0.4">
      <c r="A7" s="549" t="str">
        <f>$C5</f>
        <v>[Unit Name]</v>
      </c>
      <c r="B7" s="539" t="s">
        <v>742</v>
      </c>
      <c r="C7" s="543"/>
      <c r="E7" s="541"/>
      <c r="F7" s="586"/>
      <c r="G7" s="587"/>
      <c r="H7" s="587"/>
      <c r="I7" s="587"/>
      <c r="J7" s="588"/>
      <c r="K7" s="541"/>
      <c r="M7" s="540"/>
      <c r="N7" s="533" t="s">
        <v>716</v>
      </c>
      <c r="O7" s="535" t="s">
        <v>717</v>
      </c>
      <c r="P7" s="536" t="s">
        <v>353</v>
      </c>
      <c r="Q7" s="541">
        <f t="shared" ref="Q7:S8" si="1">IF(N5=N$2,N7,0)</f>
        <v>0</v>
      </c>
      <c r="R7" s="541">
        <f t="shared" si="1"/>
        <v>0</v>
      </c>
      <c r="S7" s="541">
        <f t="shared" si="1"/>
        <v>0</v>
      </c>
      <c r="T7" s="542"/>
      <c r="U7" s="541"/>
    </row>
    <row r="8" spans="1:27" s="537" customFormat="1" x14ac:dyDescent="0.4">
      <c r="A8" s="549" t="str">
        <f>$C5</f>
        <v>[Unit Name]</v>
      </c>
      <c r="B8" s="539" t="s">
        <v>843</v>
      </c>
      <c r="C8" s="420">
        <v>1</v>
      </c>
      <c r="D8" s="539"/>
      <c r="E8" s="541"/>
      <c r="F8" s="541"/>
      <c r="G8" s="541"/>
      <c r="H8" s="541"/>
      <c r="I8" s="541"/>
      <c r="J8" s="541"/>
      <c r="K8" s="541"/>
      <c r="M8" s="538" t="s">
        <v>1394</v>
      </c>
      <c r="N8" s="423">
        <f>SUM(N11:N32)</f>
        <v>8</v>
      </c>
      <c r="O8" s="423">
        <f>SUM(O11:O32)</f>
        <v>872.16999999999985</v>
      </c>
      <c r="P8" s="423">
        <f>SUM(P11:P32)</f>
        <v>1512.17</v>
      </c>
      <c r="Q8" s="541">
        <f t="shared" si="1"/>
        <v>0</v>
      </c>
      <c r="R8" s="541">
        <f t="shared" si="1"/>
        <v>0</v>
      </c>
      <c r="S8" s="541">
        <f t="shared" si="1"/>
        <v>0</v>
      </c>
      <c r="T8" s="542"/>
      <c r="U8" s="541"/>
    </row>
    <row r="9" spans="1:27" s="537" customFormat="1" x14ac:dyDescent="0.4">
      <c r="A9" s="549" t="str">
        <f>$C5</f>
        <v>[Unit Name]</v>
      </c>
      <c r="B9" s="539" t="s">
        <v>929</v>
      </c>
      <c r="C9" s="543"/>
      <c r="D9" s="539"/>
      <c r="E9" s="305" t="s">
        <v>1403</v>
      </c>
      <c r="F9" s="305" t="s">
        <v>1404</v>
      </c>
      <c r="G9" s="305" t="s">
        <v>1405</v>
      </c>
      <c r="H9" s="305" t="s">
        <v>1406</v>
      </c>
      <c r="I9" s="305" t="s">
        <v>1407</v>
      </c>
      <c r="J9" s="305" t="s">
        <v>1408</v>
      </c>
      <c r="K9" s="305" t="s">
        <v>1409</v>
      </c>
      <c r="M9" s="538" t="s">
        <v>893</v>
      </c>
      <c r="N9" s="114">
        <f>N8*$C8</f>
        <v>8</v>
      </c>
      <c r="O9" s="423">
        <f>O8*$C8</f>
        <v>872.16999999999985</v>
      </c>
      <c r="P9" s="423">
        <f>P8*$C8</f>
        <v>1512.17</v>
      </c>
      <c r="Q9" s="541">
        <f t="shared" ref="Q9:Q11" si="2">IF(N7=N$2,N9,0)</f>
        <v>8</v>
      </c>
      <c r="R9" s="541">
        <f t="shared" ref="R9:R11" si="3">IF(O7=O$2,O9,0)</f>
        <v>872.16999999999985</v>
      </c>
      <c r="S9" s="541">
        <f t="shared" ref="S9:S11" si="4">IF(P7=P$2,P9,0)</f>
        <v>1512.17</v>
      </c>
      <c r="T9" s="542"/>
      <c r="U9" s="541"/>
    </row>
    <row r="10" spans="1:27" s="539" customFormat="1" x14ac:dyDescent="0.4">
      <c r="A10" s="549" t="str">
        <f>$C5</f>
        <v>[Unit Name]</v>
      </c>
      <c r="B10" s="539" t="s">
        <v>994</v>
      </c>
      <c r="C10" s="544" t="s">
        <v>1400</v>
      </c>
      <c r="D10" s="539" t="s">
        <v>843</v>
      </c>
      <c r="E10" s="305">
        <f>SUM(E11:E24)</f>
        <v>10</v>
      </c>
      <c r="F10" s="305">
        <f t="shared" ref="F10:K10" si="5">SUM(F11:F24)</f>
        <v>10</v>
      </c>
      <c r="G10" s="305">
        <f t="shared" si="5"/>
        <v>10</v>
      </c>
      <c r="H10" s="305">
        <f t="shared" si="5"/>
        <v>10</v>
      </c>
      <c r="I10" s="305">
        <f t="shared" si="5"/>
        <v>0</v>
      </c>
      <c r="J10" s="305">
        <f t="shared" si="5"/>
        <v>0</v>
      </c>
      <c r="K10" s="305">
        <f t="shared" si="5"/>
        <v>0</v>
      </c>
      <c r="L10" s="539" t="s">
        <v>1395</v>
      </c>
      <c r="M10" s="540" t="s">
        <v>1396</v>
      </c>
      <c r="N10" s="539" t="s">
        <v>996</v>
      </c>
      <c r="O10" s="540" t="s">
        <v>995</v>
      </c>
      <c r="P10" s="540" t="s">
        <v>1397</v>
      </c>
      <c r="Q10" s="541">
        <f t="shared" si="2"/>
        <v>0</v>
      </c>
      <c r="R10" s="541">
        <f t="shared" si="3"/>
        <v>0</v>
      </c>
      <c r="S10" s="541">
        <f t="shared" si="4"/>
        <v>0</v>
      </c>
      <c r="T10" s="542"/>
      <c r="U10" s="541"/>
    </row>
    <row r="11" spans="1:27" x14ac:dyDescent="0.4">
      <c r="A11" s="549" t="str">
        <f>$C5</f>
        <v>[Unit Name]</v>
      </c>
      <c r="B11" s="318" t="s">
        <v>1032</v>
      </c>
      <c r="C11" s="543" t="s">
        <v>1048</v>
      </c>
      <c r="D11" s="318">
        <v>1</v>
      </c>
      <c r="E11" s="542">
        <f>IFERROR($D11*VLOOKUP($C11,AC_Backend!$A$20:$H$30,2,FALSE),0)</f>
        <v>0</v>
      </c>
      <c r="F11" s="542">
        <f>IFERROR($D11*VLOOKUP($C11,AC_Backend!$A$20:$H$30,3,FALSE),0)</f>
        <v>0</v>
      </c>
      <c r="G11" s="542">
        <f>IFERROR($D11*VLOOKUP($C11,AC_Backend!$A$20:$H$30,4,FALSE),0)</f>
        <v>0</v>
      </c>
      <c r="H11" s="542">
        <f>IFERROR($D11*VLOOKUP($C11,AC_Backend!$A$20:$H$30,5,FALSE),0)</f>
        <v>10</v>
      </c>
      <c r="I11" s="542">
        <f>IFERROR($D11*VLOOKUP($C11,AC_Backend!$A$20:$H$30,6,FALSE),0)</f>
        <v>0</v>
      </c>
      <c r="J11" s="542">
        <f>IFERROR($D11*VLOOKUP($C11,AC_Backend!$A$20:$H$30,7,FALSE),0)</f>
        <v>0</v>
      </c>
      <c r="K11" s="542">
        <f>IFERROR($D11*VLOOKUP($C11,AC_Backend!$A$20:$H$30,8,FALSE),0)</f>
        <v>0</v>
      </c>
      <c r="L11" s="318">
        <f>IFERROR(VLOOKUP(C11,AC_Pricing!B:E,3,FALSE),0)</f>
        <v>0</v>
      </c>
      <c r="M11" s="534">
        <f>IFERROR(VLOOKUP(C11,AC_Pricing!B:E,4,FALSE),0)</f>
        <v>89.9</v>
      </c>
      <c r="N11" s="318">
        <f>D11*L11</f>
        <v>0</v>
      </c>
      <c r="O11" s="534">
        <f>M11*D11</f>
        <v>89.9</v>
      </c>
      <c r="P11" s="534">
        <f>N11*Takeoff_Backend!$B$1+O11</f>
        <v>89.9</v>
      </c>
      <c r="Q11" s="541">
        <f t="shared" si="2"/>
        <v>0</v>
      </c>
      <c r="R11" s="541">
        <f t="shared" si="3"/>
        <v>0</v>
      </c>
      <c r="S11" s="541">
        <f t="shared" si="4"/>
        <v>0</v>
      </c>
      <c r="U11" s="542">
        <f>D11*C8</f>
        <v>1</v>
      </c>
      <c r="V11" s="543"/>
      <c r="Z11" s="543"/>
    </row>
    <row r="12" spans="1:27" x14ac:dyDescent="0.4">
      <c r="A12" s="549" t="str">
        <f>$C5</f>
        <v>[Unit Name]</v>
      </c>
      <c r="B12" s="318" t="s">
        <v>676</v>
      </c>
      <c r="E12" s="542">
        <f>IF($C12="MSSB",20,5)*$D12*(IF(ISBLANK(C12),0,1))</f>
        <v>0</v>
      </c>
      <c r="L12" s="318">
        <f>IFERROR(VLOOKUP(C12,AC_Pricing!B:E,3,FALSE),0)</f>
        <v>0</v>
      </c>
      <c r="M12" s="534">
        <f>IFERROR(VLOOKUP(C12,AC_Pricing!B:E,4,FALSE),0)</f>
        <v>0</v>
      </c>
      <c r="N12" s="318">
        <f>D12*L12</f>
        <v>0</v>
      </c>
      <c r="O12" s="534">
        <f>M12*D12</f>
        <v>0</v>
      </c>
      <c r="P12" s="534">
        <f>N12*Takeoff_Backend!$B$1+O12</f>
        <v>0</v>
      </c>
      <c r="Q12" s="541">
        <f t="shared" ref="Q12:Q19" si="6">IF(N10=N$2,N12,0)</f>
        <v>0</v>
      </c>
      <c r="R12" s="541">
        <f t="shared" ref="R12:R19" si="7">IF(O10=O$2,O12,0)</f>
        <v>0</v>
      </c>
      <c r="S12" s="541">
        <f t="shared" ref="S12:S19" si="8">IF(P10=P$2,P12,0)</f>
        <v>0</v>
      </c>
      <c r="U12" s="542">
        <f>D12*C8</f>
        <v>0</v>
      </c>
      <c r="V12" s="543" t="str">
        <f>_xlfn.CONCAT(Z12,IF(SUM(D13:D24)&gt;0," with:",""))</f>
        <v xml:space="preserve"> with:</v>
      </c>
      <c r="Z12" s="543" t="str">
        <f>IFERROR(_xlfn.CONCAT(" from ",VLOOKUP(C12,AC_Pricing!B:H,7,FALSE)),"")</f>
        <v/>
      </c>
    </row>
    <row r="13" spans="1:27" x14ac:dyDescent="0.4">
      <c r="A13" s="549" t="str">
        <f>$C5</f>
        <v>[Unit Name]</v>
      </c>
      <c r="B13" s="318" t="s">
        <v>982</v>
      </c>
      <c r="C13" s="543" t="b">
        <v>1</v>
      </c>
      <c r="D13" s="318">
        <v>1</v>
      </c>
      <c r="E13" s="542">
        <f>IF($C13,5,0)*$D13</f>
        <v>5</v>
      </c>
      <c r="L13" s="318">
        <f>IF(C13,VLOOKUP(B13,AC_Pricing!B:E,IF(L$10="t [U]",3,4),FALSE),0)</f>
        <v>0</v>
      </c>
      <c r="M13" s="318">
        <f>IF(C13,VLOOKUP(B13,AC_Pricing!B:E,IF(M$10="t [U]",3,4),FALSE),0)</f>
        <v>0</v>
      </c>
      <c r="N13" s="318">
        <f t="shared" ref="N13:N22" si="9">D13*L13</f>
        <v>0</v>
      </c>
      <c r="O13" s="534">
        <f t="shared" ref="O13:O22" si="10">M13*D13</f>
        <v>0</v>
      </c>
      <c r="P13" s="534">
        <f>N13*Takeoff_Backend!$B$1+O13</f>
        <v>0</v>
      </c>
      <c r="Q13" s="541">
        <f t="shared" si="6"/>
        <v>0</v>
      </c>
      <c r="R13" s="541">
        <f t="shared" si="7"/>
        <v>0</v>
      </c>
      <c r="S13" s="541">
        <f t="shared" si="8"/>
        <v>0</v>
      </c>
      <c r="U13" s="542">
        <f>D13*C8</f>
        <v>1</v>
      </c>
      <c r="V13" s="543" t="str">
        <f t="shared" ref="V13:V20" si="11">IF(C13,Z13,"")</f>
        <v>, BMS Provisions</v>
      </c>
      <c r="Z13" s="318" t="str">
        <f>VLOOKUP(B13, AC_Pricing!B:H,7,FALSE)</f>
        <v>, BMS Provisions</v>
      </c>
    </row>
    <row r="14" spans="1:27" x14ac:dyDescent="0.4">
      <c r="A14" s="549" t="str">
        <f>$C5</f>
        <v>[Unit Name]</v>
      </c>
      <c r="B14" s="318" t="s">
        <v>983</v>
      </c>
      <c r="C14" s="543" t="b">
        <v>1</v>
      </c>
      <c r="D14" s="318">
        <v>1</v>
      </c>
      <c r="E14" s="542">
        <f>IF($C14,5,0)*$D14</f>
        <v>5</v>
      </c>
      <c r="L14" s="318">
        <f>IF(C14,VLOOKUP(B14,AC_Pricing!B:E,IF(L$10="t [U]",3,4),FALSE),0)</f>
        <v>0</v>
      </c>
      <c r="M14" s="318">
        <f>IF(C14,VLOOKUP(B14,AC_Pricing!B:E,IF(M$10="t [U]",3,4),FALSE),0)</f>
        <v>37.799999999999997</v>
      </c>
      <c r="N14" s="318">
        <f t="shared" si="9"/>
        <v>0</v>
      </c>
      <c r="O14" s="534">
        <f t="shared" si="10"/>
        <v>37.799999999999997</v>
      </c>
      <c r="P14" s="534">
        <f>N14*Takeoff_Backend!$B$1+O14</f>
        <v>37.799999999999997</v>
      </c>
      <c r="Q14" s="541">
        <f t="shared" si="6"/>
        <v>0</v>
      </c>
      <c r="R14" s="541">
        <f t="shared" si="7"/>
        <v>0</v>
      </c>
      <c r="S14" s="541">
        <f t="shared" si="8"/>
        <v>0</v>
      </c>
      <c r="U14" s="542">
        <f>D14*C8</f>
        <v>1</v>
      </c>
      <c r="V14" s="543" t="str">
        <f t="shared" si="11"/>
        <v>, Fire Shutdown</v>
      </c>
      <c r="Z14" s="318" t="str">
        <f>VLOOKUP(B14, AC_Pricing!B:H,7,FALSE)</f>
        <v>, Fire Shutdown</v>
      </c>
    </row>
    <row r="15" spans="1:27" x14ac:dyDescent="0.4">
      <c r="A15" s="549" t="str">
        <f>$C5</f>
        <v>[Unit Name]</v>
      </c>
      <c r="B15" s="318" t="s">
        <v>984</v>
      </c>
      <c r="F15" s="542">
        <f>IF(NOT(ISBLANK(C15)),5,0)*$D15</f>
        <v>0</v>
      </c>
      <c r="L15" s="318">
        <f>IFERROR(VLOOKUP(C15,AC_Pricing!B:E,3,FALSE),0)</f>
        <v>0</v>
      </c>
      <c r="M15" s="534">
        <f>IFERROR(VLOOKUP(C15,AC_Pricing!B:E,4,FALSE),0)</f>
        <v>0</v>
      </c>
      <c r="N15" s="318">
        <f t="shared" si="9"/>
        <v>0</v>
      </c>
      <c r="O15" s="534">
        <f t="shared" si="10"/>
        <v>0</v>
      </c>
      <c r="P15" s="534">
        <f>N15*Takeoff_Backend!$B$1+O15</f>
        <v>0</v>
      </c>
      <c r="Q15" s="541">
        <f t="shared" si="6"/>
        <v>0</v>
      </c>
      <c r="R15" s="541">
        <f t="shared" si="7"/>
        <v>0</v>
      </c>
      <c r="S15" s="541">
        <f t="shared" si="8"/>
        <v>0</v>
      </c>
      <c r="U15" s="542">
        <f>D15*C8</f>
        <v>0</v>
      </c>
      <c r="V15" s="543" t="str">
        <f>IF(D15&gt;0,Z15,"")</f>
        <v/>
      </c>
      <c r="Z15" s="318" t="str">
        <f>IFERROR(VLOOKUP(C15,AC_Pricing!B:H,7,FALSE),"")</f>
        <v/>
      </c>
    </row>
    <row r="16" spans="1:27" x14ac:dyDescent="0.4">
      <c r="A16" s="549" t="str">
        <f>$C5</f>
        <v>[Unit Name]</v>
      </c>
      <c r="B16" s="318" t="s">
        <v>1419</v>
      </c>
      <c r="C16" s="543" t="b">
        <v>1</v>
      </c>
      <c r="D16" s="318">
        <v>1</v>
      </c>
      <c r="F16" s="542">
        <f t="shared" ref="F16:F17" si="12">IF($C16,5,0)*$D16</f>
        <v>5</v>
      </c>
      <c r="L16" s="318">
        <f>IF(C16,VLOOKUP(B16,AC_Pricing!B:E,IF(L$10="t [U]",3,4),FALSE),0)</f>
        <v>0</v>
      </c>
      <c r="M16" s="318">
        <f>IF(C16,VLOOKUP(B16,AC_Pricing!B:E,IF(M$10="t [U]",3,4),FALSE),0)</f>
        <v>84.2</v>
      </c>
      <c r="N16" s="318">
        <f t="shared" si="9"/>
        <v>0</v>
      </c>
      <c r="O16" s="534">
        <f t="shared" si="10"/>
        <v>84.2</v>
      </c>
      <c r="P16" s="534">
        <f>N16*Takeoff_Backend!$B$1+O16</f>
        <v>84.2</v>
      </c>
      <c r="Q16" s="541">
        <f t="shared" si="6"/>
        <v>0</v>
      </c>
      <c r="R16" s="541">
        <f t="shared" si="7"/>
        <v>0</v>
      </c>
      <c r="S16" s="541">
        <f t="shared" si="8"/>
        <v>0</v>
      </c>
      <c r="U16" s="542">
        <f>D16*C8</f>
        <v>1</v>
      </c>
      <c r="V16" s="543" t="str">
        <f t="shared" si="11"/>
        <v>, Reed Switch</v>
      </c>
      <c r="Z16" s="318" t="str">
        <f>VLOOKUP(B16, AC_Pricing!B:H,7,FALSE)</f>
        <v>, Reed Switch</v>
      </c>
    </row>
    <row r="17" spans="1:26" x14ac:dyDescent="0.4">
      <c r="A17" s="549" t="str">
        <f>$C5</f>
        <v>[Unit Name]</v>
      </c>
      <c r="B17" s="318" t="s">
        <v>1418</v>
      </c>
      <c r="C17" s="543" t="b">
        <v>1</v>
      </c>
      <c r="D17" s="318">
        <v>1</v>
      </c>
      <c r="F17" s="542">
        <f t="shared" si="12"/>
        <v>5</v>
      </c>
      <c r="L17" s="318">
        <f>IF(C17,VLOOKUP(B17,AC_Pricing!B:E,IF(L$10="t [U]",3,4),FALSE),0)</f>
        <v>0</v>
      </c>
      <c r="M17" s="318">
        <f>IF(C17,VLOOKUP(B17,AC_Pricing!B:E,IF(M$10="t [U]",3,4),FALSE),0)</f>
        <v>331.4</v>
      </c>
      <c r="N17" s="318">
        <f t="shared" si="9"/>
        <v>0</v>
      </c>
      <c r="O17" s="534">
        <f t="shared" si="10"/>
        <v>331.4</v>
      </c>
      <c r="P17" s="534">
        <f>N17*Takeoff_Backend!$B$1+O17</f>
        <v>331.4</v>
      </c>
      <c r="Q17" s="541">
        <f t="shared" si="6"/>
        <v>0</v>
      </c>
      <c r="R17" s="541">
        <f t="shared" si="7"/>
        <v>0</v>
      </c>
      <c r="S17" s="541">
        <f t="shared" si="8"/>
        <v>0</v>
      </c>
      <c r="U17" s="542">
        <f>D17*C8</f>
        <v>1</v>
      </c>
      <c r="V17" s="543" t="str">
        <f t="shared" si="11"/>
        <v>, Mechanical Thermostat</v>
      </c>
      <c r="Z17" s="318" t="str">
        <f>VLOOKUP(B17, AC_Pricing!B:H,7,FALSE)</f>
        <v>, Mechanical Thermostat</v>
      </c>
    </row>
    <row r="18" spans="1:26" x14ac:dyDescent="0.4">
      <c r="A18" s="549" t="str">
        <f>$C5</f>
        <v>[Unit Name]</v>
      </c>
      <c r="B18" s="318" t="s">
        <v>1417</v>
      </c>
      <c r="C18" s="543" t="b">
        <v>1</v>
      </c>
      <c r="D18" s="318">
        <v>1</v>
      </c>
      <c r="L18" s="318">
        <f>IF(C18,VLOOKUP(B18,AC_Pricing!B:E,IF(L$10="t [U]",3,4),FALSE),0)</f>
        <v>1</v>
      </c>
      <c r="M18" s="318">
        <f>IF(C18,VLOOKUP(B18,AC_Pricing!B:E,IF(M$10="t [U]",3,4),FALSE),0)</f>
        <v>60</v>
      </c>
      <c r="N18" s="318">
        <f t="shared" si="9"/>
        <v>1</v>
      </c>
      <c r="O18" s="534">
        <f t="shared" si="10"/>
        <v>60</v>
      </c>
      <c r="P18" s="534">
        <f>N18*Takeoff_Backend!$B$1+O18</f>
        <v>140</v>
      </c>
      <c r="Q18" s="541">
        <f t="shared" si="6"/>
        <v>0</v>
      </c>
      <c r="R18" s="541">
        <f t="shared" si="7"/>
        <v>0</v>
      </c>
      <c r="S18" s="541">
        <f t="shared" si="8"/>
        <v>0</v>
      </c>
      <c r="U18" s="542">
        <f>D18*C8</f>
        <v>1</v>
      </c>
      <c r="V18" s="543" t="str">
        <f t="shared" si="11"/>
        <v>, Run-On Timer</v>
      </c>
      <c r="Z18" s="318" t="str">
        <f>VLOOKUP(B18, AC_Pricing!B:H,7,FALSE)</f>
        <v>, Run-On Timer</v>
      </c>
    </row>
    <row r="19" spans="1:26" x14ac:dyDescent="0.4">
      <c r="A19" s="549" t="str">
        <f>$C5</f>
        <v>[Unit Name]</v>
      </c>
      <c r="B19" s="318" t="s">
        <v>1416</v>
      </c>
      <c r="C19" s="543" t="b">
        <v>1</v>
      </c>
      <c r="D19" s="318">
        <v>1</v>
      </c>
      <c r="L19" s="318">
        <f>IF(C19,VLOOKUP(B19,AC_Pricing!B:E,IF(L$10="t [U]",3,4),FALSE),0)</f>
        <v>2</v>
      </c>
      <c r="M19" s="318">
        <f>IF(C19,VLOOKUP(B19,AC_Pricing!B:E,IF(M$10="t [U]",3,4),FALSE),0)</f>
        <v>80</v>
      </c>
      <c r="N19" s="318">
        <f t="shared" si="9"/>
        <v>2</v>
      </c>
      <c r="O19" s="534">
        <f t="shared" si="10"/>
        <v>80</v>
      </c>
      <c r="P19" s="534">
        <f>N19*Takeoff_Backend!$B$1+O19</f>
        <v>240</v>
      </c>
      <c r="Q19" s="541">
        <f t="shared" si="6"/>
        <v>0</v>
      </c>
      <c r="R19" s="541">
        <f t="shared" si="7"/>
        <v>0</v>
      </c>
      <c r="S19" s="541">
        <f t="shared" si="8"/>
        <v>0</v>
      </c>
      <c r="U19" s="542">
        <f>D19*C8</f>
        <v>1</v>
      </c>
      <c r="V19" s="543" t="str">
        <f t="shared" si="11"/>
        <v>, Time Clock</v>
      </c>
      <c r="Z19" s="318" t="str">
        <f>VLOOKUP(B19, AC_Pricing!B:H,7,FALSE)</f>
        <v>, Time Clock</v>
      </c>
    </row>
    <row r="20" spans="1:26" x14ac:dyDescent="0.4">
      <c r="A20" s="549" t="str">
        <f>$C5</f>
        <v>[Unit Name]</v>
      </c>
      <c r="B20" s="318" t="s">
        <v>1415</v>
      </c>
      <c r="C20" s="543" t="b">
        <v>1</v>
      </c>
      <c r="D20" s="318">
        <v>1</v>
      </c>
      <c r="L20" s="318">
        <f>IF(C20,VLOOKUP(B20,AC_Pricing!B:E,IF(L$10="t [U]",3,4),FALSE),0)</f>
        <v>1</v>
      </c>
      <c r="M20" s="318">
        <f>IF(C20,VLOOKUP(B20,AC_Pricing!B:E,IF(M$10="t [U]",3,4),FALSE),0)</f>
        <v>57.95</v>
      </c>
      <c r="N20" s="318">
        <f t="shared" si="9"/>
        <v>1</v>
      </c>
      <c r="O20" s="534">
        <f t="shared" si="10"/>
        <v>57.95</v>
      </c>
      <c r="P20" s="534">
        <f>N20*Takeoff_Backend!$B$1+O20</f>
        <v>137.94999999999999</v>
      </c>
      <c r="Q20" s="541">
        <f t="shared" ref="Q20:Q31" si="13">IF(N18=N$2,N20,0)</f>
        <v>0</v>
      </c>
      <c r="R20" s="541">
        <f t="shared" ref="R20:R31" si="14">IF(O18=O$2,O20,0)</f>
        <v>0</v>
      </c>
      <c r="S20" s="541">
        <f t="shared" ref="S20:S31" si="15">IF(P18=P$2,P20,0)</f>
        <v>0</v>
      </c>
      <c r="U20" s="542">
        <f>D20*C8</f>
        <v>1</v>
      </c>
      <c r="V20" s="543" t="str">
        <f t="shared" si="11"/>
        <v>, Local Switch</v>
      </c>
      <c r="Z20" s="318" t="str">
        <f>VLOOKUP(B20, AC_Pricing!B:H,7,FALSE)</f>
        <v>, Local Switch</v>
      </c>
    </row>
    <row r="21" spans="1:26" x14ac:dyDescent="0.4">
      <c r="A21" s="549" t="str">
        <f>$C5</f>
        <v>[Unit Name]</v>
      </c>
      <c r="B21" s="318" t="s">
        <v>1414</v>
      </c>
      <c r="C21" s="543" t="b">
        <v>1</v>
      </c>
      <c r="D21" s="318">
        <v>1</v>
      </c>
      <c r="G21" s="542">
        <f t="shared" ref="G21" si="16">IF($C21,5,0)*$D21</f>
        <v>5</v>
      </c>
      <c r="L21" s="318">
        <f>IF(C21,VLOOKUP(B21,AC_Pricing!B:E,IF(L$10="t [U]",3,4),FALSE),0)</f>
        <v>0</v>
      </c>
      <c r="M21" s="318">
        <f>IF(C21,VLOOKUP(B21,AC_Pricing!B:E,IF(M$10="t [U]",3,4),FALSE),0)</f>
        <v>23.4</v>
      </c>
      <c r="N21" s="318">
        <f t="shared" si="9"/>
        <v>0</v>
      </c>
      <c r="O21" s="534">
        <f t="shared" si="10"/>
        <v>23.4</v>
      </c>
      <c r="P21" s="534">
        <f>N21*Takeoff_Backend!$B$1+O21</f>
        <v>23.4</v>
      </c>
      <c r="Q21" s="541">
        <f t="shared" si="13"/>
        <v>0</v>
      </c>
      <c r="R21" s="541">
        <f t="shared" si="14"/>
        <v>0</v>
      </c>
      <c r="S21" s="541">
        <f t="shared" si="15"/>
        <v>0</v>
      </c>
      <c r="U21" s="542">
        <f>D21*C8</f>
        <v>1</v>
      </c>
      <c r="V21" s="543"/>
    </row>
    <row r="22" spans="1:26" x14ac:dyDescent="0.4">
      <c r="A22" s="549" t="str">
        <f>$C5</f>
        <v>[Unit Name]</v>
      </c>
      <c r="B22" s="318" t="s">
        <v>1412</v>
      </c>
      <c r="C22" s="543" t="b">
        <v>1</v>
      </c>
      <c r="D22" s="318">
        <v>1</v>
      </c>
      <c r="G22" s="542">
        <f t="shared" ref="G22" si="17">IF($C22,5,0)*$D22</f>
        <v>5</v>
      </c>
      <c r="L22" s="318">
        <f>IF(C22,VLOOKUP(B22,AC_Pricing!B:E,IF(L$10="t [U]",3,4),FALSE),0)</f>
        <v>0</v>
      </c>
      <c r="M22" s="318">
        <f>IF(C22,VLOOKUP(B22,AC_Pricing!B:E,IF(M$10="t [U]",3,4),FALSE),0)</f>
        <v>39.4</v>
      </c>
      <c r="N22" s="318">
        <f t="shared" si="9"/>
        <v>0</v>
      </c>
      <c r="O22" s="534">
        <f t="shared" si="10"/>
        <v>39.4</v>
      </c>
      <c r="P22" s="534">
        <f>N22*Takeoff_Backend!$B$1+O22</f>
        <v>39.4</v>
      </c>
      <c r="Q22" s="541">
        <f t="shared" si="13"/>
        <v>0</v>
      </c>
      <c r="R22" s="541">
        <f t="shared" si="14"/>
        <v>0</v>
      </c>
      <c r="S22" s="541">
        <f t="shared" si="15"/>
        <v>0</v>
      </c>
      <c r="U22" s="542">
        <f>D22*C8</f>
        <v>1</v>
      </c>
      <c r="V22" s="543" t="str">
        <f>IF(D22 &gt; 0,Z22,"")</f>
        <v/>
      </c>
      <c r="Z22" s="318" t="str">
        <f>IFERROR(VLOOKUP(C22, AC_Pricing!B:H,7,FALSE), "")</f>
        <v/>
      </c>
    </row>
    <row r="23" spans="1:26" x14ac:dyDescent="0.4">
      <c r="A23" s="549" t="str">
        <f>$C5</f>
        <v>[Unit Name]</v>
      </c>
      <c r="B23" s="114" t="s">
        <v>1432</v>
      </c>
      <c r="C23" s="543" t="b">
        <v>1</v>
      </c>
      <c r="D23" s="318">
        <v>1</v>
      </c>
      <c r="L23" s="318">
        <f>IF(C23,VLOOKUP(B23,AC_Pricing!B:E,IF(L$10="t [U]",3,4),FALSE),0)</f>
        <v>0</v>
      </c>
      <c r="M23" s="318">
        <f>IF(C23,VLOOKUP(B23,AC_Pricing!B:E,IF(M$10="t [U]",3,4),FALSE),0)</f>
        <v>11.46</v>
      </c>
      <c r="N23" s="318">
        <f t="shared" ref="N23" si="18">D23*L23</f>
        <v>0</v>
      </c>
      <c r="O23" s="534">
        <f t="shared" ref="O23" si="19">M23*D23</f>
        <v>11.46</v>
      </c>
      <c r="P23" s="534">
        <f>N23*Takeoff_Backend!$B$1+O23</f>
        <v>11.46</v>
      </c>
      <c r="Q23" s="541">
        <f t="shared" ref="Q23" si="20">IF(N21=N$2,N23,0)</f>
        <v>0</v>
      </c>
      <c r="R23" s="541">
        <f t="shared" ref="R23" si="21">IF(O21=O$2,O23,0)</f>
        <v>0</v>
      </c>
      <c r="S23" s="541">
        <f t="shared" ref="S23" si="22">IF(P21=P$2,P23,0)</f>
        <v>0</v>
      </c>
      <c r="U23" s="542">
        <f>D23*C8</f>
        <v>1</v>
      </c>
      <c r="V23" s="543" t="str">
        <f>IF(C23,Z23,"")</f>
        <v>, Push Button</v>
      </c>
      <c r="Z23" s="318" t="str">
        <f>VLOOKUP(B23, AC_Pricing!B:H,7,FALSE)</f>
        <v>, Push Button</v>
      </c>
    </row>
    <row r="24" spans="1:26" x14ac:dyDescent="0.4">
      <c r="A24" s="549" t="str">
        <f>$C5</f>
        <v>[Unit Name]</v>
      </c>
      <c r="B24" s="532" t="s">
        <v>1018</v>
      </c>
      <c r="D24" s="446"/>
      <c r="Q24" s="541">
        <f t="shared" si="13"/>
        <v>0</v>
      </c>
      <c r="R24" s="541">
        <f t="shared" si="14"/>
        <v>0</v>
      </c>
      <c r="S24" s="541">
        <f t="shared" si="15"/>
        <v>0</v>
      </c>
      <c r="U24" s="542">
        <f>D24*C8</f>
        <v>0</v>
      </c>
    </row>
    <row r="25" spans="1:26" x14ac:dyDescent="0.4">
      <c r="A25" s="549" t="str">
        <f>$C5</f>
        <v>[Unit Name]</v>
      </c>
      <c r="B25" s="318" t="s">
        <v>1403</v>
      </c>
      <c r="D25" s="318">
        <f>HLOOKUP($B25,$E9:$K10,2,FALSE)</f>
        <v>10</v>
      </c>
      <c r="L25" s="318">
        <f>VLOOKUP(B25,AC_Pricing!B:E,3,FALSE)</f>
        <v>0.1</v>
      </c>
      <c r="M25" s="534">
        <f>VLOOKUP(B25,AC_Pricing!B:E,4,FALSE)</f>
        <v>0.85</v>
      </c>
      <c r="N25" s="318">
        <f>D25*L25</f>
        <v>1</v>
      </c>
      <c r="O25" s="534">
        <f>M25*D25</f>
        <v>8.5</v>
      </c>
      <c r="P25" s="534">
        <f>N25*Takeoff_Backend!$B$1+O25</f>
        <v>88.5</v>
      </c>
      <c r="Q25" s="541">
        <f t="shared" si="13"/>
        <v>0</v>
      </c>
      <c r="R25" s="541">
        <f t="shared" si="14"/>
        <v>0</v>
      </c>
      <c r="S25" s="541">
        <f t="shared" si="15"/>
        <v>0</v>
      </c>
      <c r="U25" s="542">
        <f>D25*C8</f>
        <v>10</v>
      </c>
    </row>
    <row r="26" spans="1:26" x14ac:dyDescent="0.4">
      <c r="A26" s="549" t="str">
        <f>$C5</f>
        <v>[Unit Name]</v>
      </c>
      <c r="B26" s="318" t="s">
        <v>1404</v>
      </c>
      <c r="D26" s="318">
        <f>HLOOKUP($B26,$E9:$K10,2,FALSE)</f>
        <v>10</v>
      </c>
      <c r="L26" s="318">
        <f>VLOOKUP(B26,AC_Pricing!B:E,3,FALSE)</f>
        <v>0.1</v>
      </c>
      <c r="M26" s="534">
        <f>VLOOKUP(B26,AC_Pricing!B:E,4,FALSE)</f>
        <v>0.28000000000000003</v>
      </c>
      <c r="N26" s="318">
        <f t="shared" ref="N26:N31" si="23">D26*L26</f>
        <v>1</v>
      </c>
      <c r="O26" s="534">
        <f t="shared" ref="O26:O31" si="24">M26*D26</f>
        <v>2.8000000000000003</v>
      </c>
      <c r="P26" s="534">
        <f>N26*Takeoff_Backend!$B$1+O26</f>
        <v>82.8</v>
      </c>
      <c r="Q26" s="541">
        <f t="shared" si="13"/>
        <v>0</v>
      </c>
      <c r="R26" s="541">
        <f t="shared" si="14"/>
        <v>0</v>
      </c>
      <c r="S26" s="541">
        <f t="shared" si="15"/>
        <v>0</v>
      </c>
      <c r="U26" s="542">
        <f>D26*C8</f>
        <v>10</v>
      </c>
    </row>
    <row r="27" spans="1:26" x14ac:dyDescent="0.4">
      <c r="A27" s="549" t="str">
        <f>$C5</f>
        <v>[Unit Name]</v>
      </c>
      <c r="B27" s="318" t="s">
        <v>1405</v>
      </c>
      <c r="D27" s="318">
        <f>HLOOKUP($B27,$E9:$K10,2,FALSE)</f>
        <v>10</v>
      </c>
      <c r="L27" s="318">
        <f>VLOOKUP(B27,AC_Pricing!B:E,3,FALSE)</f>
        <v>0.1</v>
      </c>
      <c r="M27" s="534">
        <f>VLOOKUP(B27,AC_Pricing!B:E,4,FALSE)</f>
        <v>1.056</v>
      </c>
      <c r="N27" s="318">
        <f t="shared" si="23"/>
        <v>1</v>
      </c>
      <c r="O27" s="534">
        <f t="shared" si="24"/>
        <v>10.56</v>
      </c>
      <c r="P27" s="534">
        <f>N27*Takeoff_Backend!$B$1+O27</f>
        <v>90.56</v>
      </c>
      <c r="Q27" s="541">
        <f t="shared" si="13"/>
        <v>0</v>
      </c>
      <c r="R27" s="541">
        <f t="shared" si="14"/>
        <v>0</v>
      </c>
      <c r="S27" s="541">
        <f t="shared" si="15"/>
        <v>0</v>
      </c>
      <c r="U27" s="542">
        <f>D27*C8</f>
        <v>10</v>
      </c>
    </row>
    <row r="28" spans="1:26" x14ac:dyDescent="0.4">
      <c r="A28" s="549" t="str">
        <f>$C5</f>
        <v>[Unit Name]</v>
      </c>
      <c r="B28" s="318" t="s">
        <v>1406</v>
      </c>
      <c r="D28" s="318">
        <f>HLOOKUP($B28,$E9:$K10,2,FALSE)</f>
        <v>10</v>
      </c>
      <c r="L28" s="318">
        <f>VLOOKUP(B28,AC_Pricing!B:E,3,FALSE)</f>
        <v>0.1</v>
      </c>
      <c r="M28" s="534">
        <f>VLOOKUP(B28,AC_Pricing!B:E,4,FALSE)</f>
        <v>3.48</v>
      </c>
      <c r="N28" s="318">
        <f t="shared" si="23"/>
        <v>1</v>
      </c>
      <c r="O28" s="534">
        <f t="shared" si="24"/>
        <v>34.799999999999997</v>
      </c>
      <c r="P28" s="534">
        <f>N28*Takeoff_Backend!$B$1+O28</f>
        <v>114.8</v>
      </c>
      <c r="Q28" s="541">
        <f t="shared" si="13"/>
        <v>0</v>
      </c>
      <c r="R28" s="541">
        <f t="shared" si="14"/>
        <v>0</v>
      </c>
      <c r="S28" s="541">
        <f t="shared" si="15"/>
        <v>0</v>
      </c>
      <c r="U28" s="542">
        <f>D28*C8</f>
        <v>10</v>
      </c>
    </row>
    <row r="29" spans="1:26" x14ac:dyDescent="0.4">
      <c r="A29" s="549" t="str">
        <f>$C5</f>
        <v>[Unit Name]</v>
      </c>
      <c r="B29" s="318" t="s">
        <v>1407</v>
      </c>
      <c r="D29" s="318">
        <f>HLOOKUP($B29,$E9:$K10,2,FALSE)</f>
        <v>0</v>
      </c>
      <c r="L29" s="318">
        <f>VLOOKUP(B29,AC_Pricing!B:E,3,FALSE)</f>
        <v>0.1</v>
      </c>
      <c r="M29" s="534">
        <f>VLOOKUP(B29,AC_Pricing!B:E,4,FALSE)</f>
        <v>4.5599999999999996</v>
      </c>
      <c r="N29" s="318">
        <f t="shared" si="23"/>
        <v>0</v>
      </c>
      <c r="O29" s="534">
        <f t="shared" si="24"/>
        <v>0</v>
      </c>
      <c r="P29" s="534">
        <f>N29*Takeoff_Backend!$B$1+O29</f>
        <v>0</v>
      </c>
      <c r="Q29" s="541">
        <f t="shared" si="13"/>
        <v>0</v>
      </c>
      <c r="R29" s="541">
        <f t="shared" si="14"/>
        <v>0</v>
      </c>
      <c r="S29" s="541">
        <f t="shared" si="15"/>
        <v>0</v>
      </c>
      <c r="U29" s="542">
        <f>D29*C8</f>
        <v>0</v>
      </c>
    </row>
    <row r="30" spans="1:26" x14ac:dyDescent="0.4">
      <c r="A30" s="549" t="str">
        <f>$C5</f>
        <v>[Unit Name]</v>
      </c>
      <c r="B30" s="318" t="s">
        <v>1408</v>
      </c>
      <c r="D30" s="318">
        <f>HLOOKUP($B30,$E9:$K10,2,FALSE)</f>
        <v>0</v>
      </c>
      <c r="L30" s="318">
        <f>VLOOKUP(B30,AC_Pricing!B:E,3,FALSE)</f>
        <v>0.1</v>
      </c>
      <c r="M30" s="534">
        <f>VLOOKUP(B30,AC_Pricing!B:E,4,FALSE)</f>
        <v>2.4</v>
      </c>
      <c r="N30" s="318">
        <f t="shared" si="23"/>
        <v>0</v>
      </c>
      <c r="O30" s="534">
        <f t="shared" si="24"/>
        <v>0</v>
      </c>
      <c r="P30" s="534">
        <f>N30*Takeoff_Backend!$B$1+O30</f>
        <v>0</v>
      </c>
      <c r="Q30" s="541">
        <f t="shared" si="13"/>
        <v>0</v>
      </c>
      <c r="R30" s="541">
        <f t="shared" si="14"/>
        <v>0</v>
      </c>
      <c r="S30" s="541">
        <f t="shared" si="15"/>
        <v>0</v>
      </c>
      <c r="U30" s="542">
        <f>D30*C8</f>
        <v>0</v>
      </c>
    </row>
    <row r="31" spans="1:26" x14ac:dyDescent="0.4">
      <c r="A31" s="549" t="str">
        <f>$C5</f>
        <v>[Unit Name]</v>
      </c>
      <c r="B31" s="318" t="s">
        <v>1409</v>
      </c>
      <c r="D31" s="318">
        <f>HLOOKUP($B31,$E9:$K10,2,FALSE)</f>
        <v>0</v>
      </c>
      <c r="L31" s="318">
        <f>VLOOKUP(B31,AC_Pricing!B:E,3,FALSE)</f>
        <v>0.1</v>
      </c>
      <c r="M31" s="534">
        <f>VLOOKUP(B31,AC_Pricing!B:E,4,FALSE)</f>
        <v>5.8</v>
      </c>
      <c r="N31" s="318">
        <f t="shared" si="23"/>
        <v>0</v>
      </c>
      <c r="O31" s="534">
        <f t="shared" si="24"/>
        <v>0</v>
      </c>
      <c r="P31" s="534">
        <f>N31*Takeoff_Backend!$B$1+O31</f>
        <v>0</v>
      </c>
      <c r="Q31" s="541">
        <f t="shared" si="13"/>
        <v>0</v>
      </c>
      <c r="R31" s="541">
        <f t="shared" si="14"/>
        <v>0</v>
      </c>
      <c r="S31" s="541">
        <f t="shared" si="15"/>
        <v>0</v>
      </c>
      <c r="U31" s="542">
        <f>D31*C8</f>
        <v>0</v>
      </c>
    </row>
    <row r="32" spans="1:26" s="542" customFormat="1" x14ac:dyDescent="0.4">
      <c r="A32" s="549" t="str">
        <f>$C5</f>
        <v>[Unit Name]</v>
      </c>
      <c r="B32" s="547" t="str">
        <f>A32</f>
        <v>[Unit Name]</v>
      </c>
      <c r="C32" s="547" t="str">
        <f t="shared" ref="C32:P32" si="25">B32</f>
        <v>[Unit Name]</v>
      </c>
      <c r="D32" s="547" t="str">
        <f t="shared" si="25"/>
        <v>[Unit Name]</v>
      </c>
      <c r="E32" s="547" t="str">
        <f t="shared" si="25"/>
        <v>[Unit Name]</v>
      </c>
      <c r="F32" s="547" t="str">
        <f t="shared" si="25"/>
        <v>[Unit Name]</v>
      </c>
      <c r="G32" s="547" t="str">
        <f t="shared" si="25"/>
        <v>[Unit Name]</v>
      </c>
      <c r="H32" s="547" t="str">
        <f t="shared" si="25"/>
        <v>[Unit Name]</v>
      </c>
      <c r="I32" s="547" t="str">
        <f t="shared" si="25"/>
        <v>[Unit Name]</v>
      </c>
      <c r="J32" s="547" t="str">
        <f t="shared" si="25"/>
        <v>[Unit Name]</v>
      </c>
      <c r="K32" s="547" t="str">
        <f t="shared" si="25"/>
        <v>[Unit Name]</v>
      </c>
      <c r="L32" s="547" t="str">
        <f t="shared" si="25"/>
        <v>[Unit Name]</v>
      </c>
      <c r="M32" s="547" t="str">
        <f t="shared" si="25"/>
        <v>[Unit Name]</v>
      </c>
      <c r="N32" s="547" t="str">
        <f t="shared" si="25"/>
        <v>[Unit Name]</v>
      </c>
      <c r="O32" s="547" t="str">
        <f t="shared" si="25"/>
        <v>[Unit Name]</v>
      </c>
      <c r="P32" s="547" t="str">
        <f t="shared" si="25"/>
        <v>[Unit Name]</v>
      </c>
      <c r="Q32" s="541"/>
      <c r="R32" s="541"/>
      <c r="S32" s="541"/>
      <c r="V32" s="318"/>
    </row>
  </sheetData>
  <autoFilter ref="A1:A32" xr:uid="{ED50C970-49AC-4EAF-B236-0528B70288D8}"/>
  <mergeCells count="2">
    <mergeCell ref="R3:T4"/>
    <mergeCell ref="F6:J7"/>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32514E1B-B29B-464E-928F-F7B8D5C0941B}">
          <x14:formula1>
            <xm:f>Fan_Backend!$D$2:$D$6</xm:f>
          </x14:formula1>
          <xm:sqref>C15</xm:sqref>
        </x14:dataValidation>
        <x14:dataValidation type="list" allowBlank="1" showInputMessage="1" showErrorMessage="1" xr:uid="{4FF10E5A-A13D-4E3C-B571-DD144AF647B8}">
          <x14:formula1>
            <xm:f>Fan_Backend!$A$2:$A$4</xm:f>
          </x14:formula1>
          <xm:sqref>C12</xm:sqref>
        </x14:dataValidation>
        <x14:dataValidation type="list" allowBlank="1" showInputMessage="1" showErrorMessage="1" xr:uid="{38901824-615C-4FA1-A7E7-EA9F430E2F28}">
          <x14:formula1>
            <xm:f>AC_Backend!$B$2:$B$9</xm:f>
          </x14:formula1>
          <xm:sqref>C11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3DF27-FA47-4E04-84C1-D9669532BF95}">
  <dimension ref="A1:B34"/>
  <sheetViews>
    <sheetView topLeftCell="A7" workbookViewId="0">
      <selection activeCell="B32" sqref="B32"/>
    </sheetView>
  </sheetViews>
  <sheetFormatPr defaultRowHeight="14.6" x14ac:dyDescent="0.4"/>
  <cols>
    <col min="1" max="1" width="31.53515625" style="114" customWidth="1"/>
    <col min="2" max="16384" width="9.23046875" style="114"/>
  </cols>
  <sheetData>
    <row r="1" spans="1:2" x14ac:dyDescent="0.4">
      <c r="A1" s="318" t="s">
        <v>724</v>
      </c>
      <c r="B1" s="543" t="s">
        <v>843</v>
      </c>
    </row>
    <row r="2" spans="1:2" x14ac:dyDescent="0.4">
      <c r="A2" s="114" t="s">
        <v>982</v>
      </c>
      <c r="B2" s="543">
        <f>SUMIF(AC_Takeoff!B:B,A2,AC_Takeoff!U:U)+SUMIF(AC_Takeoff!C:C,A2,AC_Takeoff!U:U)</f>
        <v>1</v>
      </c>
    </row>
    <row r="3" spans="1:2" x14ac:dyDescent="0.4">
      <c r="A3" s="114" t="s">
        <v>1403</v>
      </c>
      <c r="B3" s="543">
        <f>SUMIF(AC_Takeoff!B:B,A3,AC_Takeoff!U:U)+SUMIF(AC_Takeoff!C:C,A3,AC_Takeoff!U:U)</f>
        <v>10</v>
      </c>
    </row>
    <row r="4" spans="1:2" x14ac:dyDescent="0.4">
      <c r="A4" s="114" t="s">
        <v>1406</v>
      </c>
      <c r="B4" s="543">
        <f>SUMIF(AC_Takeoff!B:B,A4,AC_Takeoff!U:U)+SUMIF(AC_Takeoff!C:C,A4,AC_Takeoff!U:U)</f>
        <v>10</v>
      </c>
    </row>
    <row r="5" spans="1:2" x14ac:dyDescent="0.4">
      <c r="A5" s="114" t="s">
        <v>1407</v>
      </c>
      <c r="B5" s="543">
        <f>SUMIF(AC_Takeoff!B:B,A5,AC_Takeoff!U:U)+SUMIF(AC_Takeoff!C:C,A5,AC_Takeoff!U:U)</f>
        <v>0</v>
      </c>
    </row>
    <row r="6" spans="1:2" x14ac:dyDescent="0.4">
      <c r="A6" s="114" t="s">
        <v>1405</v>
      </c>
      <c r="B6" s="543">
        <f>SUMIF(AC_Takeoff!B:B,A6,AC_Takeoff!U:U)+SUMIF(AC_Takeoff!C:C,A6,AC_Takeoff!U:U)</f>
        <v>10</v>
      </c>
    </row>
    <row r="7" spans="1:2" x14ac:dyDescent="0.4">
      <c r="A7" s="114" t="s">
        <v>1409</v>
      </c>
      <c r="B7" s="543">
        <f>SUMIF(AC_Takeoff!B:B,A7,AC_Takeoff!U:U)+SUMIF(AC_Takeoff!C:C,A7,AC_Takeoff!U:U)</f>
        <v>0</v>
      </c>
    </row>
    <row r="8" spans="1:2" x14ac:dyDescent="0.4">
      <c r="A8" s="114" t="s">
        <v>1408</v>
      </c>
      <c r="B8" s="543">
        <f>SUMIF(AC_Takeoff!B:B,A8,AC_Takeoff!U:U)+SUMIF(AC_Takeoff!C:C,A8,AC_Takeoff!U:U)</f>
        <v>0</v>
      </c>
    </row>
    <row r="9" spans="1:2" x14ac:dyDescent="0.4">
      <c r="A9" s="114" t="s">
        <v>1404</v>
      </c>
      <c r="B9" s="543">
        <f>SUMIF(AC_Takeoff!B:B,A9,AC_Takeoff!U:U)+SUMIF(AC_Takeoff!C:C,A9,AC_Takeoff!U:U)</f>
        <v>10</v>
      </c>
    </row>
    <row r="10" spans="1:2" x14ac:dyDescent="0.4">
      <c r="A10" s="114" t="s">
        <v>983</v>
      </c>
      <c r="B10" s="543">
        <f>SUMIF(AC_Takeoff!B:B,A10,AC_Takeoff!U:U)+SUMIF(AC_Takeoff!C:C,A10,AC_Takeoff!U:U)</f>
        <v>1</v>
      </c>
    </row>
    <row r="11" spans="1:2" x14ac:dyDescent="0.4">
      <c r="A11" s="114" t="s">
        <v>984</v>
      </c>
      <c r="B11" s="543">
        <f>SUMIF(AC_Takeoff!B:B,A11,AC_Takeoff!U:U)+SUMIF(AC_Takeoff!C:C,A11,AC_Takeoff!U:U)</f>
        <v>0</v>
      </c>
    </row>
    <row r="12" spans="1:2" x14ac:dyDescent="0.4">
      <c r="A12" s="114" t="s">
        <v>992</v>
      </c>
      <c r="B12" s="543">
        <f>SUMIF(AC_Takeoff!B:B,A12,AC_Takeoff!U:U)+SUMIF(AC_Takeoff!C:C,A12,AC_Takeoff!U:U)</f>
        <v>0</v>
      </c>
    </row>
    <row r="13" spans="1:2" x14ac:dyDescent="0.4">
      <c r="A13" s="114" t="s">
        <v>991</v>
      </c>
      <c r="B13" s="543">
        <f>SUMIF(AC_Takeoff!B:B,A13,AC_Takeoff!U:U)+SUMIF(AC_Takeoff!C:C,A13,AC_Takeoff!U:U)</f>
        <v>0</v>
      </c>
    </row>
    <row r="14" spans="1:2" x14ac:dyDescent="0.4">
      <c r="A14" s="114" t="s">
        <v>993</v>
      </c>
      <c r="B14" s="543">
        <f>SUMIF(AC_Takeoff!B:B,A14,AC_Takeoff!U:U)+SUMIF(AC_Takeoff!C:C,A14,AC_Takeoff!U:U)</f>
        <v>0</v>
      </c>
    </row>
    <row r="15" spans="1:2" x14ac:dyDescent="0.4">
      <c r="A15" s="114" t="s">
        <v>1415</v>
      </c>
      <c r="B15" s="543">
        <f>SUMIF(AC_Takeoff!B:B,A15,AC_Takeoff!U:U)+SUMIF(AC_Takeoff!C:C,A15,AC_Takeoff!U:U)</f>
        <v>1</v>
      </c>
    </row>
    <row r="16" spans="1:2" x14ac:dyDescent="0.4">
      <c r="A16" s="114" t="s">
        <v>1401</v>
      </c>
      <c r="B16" s="543">
        <f>SUMIF(AC_Takeoff!B:B,A16,AC_Takeoff!U:U)+SUMIF(AC_Takeoff!C:C,A16,AC_Takeoff!U:U)</f>
        <v>0</v>
      </c>
    </row>
    <row r="17" spans="1:2" x14ac:dyDescent="0.4">
      <c r="A17" s="114" t="s">
        <v>1402</v>
      </c>
      <c r="B17" s="543">
        <f>SUMIF(AC_Takeoff!B:B,A17,AC_Takeoff!U:U)+SUMIF(AC_Takeoff!C:C,A17,AC_Takeoff!U:U)</f>
        <v>0</v>
      </c>
    </row>
    <row r="18" spans="1:2" x14ac:dyDescent="0.4">
      <c r="A18" s="114" t="s">
        <v>1418</v>
      </c>
      <c r="B18" s="543">
        <f>SUMIF(AC_Takeoff!B:B,A18,AC_Takeoff!U:U)+SUMIF(AC_Takeoff!C:C,A18,AC_Takeoff!U:U)</f>
        <v>1</v>
      </c>
    </row>
    <row r="19" spans="1:2" x14ac:dyDescent="0.4">
      <c r="A19" s="114" t="s">
        <v>678</v>
      </c>
      <c r="B19" s="543">
        <f>SUMIF(AC_Takeoff!B:B,A19,AC_Takeoff!U:U)+SUMIF(AC_Takeoff!C:C,A19,AC_Takeoff!U:U)</f>
        <v>0</v>
      </c>
    </row>
    <row r="20" spans="1:2" x14ac:dyDescent="0.4">
      <c r="A20" s="114" t="s">
        <v>1419</v>
      </c>
      <c r="B20" s="543">
        <f>SUMIF(AC_Takeoff!B:B,A20,AC_Takeoff!U:U)+SUMIF(AC_Takeoff!C:C,A20,AC_Takeoff!U:U)</f>
        <v>1</v>
      </c>
    </row>
    <row r="21" spans="1:2" x14ac:dyDescent="0.4">
      <c r="A21" s="114" t="s">
        <v>1412</v>
      </c>
      <c r="B21" s="543">
        <f>SUMIF(AC_Takeoff!B:B,A21,AC_Takeoff!U:U)+SUMIF(AC_Takeoff!C:C,A21,AC_Takeoff!U:U)</f>
        <v>1</v>
      </c>
    </row>
    <row r="22" spans="1:2" x14ac:dyDescent="0.4">
      <c r="A22" s="114" t="s">
        <v>1414</v>
      </c>
      <c r="B22" s="543">
        <f>SUMIF(AC_Takeoff!B:B,A22,AC_Takeoff!U:U)+SUMIF(AC_Takeoff!C:C,A22,AC_Takeoff!U:U)</f>
        <v>1</v>
      </c>
    </row>
    <row r="23" spans="1:2" x14ac:dyDescent="0.4">
      <c r="A23" s="114" t="s">
        <v>1417</v>
      </c>
      <c r="B23" s="543">
        <f>SUMIF(AC_Takeoff!B:B,A23,AC_Takeoff!U:U)+SUMIF(AC_Takeoff!C:C,A23,AC_Takeoff!U:U)</f>
        <v>1</v>
      </c>
    </row>
    <row r="24" spans="1:2" x14ac:dyDescent="0.4">
      <c r="A24" s="114" t="s">
        <v>1416</v>
      </c>
      <c r="B24" s="543">
        <f>SUMIF(AC_Takeoff!B:B,A24,AC_Takeoff!U:U)+SUMIF(AC_Takeoff!C:C,A24,AC_Takeoff!U:U)</f>
        <v>1</v>
      </c>
    </row>
    <row r="25" spans="1:2" x14ac:dyDescent="0.4">
      <c r="A25" s="114" t="s">
        <v>1430</v>
      </c>
      <c r="B25" s="543">
        <f>SUMIF(AC_Takeoff!B:B,A25,AC_Takeoff!U:U)+SUMIF(AC_Takeoff!C:C,A25,AC_Takeoff!U:U)</f>
        <v>0</v>
      </c>
    </row>
    <row r="26" spans="1:2" x14ac:dyDescent="0.4">
      <c r="A26" s="114" t="s">
        <v>1431</v>
      </c>
      <c r="B26" s="543">
        <f>SUMIF(AC_Takeoff!B:B,A26,AC_Takeoff!U:U)+SUMIF(AC_Takeoff!C:C,A26,AC_Takeoff!U:U)</f>
        <v>0</v>
      </c>
    </row>
    <row r="27" spans="1:2" x14ac:dyDescent="0.4">
      <c r="A27" s="114" t="s">
        <v>1036</v>
      </c>
      <c r="B27" s="543">
        <f>SUMIF(AC_Takeoff!B:B,A27,AC_Takeoff!U:U)+SUMIF(AC_Takeoff!C:C,A27,AC_Takeoff!U:U)</f>
        <v>0</v>
      </c>
    </row>
    <row r="28" spans="1:2" x14ac:dyDescent="0.4">
      <c r="A28" s="114" t="s">
        <v>1029</v>
      </c>
      <c r="B28" s="543">
        <f>SUMIF(AC_Takeoff!B:B,A28,AC_Takeoff!U:U)+SUMIF(AC_Takeoff!C:C,A28,AC_Takeoff!U:U)</f>
        <v>0</v>
      </c>
    </row>
    <row r="29" spans="1:2" x14ac:dyDescent="0.4">
      <c r="A29" s="114" t="s">
        <v>1030</v>
      </c>
      <c r="B29" s="543">
        <f>SUMIF(AC_Takeoff!B:B,A29,AC_Takeoff!U:U)+SUMIF(AC_Takeoff!C:C,A29,AC_Takeoff!U:U)</f>
        <v>0</v>
      </c>
    </row>
    <row r="30" spans="1:2" x14ac:dyDescent="0.4">
      <c r="A30" s="114" t="s">
        <v>1026</v>
      </c>
      <c r="B30" s="543">
        <f>SUMIF(AC_Takeoff!B:B,A30,AC_Takeoff!U:U)+SUMIF(AC_Takeoff!C:C,A30,AC_Takeoff!U:U)</f>
        <v>0</v>
      </c>
    </row>
    <row r="31" spans="1:2" x14ac:dyDescent="0.4">
      <c r="A31" s="114" t="s">
        <v>1031</v>
      </c>
      <c r="B31" s="543">
        <f>SUMIF(AC_Takeoff!B:B,A31,AC_Takeoff!U:U)+SUMIF(AC_Takeoff!C:C,A31,AC_Takeoff!U:U)</f>
        <v>0</v>
      </c>
    </row>
    <row r="32" spans="1:2" x14ac:dyDescent="0.4">
      <c r="A32" s="114" t="s">
        <v>1432</v>
      </c>
      <c r="B32" s="543">
        <f>SUMIF(AC_Takeoff!B:B,A32,AC_Takeoff!U:U)+SUMIF(AC_Takeoff!C:C,A32,AC_Takeoff!U:U)</f>
        <v>1</v>
      </c>
    </row>
    <row r="33" spans="1:2" x14ac:dyDescent="0.4">
      <c r="A33" s="114" t="s">
        <v>1048</v>
      </c>
      <c r="B33" s="543">
        <f>SUMIF(AC_Takeoff!B:B,A33,AC_Takeoff!U:U)+SUMIF(AC_Takeoff!C:C,A33,AC_Takeoff!U:U)</f>
        <v>1</v>
      </c>
    </row>
    <row r="34" spans="1:2" x14ac:dyDescent="0.4">
      <c r="A34" s="114" t="s">
        <v>886</v>
      </c>
      <c r="B34" s="543">
        <f>SUMIF(AC_Takeoff!B:B,A34,AC_Takeoff!U:U)+SUMIF(AC_Takeoff!C:C,A34,AC_Takeoff!U:U)</f>
        <v>0</v>
      </c>
    </row>
  </sheetData>
  <conditionalFormatting sqref="J3:J5">
    <cfRule type="cellIs" dxfId="303" priority="32" operator="equal">
      <formula>""</formula>
    </cfRule>
  </conditionalFormatting>
  <conditionalFormatting sqref="J6:J8">
    <cfRule type="cellIs" dxfId="302" priority="31" operator="equal">
      <formula>""</formula>
    </cfRule>
  </conditionalFormatting>
  <conditionalFormatting sqref="J9">
    <cfRule type="cellIs" dxfId="301" priority="30" operator="equal">
      <formula>""</formula>
    </cfRule>
  </conditionalFormatting>
  <conditionalFormatting sqref="J10">
    <cfRule type="cellIs" dxfId="300" priority="29" operator="equal">
      <formula>""</formula>
    </cfRule>
  </conditionalFormatting>
  <conditionalFormatting sqref="J11">
    <cfRule type="cellIs" dxfId="299" priority="28" operator="equal">
      <formula>""</formula>
    </cfRule>
  </conditionalFormatting>
  <conditionalFormatting sqref="J12">
    <cfRule type="cellIs" dxfId="298" priority="27" operator="equal">
      <formula>""</formula>
    </cfRule>
  </conditionalFormatting>
  <conditionalFormatting sqref="J13">
    <cfRule type="cellIs" dxfId="297" priority="26" operator="equal">
      <formula>""</formula>
    </cfRule>
  </conditionalFormatting>
  <conditionalFormatting sqref="J14:J15">
    <cfRule type="cellIs" dxfId="296" priority="25" operator="equal">
      <formula>""</formula>
    </cfRule>
  </conditionalFormatting>
  <conditionalFormatting sqref="J16:J17">
    <cfRule type="cellIs" dxfId="295" priority="24" operator="equal">
      <formula>""</formula>
    </cfRule>
  </conditionalFormatting>
  <conditionalFormatting sqref="J18">
    <cfRule type="cellIs" dxfId="294" priority="23" operator="equal">
      <formula>""</formula>
    </cfRule>
  </conditionalFormatting>
  <conditionalFormatting sqref="J19">
    <cfRule type="cellIs" dxfId="293" priority="22" operator="equal">
      <formula>""</formula>
    </cfRule>
  </conditionalFormatting>
  <conditionalFormatting sqref="J20">
    <cfRule type="cellIs" dxfId="292" priority="21" operator="equal">
      <formula>""</formula>
    </cfRule>
  </conditionalFormatting>
  <conditionalFormatting sqref="J21:J22">
    <cfRule type="cellIs" dxfId="291" priority="20" operator="equal">
      <formula>""</formula>
    </cfRule>
  </conditionalFormatting>
  <conditionalFormatting sqref="J23:J24">
    <cfRule type="cellIs" dxfId="290" priority="19" operator="equal">
      <formula>""</formula>
    </cfRule>
  </conditionalFormatting>
  <conditionalFormatting sqref="J25">
    <cfRule type="cellIs" dxfId="289" priority="18" operator="equal">
      <formula>""</formula>
    </cfRule>
  </conditionalFormatting>
  <conditionalFormatting sqref="J34">
    <cfRule type="cellIs" dxfId="288" priority="17" operator="equal">
      <formula>""</formula>
    </cfRule>
  </conditionalFormatting>
  <conditionalFormatting sqref="A2:A4">
    <cfRule type="cellIs" dxfId="287" priority="16" operator="equal">
      <formula>""</formula>
    </cfRule>
  </conditionalFormatting>
  <conditionalFormatting sqref="A5:A7">
    <cfRule type="cellIs" dxfId="286" priority="15" operator="equal">
      <formula>""</formula>
    </cfRule>
  </conditionalFormatting>
  <conditionalFormatting sqref="A8">
    <cfRule type="cellIs" dxfId="285" priority="14" operator="equal">
      <formula>""</formula>
    </cfRule>
  </conditionalFormatting>
  <conditionalFormatting sqref="A9">
    <cfRule type="cellIs" dxfId="284" priority="13" operator="equal">
      <formula>""</formula>
    </cfRule>
  </conditionalFormatting>
  <conditionalFormatting sqref="A10">
    <cfRule type="cellIs" dxfId="283" priority="12" operator="equal">
      <formula>""</formula>
    </cfRule>
  </conditionalFormatting>
  <conditionalFormatting sqref="A11">
    <cfRule type="cellIs" dxfId="282" priority="11" operator="equal">
      <formula>""</formula>
    </cfRule>
  </conditionalFormatting>
  <conditionalFormatting sqref="A12">
    <cfRule type="cellIs" dxfId="281" priority="10" operator="equal">
      <formula>""</formula>
    </cfRule>
  </conditionalFormatting>
  <conditionalFormatting sqref="A13:A14">
    <cfRule type="cellIs" dxfId="280" priority="9" operator="equal">
      <formula>""</formula>
    </cfRule>
  </conditionalFormatting>
  <conditionalFormatting sqref="A15:A16">
    <cfRule type="cellIs" dxfId="279" priority="8" operator="equal">
      <formula>""</formula>
    </cfRule>
  </conditionalFormatting>
  <conditionalFormatting sqref="A17">
    <cfRule type="cellIs" dxfId="278" priority="7" operator="equal">
      <formula>""</formula>
    </cfRule>
  </conditionalFormatting>
  <conditionalFormatting sqref="A18">
    <cfRule type="cellIs" dxfId="277" priority="6" operator="equal">
      <formula>""</formula>
    </cfRule>
  </conditionalFormatting>
  <conditionalFormatting sqref="A19">
    <cfRule type="cellIs" dxfId="276" priority="5" operator="equal">
      <formula>""</formula>
    </cfRule>
  </conditionalFormatting>
  <conditionalFormatting sqref="A20:A21">
    <cfRule type="cellIs" dxfId="275" priority="4" operator="equal">
      <formula>""</formula>
    </cfRule>
  </conditionalFormatting>
  <conditionalFormatting sqref="A22:A23">
    <cfRule type="cellIs" dxfId="274" priority="3" operator="equal">
      <formula>""</formula>
    </cfRule>
  </conditionalFormatting>
  <conditionalFormatting sqref="A24">
    <cfRule type="cellIs" dxfId="273" priority="2" operator="equal">
      <formula>""</formula>
    </cfRule>
  </conditionalFormatting>
  <conditionalFormatting sqref="A33">
    <cfRule type="cellIs" dxfId="272" priority="1" operator="equal">
      <formula>""</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B6F-A330-45D5-AD51-3CE151C38056}">
  <sheetPr filterMode="1"/>
  <dimension ref="A1:H122"/>
  <sheetViews>
    <sheetView workbookViewId="0">
      <selection activeCell="B32" sqref="B32"/>
    </sheetView>
  </sheetViews>
  <sheetFormatPr defaultRowHeight="14.6" x14ac:dyDescent="0.4"/>
  <cols>
    <col min="1" max="1" width="25.53515625" style="114" customWidth="1"/>
    <col min="2" max="2" width="57.69140625" style="114" customWidth="1"/>
    <col min="3" max="5" width="9.61328125" style="114" customWidth="1"/>
    <col min="6" max="6" width="7.765625" style="114" customWidth="1"/>
    <col min="7" max="16384" width="9.23046875" style="114"/>
  </cols>
  <sheetData>
    <row r="1" spans="1:8" s="546" customFormat="1" ht="19.75" thickBot="1" x14ac:dyDescent="0.55000000000000004">
      <c r="A1" s="546" t="s">
        <v>1423</v>
      </c>
      <c r="B1" s="546" t="s">
        <v>1422</v>
      </c>
      <c r="C1" s="546" t="s">
        <v>843</v>
      </c>
      <c r="D1" s="546" t="s">
        <v>996</v>
      </c>
      <c r="E1" s="546" t="s">
        <v>995</v>
      </c>
      <c r="F1" s="546" t="s">
        <v>1424</v>
      </c>
      <c r="G1" s="546" t="s">
        <v>1456</v>
      </c>
      <c r="H1" s="546" t="s">
        <v>1441</v>
      </c>
    </row>
    <row r="2" spans="1:8" ht="15" thickTop="1" x14ac:dyDescent="0.4">
      <c r="A2" s="114" t="s">
        <v>982</v>
      </c>
      <c r="B2" s="114" t="s">
        <v>982</v>
      </c>
      <c r="C2" s="114" t="s">
        <v>639</v>
      </c>
      <c r="D2" s="114">
        <f>SUM(D3)</f>
        <v>0</v>
      </c>
      <c r="E2" s="114">
        <f>SUM(E3)</f>
        <v>0</v>
      </c>
      <c r="F2" s="114">
        <f>IFERROR(IF(A2=B2,0,VLOOKUP(A2,'[6]AC Summary'!A:E,2,FALSE))*C2,0)</f>
        <v>0</v>
      </c>
      <c r="G2" s="114" t="b">
        <f>A2=B2</f>
        <v>1</v>
      </c>
      <c r="H2" s="114" t="s">
        <v>1442</v>
      </c>
    </row>
    <row r="3" spans="1:8" hidden="1" x14ac:dyDescent="0.4">
      <c r="A3" s="114" t="s">
        <v>982</v>
      </c>
      <c r="B3" s="114" t="s">
        <v>268</v>
      </c>
      <c r="D3" s="114">
        <f>VLOOKUP($B3,Parts!$A:$G,IF(D$1="t",4,3),FALSE)*$C3</f>
        <v>0</v>
      </c>
      <c r="E3" s="114">
        <f>VLOOKUP($B3,Parts!$A:$G,IF(E$1="t",4,3),FALSE)*$C3</f>
        <v>0</v>
      </c>
      <c r="F3" s="114">
        <f>IFERROR(IF(A3=B3,0,VLOOKUP(A3,'AC Summary'!A:E,2,FALSE))*C3,0)</f>
        <v>0</v>
      </c>
      <c r="G3" s="114" t="b">
        <f t="shared" ref="G3:G66" si="0">A3=B3</f>
        <v>0</v>
      </c>
    </row>
    <row r="4" spans="1:8" x14ac:dyDescent="0.4">
      <c r="A4" s="114" t="s">
        <v>1403</v>
      </c>
      <c r="B4" s="114" t="s">
        <v>1403</v>
      </c>
      <c r="C4" s="114" t="s">
        <v>639</v>
      </c>
      <c r="D4" s="114">
        <f>SUM(D5)</f>
        <v>0.1</v>
      </c>
      <c r="E4" s="114">
        <f>SUM(E5)</f>
        <v>0.85</v>
      </c>
      <c r="F4" s="114">
        <f>IFERROR(IF(A4=B4,0,VLOOKUP(A4,'AC Summary'!A:E,2,FALSE))*C4,0)</f>
        <v>0</v>
      </c>
      <c r="G4" s="114" t="b">
        <f t="shared" si="0"/>
        <v>1</v>
      </c>
    </row>
    <row r="5" spans="1:8" hidden="1" x14ac:dyDescent="0.4">
      <c r="A5" s="114" t="s">
        <v>1403</v>
      </c>
      <c r="B5" s="114" t="s">
        <v>268</v>
      </c>
      <c r="C5" s="114">
        <v>1</v>
      </c>
      <c r="D5" s="114">
        <f>VLOOKUP($B5,Parts!$A:$G,IF(D$1="t",4,3),FALSE)*$C5</f>
        <v>0.1</v>
      </c>
      <c r="E5" s="114">
        <f>VLOOKUP($B5,Parts!$A:$G,IF(E$1="t",4,3),FALSE)*$C5</f>
        <v>0.85</v>
      </c>
      <c r="F5" s="114">
        <f>IFERROR(IF(A5=B5,0,VLOOKUP(A5,'AC Summary'!A:E,2,FALSE))*C5,0)</f>
        <v>10</v>
      </c>
      <c r="G5" s="114" t="b">
        <f t="shared" si="0"/>
        <v>0</v>
      </c>
    </row>
    <row r="6" spans="1:8" x14ac:dyDescent="0.4">
      <c r="A6" s="114" t="s">
        <v>1406</v>
      </c>
      <c r="B6" s="114" t="s">
        <v>1406</v>
      </c>
      <c r="C6" s="114" t="s">
        <v>639</v>
      </c>
      <c r="D6" s="114">
        <f>SUM(D7)</f>
        <v>0.1</v>
      </c>
      <c r="E6" s="114">
        <f>SUM(E7)</f>
        <v>3.48</v>
      </c>
      <c r="F6" s="114">
        <f>IFERROR(IF(A6=B6,0,VLOOKUP(A6,'AC Summary'!A:E,2,FALSE))*C6,0)</f>
        <v>0</v>
      </c>
      <c r="G6" s="114" t="b">
        <f t="shared" si="0"/>
        <v>1</v>
      </c>
    </row>
    <row r="7" spans="1:8" hidden="1" x14ac:dyDescent="0.4">
      <c r="A7" s="114" t="s">
        <v>1406</v>
      </c>
      <c r="B7" s="114" t="s">
        <v>267</v>
      </c>
      <c r="C7" s="114">
        <v>1</v>
      </c>
      <c r="D7" s="114">
        <f>VLOOKUP($B7,Parts!$A:$G,IF(D$1="t",4,3),FALSE)*$C7</f>
        <v>0.1</v>
      </c>
      <c r="E7" s="114">
        <f>VLOOKUP($B7,Parts!$A:$G,IF(E$1="t",4,3),FALSE)*$C7</f>
        <v>3.48</v>
      </c>
      <c r="F7" s="114">
        <f>IFERROR(IF(A7=B7,0,VLOOKUP(A7,'AC Summary'!A:E,2,FALSE))*C7,0)</f>
        <v>10</v>
      </c>
      <c r="G7" s="114" t="b">
        <f t="shared" si="0"/>
        <v>0</v>
      </c>
    </row>
    <row r="8" spans="1:8" x14ac:dyDescent="0.4">
      <c r="A8" s="114" t="s">
        <v>1407</v>
      </c>
      <c r="B8" s="114" t="s">
        <v>1407</v>
      </c>
      <c r="C8" s="114" t="s">
        <v>639</v>
      </c>
      <c r="D8" s="114">
        <f>SUM(D9)</f>
        <v>0.1</v>
      </c>
      <c r="E8" s="114">
        <f>SUM(E9)</f>
        <v>4.5599999999999996</v>
      </c>
      <c r="F8" s="114">
        <f>IFERROR(IF(A8=B8,0,VLOOKUP(A8,'AC Summary'!A:E,2,FALSE))*C8,0)</f>
        <v>0</v>
      </c>
      <c r="G8" s="114" t="b">
        <f t="shared" si="0"/>
        <v>1</v>
      </c>
    </row>
    <row r="9" spans="1:8" hidden="1" x14ac:dyDescent="0.4">
      <c r="A9" s="114" t="s">
        <v>1407</v>
      </c>
      <c r="B9" s="114" t="s">
        <v>266</v>
      </c>
      <c r="C9" s="114">
        <v>1</v>
      </c>
      <c r="D9" s="114">
        <f>VLOOKUP($B9,Parts!$A:$G,IF(D$1="t",4,3),FALSE)*$C9</f>
        <v>0.1</v>
      </c>
      <c r="E9" s="114">
        <f>VLOOKUP($B9,Parts!$A:$G,IF(E$1="t",4,3),FALSE)*$C9</f>
        <v>4.5599999999999996</v>
      </c>
      <c r="F9" s="114">
        <f>IFERROR(IF(A9=B9,0,VLOOKUP(A9,'AC Summary'!A:E,2,FALSE))*C9,0)</f>
        <v>0</v>
      </c>
      <c r="G9" s="114" t="b">
        <f t="shared" si="0"/>
        <v>0</v>
      </c>
    </row>
    <row r="10" spans="1:8" x14ac:dyDescent="0.4">
      <c r="A10" s="114" t="s">
        <v>1405</v>
      </c>
      <c r="B10" s="114" t="s">
        <v>1405</v>
      </c>
      <c r="C10" s="114" t="s">
        <v>639</v>
      </c>
      <c r="D10" s="114">
        <f>SUM(D11)</f>
        <v>0.1</v>
      </c>
      <c r="E10" s="114">
        <f>SUM(E11)</f>
        <v>1.056</v>
      </c>
      <c r="F10" s="114">
        <f>IFERROR(IF(A10=B10,0,VLOOKUP(A10,'AC Summary'!A:E,2,FALSE))*C10,0)</f>
        <v>0</v>
      </c>
      <c r="G10" s="114" t="b">
        <f t="shared" si="0"/>
        <v>1</v>
      </c>
    </row>
    <row r="11" spans="1:8" hidden="1" x14ac:dyDescent="0.4">
      <c r="A11" s="114" t="s">
        <v>1405</v>
      </c>
      <c r="B11" s="114" t="s">
        <v>269</v>
      </c>
      <c r="C11" s="114">
        <v>1</v>
      </c>
      <c r="D11" s="114">
        <f>VLOOKUP($B11,Parts!$A:$G,IF(D$1="t",4,3),FALSE)*$C11</f>
        <v>0.1</v>
      </c>
      <c r="E11" s="114">
        <f>VLOOKUP($B11,Parts!$A:$G,IF(E$1="t",4,3),FALSE)*$C11</f>
        <v>1.056</v>
      </c>
      <c r="F11" s="114">
        <f>IFERROR(IF(A11=B11,0,VLOOKUP(A11,'AC Summary'!A:E,2,FALSE))*C11,0)</f>
        <v>10</v>
      </c>
      <c r="G11" s="114" t="b">
        <f t="shared" si="0"/>
        <v>0</v>
      </c>
    </row>
    <row r="12" spans="1:8" x14ac:dyDescent="0.4">
      <c r="A12" s="114" t="s">
        <v>1409</v>
      </c>
      <c r="B12" s="114" t="s">
        <v>1409</v>
      </c>
      <c r="C12" s="114" t="s">
        <v>639</v>
      </c>
      <c r="D12" s="114">
        <f>SUM(D13)</f>
        <v>0.1</v>
      </c>
      <c r="E12" s="114">
        <f>SUM(E13)</f>
        <v>5.8</v>
      </c>
      <c r="F12" s="114">
        <f>IFERROR(IF(A12=B12,0,VLOOKUP(A12,'AC Summary'!A:E,2,FALSE))*C12,0)</f>
        <v>0</v>
      </c>
      <c r="G12" s="114" t="b">
        <f t="shared" si="0"/>
        <v>1</v>
      </c>
    </row>
    <row r="13" spans="1:8" hidden="1" x14ac:dyDescent="0.4">
      <c r="A13" s="114" t="s">
        <v>1409</v>
      </c>
      <c r="B13" s="114" t="s">
        <v>1254</v>
      </c>
      <c r="C13" s="114">
        <v>1</v>
      </c>
      <c r="D13" s="114">
        <f>VLOOKUP($B13,Parts!$A:$G,IF(D$1="t",4,3),FALSE)*$C13</f>
        <v>0.1</v>
      </c>
      <c r="E13" s="114">
        <f>VLOOKUP($B13,Parts!$A:$G,IF(E$1="t",4,3),FALSE)*$C13</f>
        <v>5.8</v>
      </c>
      <c r="F13" s="114">
        <f>IFERROR(IF(A13=B13,0,VLOOKUP(A13,'AC Summary'!A:E,2,FALSE))*C13,0)</f>
        <v>0</v>
      </c>
      <c r="G13" s="114" t="b">
        <f t="shared" si="0"/>
        <v>0</v>
      </c>
    </row>
    <row r="14" spans="1:8" x14ac:dyDescent="0.4">
      <c r="A14" s="114" t="s">
        <v>1408</v>
      </c>
      <c r="B14" s="114" t="s">
        <v>1408</v>
      </c>
      <c r="C14" s="114" t="s">
        <v>639</v>
      </c>
      <c r="D14" s="114">
        <f>SUM(D15)</f>
        <v>0.1</v>
      </c>
      <c r="E14" s="114">
        <f>SUM(E15)</f>
        <v>2.4</v>
      </c>
      <c r="F14" s="114">
        <f>IFERROR(IF(A14=B14,0,VLOOKUP(A14,'AC Summary'!A:E,2,FALSE))*C14,0)</f>
        <v>0</v>
      </c>
      <c r="G14" s="114" t="b">
        <f t="shared" si="0"/>
        <v>1</v>
      </c>
    </row>
    <row r="15" spans="1:8" hidden="1" x14ac:dyDescent="0.4">
      <c r="A15" s="114" t="s">
        <v>1408</v>
      </c>
      <c r="B15" s="114" t="s">
        <v>360</v>
      </c>
      <c r="C15" s="114">
        <v>1</v>
      </c>
      <c r="D15" s="114">
        <f>VLOOKUP($B15,Parts!$A:$G,IF(D$1="t",4,3),FALSE)*$C15</f>
        <v>0.1</v>
      </c>
      <c r="E15" s="114">
        <f>VLOOKUP($B15,Parts!$A:$G,IF(E$1="t",4,3),FALSE)*$C15</f>
        <v>2.4</v>
      </c>
      <c r="F15" s="114">
        <f>IFERROR(IF(A15=B15,0,VLOOKUP(A15,'AC Summary'!A:E,2,FALSE))*C15,0)</f>
        <v>0</v>
      </c>
      <c r="G15" s="114" t="b">
        <f t="shared" si="0"/>
        <v>0</v>
      </c>
    </row>
    <row r="16" spans="1:8" x14ac:dyDescent="0.4">
      <c r="A16" s="114" t="s">
        <v>1404</v>
      </c>
      <c r="B16" s="114" t="s">
        <v>1404</v>
      </c>
      <c r="C16" s="114" t="s">
        <v>639</v>
      </c>
      <c r="D16" s="114">
        <f>SUM(D17)</f>
        <v>0.1</v>
      </c>
      <c r="E16" s="114">
        <f>SUM(E17)</f>
        <v>0.28000000000000003</v>
      </c>
      <c r="F16" s="114">
        <f>IFERROR(IF(A16=B16,0,VLOOKUP(A16,'AC Summary'!A:E,2,FALSE))*C16,0)</f>
        <v>0</v>
      </c>
      <c r="G16" s="114" t="b">
        <f t="shared" si="0"/>
        <v>1</v>
      </c>
    </row>
    <row r="17" spans="1:8" hidden="1" x14ac:dyDescent="0.4">
      <c r="A17" s="114" t="s">
        <v>1404</v>
      </c>
      <c r="B17" s="114" t="s">
        <v>418</v>
      </c>
      <c r="C17" s="114">
        <v>1</v>
      </c>
      <c r="D17" s="114">
        <f>VLOOKUP($B17,Parts!$A:$G,IF(D$1="t",4,3),FALSE)*$C17</f>
        <v>0.1</v>
      </c>
      <c r="E17" s="114">
        <f>VLOOKUP($B17,Parts!$A:$G,IF(E$1="t",4,3),FALSE)*$C17</f>
        <v>0.28000000000000003</v>
      </c>
      <c r="F17" s="114">
        <f>IFERROR(IF(A17=B17,0,VLOOKUP(A17,'AC Summary'!A:E,2,FALSE))*C17,0)</f>
        <v>10</v>
      </c>
      <c r="G17" s="114" t="b">
        <f t="shared" si="0"/>
        <v>0</v>
      </c>
    </row>
    <row r="18" spans="1:8" x14ac:dyDescent="0.4">
      <c r="A18" s="114" t="s">
        <v>983</v>
      </c>
      <c r="B18" s="114" t="s">
        <v>983</v>
      </c>
      <c r="C18" s="114" t="s">
        <v>639</v>
      </c>
      <c r="D18" s="114">
        <f>SUM(D19:D20)</f>
        <v>0</v>
      </c>
      <c r="E18" s="114">
        <f>SUM(E19:E20)</f>
        <v>37.799999999999997</v>
      </c>
      <c r="F18" s="114">
        <f>IFERROR(IF(A18=B18,0,VLOOKUP(A18,'AC Summary'!A:E,2,FALSE))*C18,0)</f>
        <v>0</v>
      </c>
      <c r="G18" s="114" t="b">
        <f t="shared" si="0"/>
        <v>1</v>
      </c>
      <c r="H18" s="114" t="s">
        <v>1463</v>
      </c>
    </row>
    <row r="19" spans="1:8" hidden="1" x14ac:dyDescent="0.4">
      <c r="A19" s="114" t="s">
        <v>983</v>
      </c>
      <c r="B19" s="114" t="s">
        <v>268</v>
      </c>
      <c r="D19" s="114">
        <f>VLOOKUP($B19,Parts!$A:$G,IF(D$1="t",4,3),FALSE)*$C19</f>
        <v>0</v>
      </c>
      <c r="E19" s="114">
        <f>VLOOKUP($B19,Parts!$A:$G,IF(E$1="t",4,3),FALSE)*$C19</f>
        <v>0</v>
      </c>
      <c r="F19" s="114">
        <f>IFERROR(IF(A19=B19,0,VLOOKUP(A19,'AC Summary'!A:E,2,FALSE))*C19,0)</f>
        <v>0</v>
      </c>
      <c r="G19" s="114" t="b">
        <f t="shared" si="0"/>
        <v>0</v>
      </c>
    </row>
    <row r="20" spans="1:8" hidden="1" x14ac:dyDescent="0.4">
      <c r="A20" s="114" t="s">
        <v>983</v>
      </c>
      <c r="B20" s="114" t="s">
        <v>1389</v>
      </c>
      <c r="C20" s="114">
        <v>1</v>
      </c>
      <c r="D20" s="114">
        <f>VLOOKUP($B20,Parts!$A:$G,IF(D$1="t",4,3),FALSE)*$C20</f>
        <v>0</v>
      </c>
      <c r="E20" s="114">
        <f>VLOOKUP($B20,Parts!$A:$G,IF(E$1="t",4,3),FALSE)*$C20</f>
        <v>37.799999999999997</v>
      </c>
      <c r="F20" s="114">
        <f>IFERROR(IF(A20=B20,0,VLOOKUP(A20,'AC Summary'!A:E,2,FALSE))*C20,0)</f>
        <v>1</v>
      </c>
      <c r="G20" s="114" t="b">
        <f t="shared" si="0"/>
        <v>0</v>
      </c>
    </row>
    <row r="21" spans="1:8" x14ac:dyDescent="0.4">
      <c r="A21" s="114" t="s">
        <v>984</v>
      </c>
      <c r="B21" s="114" t="s">
        <v>984</v>
      </c>
      <c r="C21" s="114" t="s">
        <v>639</v>
      </c>
      <c r="D21" s="114">
        <f>SUM(D22:D23)</f>
        <v>0</v>
      </c>
      <c r="E21" s="114">
        <f>SUM(E22:E23)</f>
        <v>24.2</v>
      </c>
      <c r="F21" s="114">
        <f>IFERROR(IF(A21=B21,0,VLOOKUP(A21,'AC Summary'!A:E,2,FALSE))*C21,0)</f>
        <v>0</v>
      </c>
      <c r="G21" s="114" t="b">
        <f t="shared" si="0"/>
        <v>1</v>
      </c>
      <c r="H21" s="114" t="s">
        <v>1462</v>
      </c>
    </row>
    <row r="22" spans="1:8" hidden="1" x14ac:dyDescent="0.4">
      <c r="A22" s="114" t="s">
        <v>984</v>
      </c>
      <c r="B22" s="114" t="s">
        <v>418</v>
      </c>
      <c r="D22" s="114">
        <f>VLOOKUP($B22,Parts!$A:$G,IF(D$1="t",4,3),FALSE)*$C22</f>
        <v>0</v>
      </c>
      <c r="E22" s="114">
        <f>VLOOKUP($B22,Parts!$A:$G,IF(E$1="t",4,3),FALSE)*$C22</f>
        <v>0</v>
      </c>
      <c r="F22" s="114">
        <f>IFERROR(IF(A22=B22,0,VLOOKUP(A22,'AC Summary'!A:E,2,FALSE))*C22,0)</f>
        <v>0</v>
      </c>
      <c r="G22" s="114" t="b">
        <f t="shared" si="0"/>
        <v>0</v>
      </c>
    </row>
    <row r="23" spans="1:8" hidden="1" x14ac:dyDescent="0.4">
      <c r="A23" s="114" t="s">
        <v>984</v>
      </c>
      <c r="B23" s="114" t="s">
        <v>326</v>
      </c>
      <c r="C23" s="114">
        <v>1</v>
      </c>
      <c r="D23" s="114">
        <f>VLOOKUP($B23,Parts!$A:$G,IF(D$1="t",4,3),FALSE)*$C23</f>
        <v>0</v>
      </c>
      <c r="E23" s="114">
        <f>VLOOKUP($B23,Parts!$A:$G,IF(E$1="t",4,3),FALSE)*$C23</f>
        <v>24.2</v>
      </c>
      <c r="F23" s="114">
        <f>IFERROR(IF(A23=B23,0,VLOOKUP(A23,'AC Summary'!A:E,2,FALSE))*C23,0)</f>
        <v>0</v>
      </c>
      <c r="G23" s="114" t="b">
        <f t="shared" si="0"/>
        <v>0</v>
      </c>
    </row>
    <row r="24" spans="1:8" x14ac:dyDescent="0.4">
      <c r="A24" s="114" t="s">
        <v>992</v>
      </c>
      <c r="B24" s="114" t="s">
        <v>992</v>
      </c>
      <c r="C24" s="114" t="s">
        <v>639</v>
      </c>
      <c r="D24" s="114">
        <f>SUM(D25:D27)</f>
        <v>0</v>
      </c>
      <c r="E24" s="114">
        <f>SUM(E25:E27)</f>
        <v>47.599999999999994</v>
      </c>
      <c r="F24" s="114">
        <f>IFERROR(IF(A24=B24,0,VLOOKUP(A24,'AC Summary'!A:E,2,FALSE))*C24,0)</f>
        <v>0</v>
      </c>
      <c r="G24" s="114" t="b">
        <f t="shared" si="0"/>
        <v>1</v>
      </c>
      <c r="H24" s="114" t="s">
        <v>1461</v>
      </c>
    </row>
    <row r="25" spans="1:8" hidden="1" x14ac:dyDescent="0.4">
      <c r="A25" s="114" t="s">
        <v>992</v>
      </c>
      <c r="B25" s="114" t="s">
        <v>831</v>
      </c>
      <c r="C25" s="114">
        <v>1</v>
      </c>
      <c r="D25" s="114">
        <f>VLOOKUP($B25,Parts!$A:$G,IF(D$1="t",4,3),FALSE)*$C25</f>
        <v>0</v>
      </c>
      <c r="E25" s="114">
        <f>VLOOKUP($B25,Parts!$A:$G,IF(E$1="t",4,3),FALSE)*$C25</f>
        <v>23.4</v>
      </c>
      <c r="F25" s="114">
        <f>IFERROR(IF(A25=B25,0,VLOOKUP(A25,'AC Summary'!A:E,2,FALSE))*C25,0)</f>
        <v>0</v>
      </c>
      <c r="G25" s="114" t="b">
        <f t="shared" si="0"/>
        <v>0</v>
      </c>
    </row>
    <row r="26" spans="1:8" hidden="1" x14ac:dyDescent="0.4">
      <c r="A26" s="114" t="s">
        <v>992</v>
      </c>
      <c r="B26" s="114" t="s">
        <v>697</v>
      </c>
      <c r="C26" s="114">
        <v>1</v>
      </c>
      <c r="D26" s="114">
        <f>VLOOKUP($B26,Parts!$A:$G,IF(D$1="t",4,3),FALSE)*$C26</f>
        <v>0</v>
      </c>
      <c r="E26" s="114">
        <f>VLOOKUP($B26,Parts!$A:$G,IF(E$1="t",4,3),FALSE)*$C26</f>
        <v>24.2</v>
      </c>
      <c r="F26" s="114">
        <f>IFERROR(IF(A26=B26,0,VLOOKUP(A26,'AC Summary'!A:E,2,FALSE))*C26,0)</f>
        <v>0</v>
      </c>
      <c r="G26" s="114" t="b">
        <f t="shared" si="0"/>
        <v>0</v>
      </c>
    </row>
    <row r="27" spans="1:8" hidden="1" x14ac:dyDescent="0.4">
      <c r="A27" s="114" t="s">
        <v>992</v>
      </c>
      <c r="B27" s="114" t="s">
        <v>418</v>
      </c>
      <c r="D27" s="114">
        <f>VLOOKUP($B27,Parts!$A:$G,IF(D$1="t",4,3),FALSE)*$C27</f>
        <v>0</v>
      </c>
      <c r="E27" s="114">
        <f>VLOOKUP($B27,Parts!$A:$G,IF(E$1="t",4,3),FALSE)*$C27</f>
        <v>0</v>
      </c>
      <c r="F27" s="114">
        <f>IFERROR(IF(A27=B27,0,VLOOKUP(A27,'AC Summary'!A:E,2,FALSE))*C27,0)</f>
        <v>0</v>
      </c>
      <c r="G27" s="114" t="b">
        <f t="shared" si="0"/>
        <v>0</v>
      </c>
    </row>
    <row r="28" spans="1:8" x14ac:dyDescent="0.4">
      <c r="A28" s="114" t="s">
        <v>991</v>
      </c>
      <c r="B28" s="114" t="s">
        <v>991</v>
      </c>
      <c r="C28" s="114" t="s">
        <v>639</v>
      </c>
      <c r="D28" s="114">
        <f>SUM(D29:D30)</f>
        <v>0</v>
      </c>
      <c r="E28" s="114">
        <f>SUM(E29:E30)</f>
        <v>24.2</v>
      </c>
      <c r="F28" s="114">
        <f>IFERROR(IF(A28=B28,0,VLOOKUP(A28,'AC Summary'!A:E,2,FALSE))*C28,0)</f>
        <v>0</v>
      </c>
      <c r="G28" s="114" t="b">
        <f t="shared" si="0"/>
        <v>1</v>
      </c>
      <c r="H28" s="114" t="s">
        <v>1460</v>
      </c>
    </row>
    <row r="29" spans="1:8" hidden="1" x14ac:dyDescent="0.4">
      <c r="A29" s="114" t="s">
        <v>991</v>
      </c>
      <c r="B29" s="114" t="s">
        <v>418</v>
      </c>
      <c r="D29" s="114">
        <f>VLOOKUP($B29,Parts!$A:$G,IF(D$1="t",4,3),FALSE)*$C29</f>
        <v>0</v>
      </c>
      <c r="E29" s="114">
        <f>VLOOKUP($B29,Parts!$A:$G,IF(E$1="t",4,3),FALSE)*$C29</f>
        <v>0</v>
      </c>
      <c r="F29" s="114">
        <f>IFERROR(IF(A29=B29,0,VLOOKUP(A29,'AC Summary'!A:E,2,FALSE))*C29,0)</f>
        <v>0</v>
      </c>
      <c r="G29" s="114" t="b">
        <f t="shared" si="0"/>
        <v>0</v>
      </c>
    </row>
    <row r="30" spans="1:8" hidden="1" x14ac:dyDescent="0.4">
      <c r="A30" s="114" t="s">
        <v>991</v>
      </c>
      <c r="B30" s="114" t="s">
        <v>326</v>
      </c>
      <c r="C30" s="114">
        <v>1</v>
      </c>
      <c r="D30" s="114">
        <f>VLOOKUP($B30,Parts!$A:$G,IF(D$1="t",4,3),FALSE)*$C30</f>
        <v>0</v>
      </c>
      <c r="E30" s="114">
        <f>VLOOKUP($B30,Parts!$A:$G,IF(E$1="t",4,3),FALSE)*$C30</f>
        <v>24.2</v>
      </c>
      <c r="F30" s="114">
        <f>IFERROR(IF(A30=B30,0,VLOOKUP(A30,'AC Summary'!A:E,2,FALSE))*C30,0)</f>
        <v>0</v>
      </c>
      <c r="G30" s="114" t="b">
        <f t="shared" si="0"/>
        <v>0</v>
      </c>
    </row>
    <row r="31" spans="1:8" x14ac:dyDescent="0.4">
      <c r="A31" s="114" t="s">
        <v>993</v>
      </c>
      <c r="B31" s="114" t="s">
        <v>993</v>
      </c>
      <c r="C31" s="114" t="s">
        <v>639</v>
      </c>
      <c r="D31" s="114">
        <f>SUM(D32:D33)</f>
        <v>0</v>
      </c>
      <c r="E31" s="114">
        <f>SUM(E32:E33)</f>
        <v>24.2</v>
      </c>
      <c r="F31" s="114">
        <f>IFERROR(IF(A31=B31,0,VLOOKUP(A31,'AC Summary'!A:E,2,FALSE))*C31,0)</f>
        <v>0</v>
      </c>
      <c r="G31" s="114" t="b">
        <f t="shared" si="0"/>
        <v>1</v>
      </c>
      <c r="H31" s="114" t="s">
        <v>1459</v>
      </c>
    </row>
    <row r="32" spans="1:8" hidden="1" x14ac:dyDescent="0.4">
      <c r="A32" s="114" t="s">
        <v>993</v>
      </c>
      <c r="B32" s="114" t="s">
        <v>418</v>
      </c>
      <c r="D32" s="114">
        <f>VLOOKUP($B32,Parts!$A:$G,IF(D$1="t",4,3),FALSE)*$C32</f>
        <v>0</v>
      </c>
      <c r="E32" s="114">
        <f>VLOOKUP($B32,Parts!$A:$G,IF(E$1="t",4,3),FALSE)*$C32</f>
        <v>0</v>
      </c>
      <c r="F32" s="114">
        <f>IFERROR(IF(A32=B32,0,VLOOKUP(A32,'AC Summary'!A:E,2,FALSE))*C32,0)</f>
        <v>0</v>
      </c>
      <c r="G32" s="114" t="b">
        <f t="shared" si="0"/>
        <v>0</v>
      </c>
    </row>
    <row r="33" spans="1:8" hidden="1" x14ac:dyDescent="0.4">
      <c r="A33" s="114" t="s">
        <v>993</v>
      </c>
      <c r="B33" s="114" t="s">
        <v>326</v>
      </c>
      <c r="C33" s="114">
        <v>1</v>
      </c>
      <c r="D33" s="114">
        <f>VLOOKUP($B33,Parts!$A:$G,IF(D$1="t",4,3),FALSE)*$C33</f>
        <v>0</v>
      </c>
      <c r="E33" s="114">
        <f>VLOOKUP($B33,Parts!$A:$G,IF(E$1="t",4,3),FALSE)*$C33</f>
        <v>24.2</v>
      </c>
      <c r="F33" s="114">
        <f>IFERROR(IF(A33=B33,0,VLOOKUP(A33,'AC Summary'!A:E,2,FALSE))*C33,0)</f>
        <v>0</v>
      </c>
      <c r="G33" s="114" t="b">
        <f t="shared" si="0"/>
        <v>0</v>
      </c>
    </row>
    <row r="34" spans="1:8" x14ac:dyDescent="0.4">
      <c r="A34" s="114" t="s">
        <v>1415</v>
      </c>
      <c r="B34" s="114" t="s">
        <v>1415</v>
      </c>
      <c r="C34" s="114" t="s">
        <v>639</v>
      </c>
      <c r="D34" s="114">
        <f>SUM(D35)</f>
        <v>1</v>
      </c>
      <c r="E34" s="114">
        <f>SUM(E35)</f>
        <v>57.95</v>
      </c>
      <c r="F34" s="114">
        <f>IFERROR(IF(A34=B34,0,VLOOKUP(A34,'AC Summary'!A:E,2,FALSE))*C34,0)</f>
        <v>0</v>
      </c>
      <c r="G34" s="114" t="b">
        <f t="shared" si="0"/>
        <v>1</v>
      </c>
      <c r="H34" s="114" t="s">
        <v>1447</v>
      </c>
    </row>
    <row r="35" spans="1:8" hidden="1" x14ac:dyDescent="0.4">
      <c r="A35" s="114" t="s">
        <v>1415</v>
      </c>
      <c r="B35" s="114" t="s">
        <v>304</v>
      </c>
      <c r="C35" s="114">
        <v>1</v>
      </c>
      <c r="D35" s="114">
        <f>VLOOKUP($B35,Parts!$A:$G,IF(D$1="t",4,3),FALSE)*$C35</f>
        <v>1</v>
      </c>
      <c r="E35" s="114">
        <f>VLOOKUP($B35,Parts!$A:$G,IF(E$1="t",4,3),FALSE)*$C35</f>
        <v>57.95</v>
      </c>
      <c r="F35" s="114">
        <f>IFERROR(IF(A35=B35,0,VLOOKUP(A35,'AC Summary'!A:E,2,FALSE))*C35,0)</f>
        <v>1</v>
      </c>
      <c r="G35" s="114" t="b">
        <f t="shared" si="0"/>
        <v>0</v>
      </c>
    </row>
    <row r="36" spans="1:8" x14ac:dyDescent="0.4">
      <c r="A36" s="114" t="s">
        <v>1401</v>
      </c>
      <c r="B36" s="114" t="s">
        <v>1401</v>
      </c>
      <c r="C36" s="114" t="s">
        <v>639</v>
      </c>
      <c r="D36" s="114">
        <f>SUM(D37:D41)</f>
        <v>1</v>
      </c>
      <c r="E36" s="114">
        <f>SUM(E37:E41)</f>
        <v>88.25</v>
      </c>
      <c r="F36" s="114">
        <f>IFERROR(IF(A36=B36,0,VLOOKUP(A36,'AC Summary'!A:E,2,FALSE))*C36,0)</f>
        <v>0</v>
      </c>
      <c r="G36" s="114" t="b">
        <f t="shared" si="0"/>
        <v>1</v>
      </c>
      <c r="H36" s="114" t="s">
        <v>1466</v>
      </c>
    </row>
    <row r="37" spans="1:8" hidden="1" x14ac:dyDescent="0.4">
      <c r="A37" s="114" t="s">
        <v>1401</v>
      </c>
      <c r="B37" s="114" t="s">
        <v>253</v>
      </c>
      <c r="C37" s="114">
        <v>1</v>
      </c>
      <c r="D37" s="114">
        <f>VLOOKUP($B37,Parts!$A:$G,IF(D$1="t",4,3),FALSE)*$C37</f>
        <v>0</v>
      </c>
      <c r="E37" s="114">
        <f>VLOOKUP($B37,Parts!$A:$G,IF(E$1="t",4,3),FALSE)*$C37</f>
        <v>8.4499999999999993</v>
      </c>
      <c r="F37" s="114">
        <f>IFERROR(IF(A37=B37,0,VLOOKUP(A37,'AC Summary'!A:E,2,FALSE))*C37,0)</f>
        <v>0</v>
      </c>
      <c r="G37" s="114" t="b">
        <f t="shared" si="0"/>
        <v>0</v>
      </c>
    </row>
    <row r="38" spans="1:8" hidden="1" x14ac:dyDescent="0.4">
      <c r="A38" s="114" t="s">
        <v>1401</v>
      </c>
      <c r="B38" s="114" t="s">
        <v>998</v>
      </c>
      <c r="C38" s="114">
        <v>1</v>
      </c>
      <c r="D38" s="114">
        <f>VLOOKUP($B38,Parts!$A:$G,IF(D$1="t",4,3),FALSE)*$C38</f>
        <v>0</v>
      </c>
      <c r="E38" s="114">
        <f>VLOOKUP($B38,Parts!$A:$G,IF(E$1="t",4,3),FALSE)*$C38</f>
        <v>19.8</v>
      </c>
      <c r="F38" s="114">
        <f>IFERROR(IF(A38=B38,0,VLOOKUP(A38,'AC Summary'!A:E,2,FALSE))*C38,0)</f>
        <v>0</v>
      </c>
      <c r="G38" s="114" t="b">
        <f t="shared" si="0"/>
        <v>0</v>
      </c>
    </row>
    <row r="39" spans="1:8" hidden="1" x14ac:dyDescent="0.4">
      <c r="A39" s="114" t="s">
        <v>1401</v>
      </c>
      <c r="B39" s="114" t="s">
        <v>268</v>
      </c>
      <c r="C39" s="114">
        <v>0</v>
      </c>
      <c r="D39" s="114">
        <f>VLOOKUP($B39,Parts!$A:$G,IF(D$1="t",4,3),FALSE)*$C39</f>
        <v>0</v>
      </c>
      <c r="E39" s="114">
        <f>VLOOKUP($B39,Parts!$A:$G,IF(E$1="t",4,3),FALSE)*$C39</f>
        <v>0</v>
      </c>
      <c r="F39" s="114">
        <f>IFERROR(IF(A39=B39,0,VLOOKUP(A39,'AC Summary'!A:E,2,FALSE))*C39,0)</f>
        <v>0</v>
      </c>
      <c r="G39" s="114" t="b">
        <f t="shared" si="0"/>
        <v>0</v>
      </c>
    </row>
    <row r="40" spans="1:8" hidden="1" x14ac:dyDescent="0.4">
      <c r="A40" s="114" t="s">
        <v>1401</v>
      </c>
      <c r="B40" s="114" t="s">
        <v>999</v>
      </c>
      <c r="C40" s="114">
        <v>1</v>
      </c>
      <c r="D40" s="114">
        <f>VLOOKUP($B40,Parts!$A:$G,IF(D$1="t",4,3),FALSE)*$C40</f>
        <v>0</v>
      </c>
      <c r="E40" s="114">
        <f>VLOOKUP($B40,Parts!$A:$G,IF(E$1="t",4,3),FALSE)*$C40</f>
        <v>60</v>
      </c>
      <c r="F40" s="114">
        <f>IFERROR(IF(A40=B40,0,VLOOKUP(A40,'AC Summary'!A:E,2,FALSE))*C40,0)</f>
        <v>0</v>
      </c>
      <c r="G40" s="114" t="b">
        <f t="shared" si="0"/>
        <v>0</v>
      </c>
    </row>
    <row r="41" spans="1:8" hidden="1" x14ac:dyDescent="0.4">
      <c r="A41" s="114" t="s">
        <v>1401</v>
      </c>
      <c r="B41" s="114" t="s">
        <v>1000</v>
      </c>
      <c r="C41" s="114">
        <v>1</v>
      </c>
      <c r="D41" s="114">
        <f>VLOOKUP($B41,Parts!$A:$G,IF(D$1="t",4,3),FALSE)*$C41</f>
        <v>1</v>
      </c>
      <c r="E41" s="114">
        <f>VLOOKUP($B41,Parts!$A:$G,IF(E$1="t",4,3),FALSE)*$C41</f>
        <v>0</v>
      </c>
      <c r="F41" s="114">
        <f>IFERROR(IF(A41=B41,0,VLOOKUP(A41,'AC Summary'!A:E,2,FALSE))*C41,0)</f>
        <v>0</v>
      </c>
      <c r="G41" s="114" t="b">
        <f t="shared" si="0"/>
        <v>0</v>
      </c>
    </row>
    <row r="42" spans="1:8" x14ac:dyDescent="0.4">
      <c r="A42" s="114" t="s">
        <v>1402</v>
      </c>
      <c r="B42" s="114" t="s">
        <v>1402</v>
      </c>
      <c r="C42" s="114" t="s">
        <v>639</v>
      </c>
      <c r="D42" s="114">
        <f>SUM(D43:D47)</f>
        <v>1.1000000000000001</v>
      </c>
      <c r="E42" s="114">
        <f>SUM(E43:E47)</f>
        <v>89.1</v>
      </c>
      <c r="F42" s="114">
        <f>IFERROR(IF(A42=B42,0,VLOOKUP(A42,'AC Summary'!A:E,2,FALSE))*C42,0)</f>
        <v>0</v>
      </c>
      <c r="G42" s="114" t="b">
        <f t="shared" si="0"/>
        <v>1</v>
      </c>
      <c r="H42" s="114" t="s">
        <v>1467</v>
      </c>
    </row>
    <row r="43" spans="1:8" hidden="1" x14ac:dyDescent="0.4">
      <c r="A43" s="114" t="s">
        <v>1402</v>
      </c>
      <c r="B43" s="114" t="s">
        <v>253</v>
      </c>
      <c r="C43" s="114">
        <v>1</v>
      </c>
      <c r="D43" s="114">
        <f>VLOOKUP($B43,Parts!$A:$G,IF(D$1="t",4,3),FALSE)*$C43</f>
        <v>0</v>
      </c>
      <c r="E43" s="114">
        <f>VLOOKUP($B43,Parts!$A:$G,IF(E$1="t",4,3),FALSE)*$C43</f>
        <v>8.4499999999999993</v>
      </c>
      <c r="F43" s="114">
        <f>IFERROR(IF(A43=B43,0,VLOOKUP(A43,'AC Summary'!A:E,2,FALSE))*C43,0)</f>
        <v>0</v>
      </c>
      <c r="G43" s="114" t="b">
        <f t="shared" si="0"/>
        <v>0</v>
      </c>
    </row>
    <row r="44" spans="1:8" hidden="1" x14ac:dyDescent="0.4">
      <c r="A44" s="114" t="s">
        <v>1402</v>
      </c>
      <c r="B44" s="114" t="s">
        <v>998</v>
      </c>
      <c r="C44" s="114">
        <v>1</v>
      </c>
      <c r="D44" s="114">
        <f>VLOOKUP($B44,Parts!$A:$G,IF(D$1="t",4,3),FALSE)*$C44</f>
        <v>0</v>
      </c>
      <c r="E44" s="114">
        <f>VLOOKUP($B44,Parts!$A:$G,IF(E$1="t",4,3),FALSE)*$C44</f>
        <v>19.8</v>
      </c>
      <c r="F44" s="114">
        <f>IFERROR(IF(A44=B44,0,VLOOKUP(A44,'AC Summary'!A:E,2,FALSE))*C44,0)</f>
        <v>0</v>
      </c>
      <c r="G44" s="114" t="b">
        <f t="shared" si="0"/>
        <v>0</v>
      </c>
    </row>
    <row r="45" spans="1:8" hidden="1" x14ac:dyDescent="0.4">
      <c r="A45" s="114" t="s">
        <v>1402</v>
      </c>
      <c r="B45" s="114" t="s">
        <v>268</v>
      </c>
      <c r="C45" s="114">
        <v>1</v>
      </c>
      <c r="D45" s="114">
        <f>VLOOKUP($B45,Parts!$A:$G,IF(D$1="t",4,3),FALSE)*$C45</f>
        <v>0.1</v>
      </c>
      <c r="E45" s="114">
        <f>VLOOKUP($B45,Parts!$A:$G,IF(E$1="t",4,3),FALSE)*$C45</f>
        <v>0.85</v>
      </c>
      <c r="F45" s="114">
        <f>IFERROR(IF(A45=B45,0,VLOOKUP(A45,'AC Summary'!A:E,2,FALSE))*C45,0)</f>
        <v>0</v>
      </c>
      <c r="G45" s="114" t="b">
        <f t="shared" si="0"/>
        <v>0</v>
      </c>
    </row>
    <row r="46" spans="1:8" hidden="1" x14ac:dyDescent="0.4">
      <c r="A46" s="114" t="s">
        <v>1402</v>
      </c>
      <c r="B46" s="114" t="s">
        <v>999</v>
      </c>
      <c r="C46" s="114">
        <v>1</v>
      </c>
      <c r="D46" s="114">
        <f>VLOOKUP($B46,Parts!$A:$G,IF(D$1="t",4,3),FALSE)*$C46</f>
        <v>0</v>
      </c>
      <c r="E46" s="114">
        <f>VLOOKUP($B46,Parts!$A:$G,IF(E$1="t",4,3),FALSE)*$C46</f>
        <v>60</v>
      </c>
      <c r="F46" s="114">
        <f>IFERROR(IF(A46=B46,0,VLOOKUP(A46,'AC Summary'!A:E,2,FALSE))*C46,0)</f>
        <v>0</v>
      </c>
      <c r="G46" s="114" t="b">
        <f t="shared" si="0"/>
        <v>0</v>
      </c>
    </row>
    <row r="47" spans="1:8" hidden="1" x14ac:dyDescent="0.4">
      <c r="A47" s="114" t="s">
        <v>1402</v>
      </c>
      <c r="B47" s="114" t="s">
        <v>1000</v>
      </c>
      <c r="C47" s="114">
        <v>1</v>
      </c>
      <c r="D47" s="114">
        <f>VLOOKUP($B47,Parts!$A:$G,IF(D$1="t",4,3),FALSE)*$C47</f>
        <v>1</v>
      </c>
      <c r="E47" s="114">
        <f>VLOOKUP($B47,Parts!$A:$G,IF(E$1="t",4,3),FALSE)*$C47</f>
        <v>0</v>
      </c>
      <c r="F47" s="114">
        <f>IFERROR(IF(A47=B47,0,VLOOKUP(A47,'AC Summary'!A:E,2,FALSE))*C47,0)</f>
        <v>0</v>
      </c>
      <c r="G47" s="114" t="b">
        <f t="shared" si="0"/>
        <v>0</v>
      </c>
    </row>
    <row r="48" spans="1:8" x14ac:dyDescent="0.4">
      <c r="A48" s="114" t="s">
        <v>1418</v>
      </c>
      <c r="B48" s="114" t="s">
        <v>1418</v>
      </c>
      <c r="C48" s="114" t="s">
        <v>639</v>
      </c>
      <c r="D48" s="114">
        <f>SUM(D49:D51)</f>
        <v>0</v>
      </c>
      <c r="E48" s="114">
        <f>SUM(E49:E51)</f>
        <v>331.4</v>
      </c>
      <c r="F48" s="114">
        <f>IFERROR(IF(A48=B48,0,VLOOKUP(A48,'AC Summary'!A:E,2,FALSE))*C48,0)</f>
        <v>0</v>
      </c>
      <c r="G48" s="114" t="b">
        <f t="shared" si="0"/>
        <v>1</v>
      </c>
      <c r="H48" s="114" t="s">
        <v>1444</v>
      </c>
    </row>
    <row r="49" spans="1:8" hidden="1" x14ac:dyDescent="0.4">
      <c r="A49" s="114" t="s">
        <v>1418</v>
      </c>
      <c r="B49" s="114" t="s">
        <v>985</v>
      </c>
      <c r="C49" s="114">
        <v>1</v>
      </c>
      <c r="D49" s="114">
        <f>VLOOKUP($B49,Parts!$A:$G,IF(D$1="t",4,3),FALSE)*$C49</f>
        <v>0</v>
      </c>
      <c r="E49" s="114">
        <f>VLOOKUP($B49,Parts!$A:$G,IF(E$1="t",4,3),FALSE)*$C49</f>
        <v>307.2</v>
      </c>
      <c r="F49" s="114">
        <f>IFERROR(IF(A49=B49,0,VLOOKUP(A49,'AC Summary'!A:E,2,FALSE))*C49,0)</f>
        <v>1</v>
      </c>
      <c r="G49" s="114" t="b">
        <f t="shared" si="0"/>
        <v>0</v>
      </c>
    </row>
    <row r="50" spans="1:8" hidden="1" x14ac:dyDescent="0.4">
      <c r="A50" s="114" t="s">
        <v>1418</v>
      </c>
      <c r="B50" s="114" t="s">
        <v>418</v>
      </c>
      <c r="D50" s="114">
        <f>VLOOKUP($B50,Parts!$A:$G,IF(D$1="t",4,3),FALSE)*$C50</f>
        <v>0</v>
      </c>
      <c r="E50" s="114">
        <f>VLOOKUP($B50,Parts!$A:$G,IF(E$1="t",4,3),FALSE)*$C50</f>
        <v>0</v>
      </c>
      <c r="F50" s="114">
        <f>IFERROR(IF(A50=B50,0,VLOOKUP(A50,'AC Summary'!A:E,2,FALSE))*C50,0)</f>
        <v>0</v>
      </c>
      <c r="G50" s="114" t="b">
        <f t="shared" si="0"/>
        <v>0</v>
      </c>
    </row>
    <row r="51" spans="1:8" hidden="1" x14ac:dyDescent="0.4">
      <c r="A51" s="114" t="s">
        <v>1418</v>
      </c>
      <c r="B51" s="114" t="s">
        <v>326</v>
      </c>
      <c r="C51" s="114">
        <v>1</v>
      </c>
      <c r="D51" s="114">
        <f>VLOOKUP($B51,Parts!$A:$G,IF(D$1="t",4,3),FALSE)*$C51</f>
        <v>0</v>
      </c>
      <c r="E51" s="114">
        <f>VLOOKUP($B51,Parts!$A:$G,IF(E$1="t",4,3),FALSE)*$C51</f>
        <v>24.2</v>
      </c>
      <c r="F51" s="114">
        <f>IFERROR(IF(A51=B51,0,VLOOKUP(A51,'AC Summary'!A:E,2,FALSE))*C51,0)</f>
        <v>1</v>
      </c>
      <c r="G51" s="114" t="b">
        <f t="shared" si="0"/>
        <v>0</v>
      </c>
    </row>
    <row r="52" spans="1:8" x14ac:dyDescent="0.4">
      <c r="A52" s="114" t="s">
        <v>678</v>
      </c>
      <c r="B52" s="114" t="s">
        <v>678</v>
      </c>
      <c r="C52" s="114" t="s">
        <v>639</v>
      </c>
      <c r="D52" s="114">
        <f>SUM(D53:D60)</f>
        <v>2</v>
      </c>
      <c r="E52" s="114">
        <f>SUM(E53:E60)</f>
        <v>553.25</v>
      </c>
      <c r="F52" s="114">
        <f>IFERROR(IF(A52=B52,0,VLOOKUP(A52,'AC Summary'!A:E,2,FALSE))*C52,0)</f>
        <v>0</v>
      </c>
      <c r="G52" s="114" t="b">
        <f t="shared" si="0"/>
        <v>1</v>
      </c>
      <c r="H52" s="114" t="s">
        <v>1465</v>
      </c>
    </row>
    <row r="53" spans="1:8" hidden="1" x14ac:dyDescent="0.4">
      <c r="A53" s="114" t="s">
        <v>678</v>
      </c>
      <c r="B53" s="114" t="s">
        <v>253</v>
      </c>
      <c r="C53" s="114">
        <v>1</v>
      </c>
      <c r="D53" s="114">
        <f>VLOOKUP($B53,Parts!$A:$G,IF(D$1="t",4,3),FALSE)*$C53</f>
        <v>0</v>
      </c>
      <c r="E53" s="114">
        <f>VLOOKUP($B53,Parts!$A:$G,IF(E$1="t",4,3),FALSE)*$C53</f>
        <v>8.4499999999999993</v>
      </c>
      <c r="F53" s="114">
        <f>IFERROR(IF(A53=B53,0,VLOOKUP(A53,'AC Summary'!A:E,2,FALSE))*C53,0)</f>
        <v>0</v>
      </c>
      <c r="G53" s="114" t="b">
        <f t="shared" si="0"/>
        <v>0</v>
      </c>
    </row>
    <row r="54" spans="1:8" hidden="1" x14ac:dyDescent="0.4">
      <c r="A54" s="114" t="s">
        <v>678</v>
      </c>
      <c r="B54" s="114" t="s">
        <v>998</v>
      </c>
      <c r="C54" s="114">
        <v>1</v>
      </c>
      <c r="D54" s="114">
        <f>VLOOKUP($B54,Parts!$A:$G,IF(D$1="t",4,3),FALSE)*$C54</f>
        <v>0</v>
      </c>
      <c r="E54" s="114">
        <f>VLOOKUP($B54,Parts!$A:$G,IF(E$1="t",4,3),FALSE)*$C54</f>
        <v>19.8</v>
      </c>
      <c r="F54" s="114">
        <f>IFERROR(IF(A54=B54,0,VLOOKUP(A54,'AC Summary'!A:E,2,FALSE))*C54,0)</f>
        <v>0</v>
      </c>
      <c r="G54" s="114" t="b">
        <f t="shared" si="0"/>
        <v>0</v>
      </c>
    </row>
    <row r="55" spans="1:8" hidden="1" x14ac:dyDescent="0.4">
      <c r="A55" s="114" t="s">
        <v>678</v>
      </c>
      <c r="B55" s="114" t="s">
        <v>268</v>
      </c>
      <c r="D55" s="114">
        <f>VLOOKUP($B55,Parts!$A:$G,IF(D$1="t",4,3),FALSE)*$C55</f>
        <v>0</v>
      </c>
      <c r="E55" s="114">
        <f>VLOOKUP($B55,Parts!$A:$G,IF(E$1="t",4,3),FALSE)*$C55</f>
        <v>0</v>
      </c>
      <c r="F55" s="114">
        <f>IFERROR(IF(A55=B55,0,VLOOKUP(A55,'AC Summary'!A:E,2,FALSE))*C55,0)</f>
        <v>0</v>
      </c>
      <c r="G55" s="114" t="b">
        <f t="shared" si="0"/>
        <v>0</v>
      </c>
    </row>
    <row r="56" spans="1:8" hidden="1" x14ac:dyDescent="0.4">
      <c r="A56" s="114" t="s">
        <v>678</v>
      </c>
      <c r="B56" s="114" t="s">
        <v>304</v>
      </c>
      <c r="C56" s="114">
        <v>1</v>
      </c>
      <c r="D56" s="114">
        <f>VLOOKUP($B56,Parts!$A:$G,IF(D$1="t",4,3),FALSE)*$C56</f>
        <v>1</v>
      </c>
      <c r="E56" s="114">
        <f>VLOOKUP($B56,Parts!$A:$G,IF(E$1="t",4,3),FALSE)*$C56</f>
        <v>57.95</v>
      </c>
      <c r="F56" s="114">
        <f>IFERROR(IF(A56=B56,0,VLOOKUP(A56,'AC Summary'!A:E,2,FALSE))*C56,0)</f>
        <v>0</v>
      </c>
      <c r="G56" s="114" t="b">
        <f t="shared" si="0"/>
        <v>0</v>
      </c>
    </row>
    <row r="57" spans="1:8" hidden="1" x14ac:dyDescent="0.4">
      <c r="A57" s="114" t="s">
        <v>678</v>
      </c>
      <c r="B57" s="114" t="s">
        <v>1344</v>
      </c>
      <c r="C57" s="114">
        <v>1</v>
      </c>
      <c r="D57" s="114">
        <f>VLOOKUP($B57,Parts!$A:$G,IF(D$1="t",4,3),FALSE)*$C57</f>
        <v>0</v>
      </c>
      <c r="E57" s="114">
        <f>VLOOKUP($B57,Parts!$A:$G,IF(E$1="t",4,3),FALSE)*$C57</f>
        <v>91.05</v>
      </c>
      <c r="F57" s="114">
        <f>IFERROR(IF(A57=B57,0,VLOOKUP(A57,'AC Summary'!A:E,2,FALSE))*C57,0)</f>
        <v>0</v>
      </c>
      <c r="G57" s="114" t="b">
        <f t="shared" si="0"/>
        <v>0</v>
      </c>
    </row>
    <row r="58" spans="1:8" hidden="1" x14ac:dyDescent="0.4">
      <c r="A58" s="114" t="s">
        <v>678</v>
      </c>
      <c r="B58" s="114" t="s">
        <v>1003</v>
      </c>
      <c r="C58" s="114">
        <v>1</v>
      </c>
      <c r="D58" s="114">
        <f>VLOOKUP($B58,Parts!$A:$G,IF(D$1="t",4,3),FALSE)*$C58</f>
        <v>0</v>
      </c>
      <c r="E58" s="114">
        <f>VLOOKUP($B58,Parts!$A:$G,IF(E$1="t",4,3),FALSE)*$C58</f>
        <v>16</v>
      </c>
      <c r="F58" s="114">
        <f>IFERROR(IF(A58=B58,0,VLOOKUP(A58,'AC Summary'!A:E,2,FALSE))*C58,0)</f>
        <v>0</v>
      </c>
      <c r="G58" s="114" t="b">
        <f t="shared" si="0"/>
        <v>0</v>
      </c>
    </row>
    <row r="59" spans="1:8" hidden="1" x14ac:dyDescent="0.4">
      <c r="A59" s="114" t="s">
        <v>678</v>
      </c>
      <c r="B59" s="114" t="s">
        <v>1004</v>
      </c>
      <c r="C59" s="114">
        <v>1</v>
      </c>
      <c r="D59" s="114">
        <f>VLOOKUP($B59,Parts!$A:$G,IF(D$1="t",4,3),FALSE)*$C59</f>
        <v>0</v>
      </c>
      <c r="E59" s="114">
        <f>VLOOKUP($B59,Parts!$A:$G,IF(E$1="t",4,3),FALSE)*$C59</f>
        <v>360</v>
      </c>
      <c r="F59" s="114">
        <f>IFERROR(IF(A59=B59,0,VLOOKUP(A59,'AC Summary'!A:E,2,FALSE))*C59,0)</f>
        <v>0</v>
      </c>
      <c r="G59" s="114" t="b">
        <f t="shared" si="0"/>
        <v>0</v>
      </c>
    </row>
    <row r="60" spans="1:8" hidden="1" x14ac:dyDescent="0.4">
      <c r="A60" s="114" t="s">
        <v>678</v>
      </c>
      <c r="B60" s="114" t="s">
        <v>1000</v>
      </c>
      <c r="C60" s="114">
        <v>1</v>
      </c>
      <c r="D60" s="114">
        <f>VLOOKUP($B60,Parts!$A:$G,IF(D$1="t",4,3),FALSE)*$C60</f>
        <v>1</v>
      </c>
      <c r="E60" s="114">
        <f>VLOOKUP($B60,Parts!$A:$G,IF(E$1="t",4,3),FALSE)*$C60</f>
        <v>0</v>
      </c>
      <c r="F60" s="114">
        <f>IFERROR(IF(A60=B60,0,VLOOKUP(A60,'AC Summary'!A:E,2,FALSE))*C60,0)</f>
        <v>0</v>
      </c>
      <c r="G60" s="114" t="b">
        <f t="shared" si="0"/>
        <v>0</v>
      </c>
    </row>
    <row r="61" spans="1:8" x14ac:dyDescent="0.4">
      <c r="A61" s="114" t="s">
        <v>1419</v>
      </c>
      <c r="B61" s="114" t="s">
        <v>1419</v>
      </c>
      <c r="C61" s="114" t="s">
        <v>639</v>
      </c>
      <c r="D61" s="114">
        <f>SUM(D62:D64)</f>
        <v>0</v>
      </c>
      <c r="E61" s="114">
        <f>SUM(E62:E64)</f>
        <v>84.2</v>
      </c>
      <c r="F61" s="114">
        <f>IFERROR(IF(A61=B61,0,VLOOKUP(A61,'AC Summary'!A:E,2,FALSE))*C61,0)</f>
        <v>0</v>
      </c>
      <c r="G61" s="114" t="b">
        <f t="shared" si="0"/>
        <v>1</v>
      </c>
      <c r="H61" s="114" t="s">
        <v>1443</v>
      </c>
    </row>
    <row r="62" spans="1:8" hidden="1" x14ac:dyDescent="0.4">
      <c r="A62" s="114" t="s">
        <v>1419</v>
      </c>
      <c r="B62" s="114" t="s">
        <v>669</v>
      </c>
      <c r="C62" s="114">
        <v>1</v>
      </c>
      <c r="D62" s="114">
        <f>VLOOKUP($B62,Parts!$A:$G,IF(D$1="t",4,3),FALSE)*$C62</f>
        <v>0</v>
      </c>
      <c r="E62" s="114">
        <f>VLOOKUP($B62,Parts!$A:$G,IF(E$1="t",4,3),FALSE)*$C62</f>
        <v>60</v>
      </c>
      <c r="F62" s="114">
        <f>IFERROR(IF(A62=B62,0,VLOOKUP(A62,'AC Summary'!A:E,2,FALSE))*C62,0)</f>
        <v>1</v>
      </c>
      <c r="G62" s="114" t="b">
        <f t="shared" si="0"/>
        <v>0</v>
      </c>
    </row>
    <row r="63" spans="1:8" hidden="1" x14ac:dyDescent="0.4">
      <c r="A63" s="114" t="s">
        <v>1419</v>
      </c>
      <c r="B63" s="114" t="s">
        <v>418</v>
      </c>
      <c r="D63" s="114">
        <f>VLOOKUP($B63,Parts!$A:$G,IF(D$1="t",4,3),FALSE)*$C63</f>
        <v>0</v>
      </c>
      <c r="E63" s="114">
        <f>VLOOKUP($B63,Parts!$A:$G,IF(E$1="t",4,3),FALSE)*$C63</f>
        <v>0</v>
      </c>
      <c r="F63" s="114">
        <f>IFERROR(IF(A63=B63,0,VLOOKUP(A63,'AC Summary'!A:E,2,FALSE))*C63,0)</f>
        <v>0</v>
      </c>
      <c r="G63" s="114" t="b">
        <f t="shared" si="0"/>
        <v>0</v>
      </c>
    </row>
    <row r="64" spans="1:8" hidden="1" x14ac:dyDescent="0.4">
      <c r="A64" s="114" t="s">
        <v>1419</v>
      </c>
      <c r="B64" s="114" t="s">
        <v>326</v>
      </c>
      <c r="C64" s="114">
        <v>1</v>
      </c>
      <c r="D64" s="114">
        <f>VLOOKUP($B64,Parts!$A:$G,IF(D$1="t",4,3),FALSE)*$C64</f>
        <v>0</v>
      </c>
      <c r="E64" s="114">
        <f>VLOOKUP($B64,Parts!$A:$G,IF(E$1="t",4,3),FALSE)*$C64</f>
        <v>24.2</v>
      </c>
      <c r="F64" s="114">
        <f>IFERROR(IF(A64=B64,0,VLOOKUP(A64,'AC Summary'!A:E,2,FALSE))*C64,0)</f>
        <v>1</v>
      </c>
      <c r="G64" s="114" t="b">
        <f t="shared" si="0"/>
        <v>0</v>
      </c>
    </row>
    <row r="65" spans="1:8" x14ac:dyDescent="0.4">
      <c r="A65" s="114" t="s">
        <v>1412</v>
      </c>
      <c r="B65" s="114" t="s">
        <v>1412</v>
      </c>
      <c r="C65" s="114" t="s">
        <v>639</v>
      </c>
      <c r="D65" s="114">
        <f>SUM(D66:D68)</f>
        <v>0</v>
      </c>
      <c r="E65" s="114">
        <f>SUM(E66:E68)</f>
        <v>39.4</v>
      </c>
      <c r="F65" s="114">
        <f>IFERROR(IF(A65=B65,0,VLOOKUP(A65,'AC Summary'!A:E,2,FALSE))*C65,0)</f>
        <v>0</v>
      </c>
      <c r="G65" s="114" t="b">
        <f t="shared" si="0"/>
        <v>1</v>
      </c>
      <c r="H65" s="114" t="s">
        <v>1450</v>
      </c>
    </row>
    <row r="66" spans="1:8" hidden="1" x14ac:dyDescent="0.4">
      <c r="A66" s="114" t="s">
        <v>1412</v>
      </c>
      <c r="B66" s="114" t="s">
        <v>269</v>
      </c>
      <c r="D66" s="114">
        <f>VLOOKUP($B66,Parts!$A:$G,IF(D$1="t",4,3),FALSE)*$C66</f>
        <v>0</v>
      </c>
      <c r="E66" s="114">
        <f>VLOOKUP($B66,Parts!$A:$G,IF(E$1="t",4,3),FALSE)*$C66</f>
        <v>0</v>
      </c>
      <c r="F66" s="114">
        <f>IFERROR(IF(A66=B66,0,VLOOKUP(A66,'AC Summary'!A:E,2,FALSE))*C66,0)</f>
        <v>0</v>
      </c>
      <c r="G66" s="114" t="b">
        <f t="shared" si="0"/>
        <v>0</v>
      </c>
    </row>
    <row r="67" spans="1:8" hidden="1" x14ac:dyDescent="0.4">
      <c r="A67" s="114" t="s">
        <v>1412</v>
      </c>
      <c r="B67" s="114" t="s">
        <v>831</v>
      </c>
      <c r="C67" s="114">
        <v>1</v>
      </c>
      <c r="D67" s="114">
        <f>VLOOKUP($B67,Parts!$A:$G,IF(D$1="t",4,3),FALSE)*$C67</f>
        <v>0</v>
      </c>
      <c r="E67" s="114">
        <f>VLOOKUP($B67,Parts!$A:$G,IF(E$1="t",4,3),FALSE)*$C67</f>
        <v>23.4</v>
      </c>
      <c r="F67" s="114">
        <f>IFERROR(IF(A67=B67,0,VLOOKUP(A67,'AC Summary'!A:E,2,FALSE))*C67,0)</f>
        <v>1</v>
      </c>
      <c r="G67" s="114" t="b">
        <f t="shared" ref="G67:G122" si="1">A67=B67</f>
        <v>0</v>
      </c>
    </row>
    <row r="68" spans="1:8" hidden="1" x14ac:dyDescent="0.4">
      <c r="A68" s="114" t="s">
        <v>1412</v>
      </c>
      <c r="B68" s="114" t="s">
        <v>1003</v>
      </c>
      <c r="C68" s="114">
        <v>1</v>
      </c>
      <c r="D68" s="114">
        <f>VLOOKUP($B68,Parts!$A:$G,IF(D$1="t",4,3),FALSE)*$C68</f>
        <v>0</v>
      </c>
      <c r="E68" s="114">
        <f>VLOOKUP($B68,Parts!$A:$G,IF(E$1="t",4,3),FALSE)*$C68</f>
        <v>16</v>
      </c>
      <c r="F68" s="114">
        <f>IFERROR(IF(A68=B68,0,VLOOKUP(A68,'AC Summary'!A:E,2,FALSE))*C68,0)</f>
        <v>1</v>
      </c>
      <c r="G68" s="114" t="b">
        <f t="shared" si="1"/>
        <v>0</v>
      </c>
    </row>
    <row r="69" spans="1:8" x14ac:dyDescent="0.4">
      <c r="A69" s="114" t="s">
        <v>1414</v>
      </c>
      <c r="B69" s="114" t="s">
        <v>1414</v>
      </c>
      <c r="C69" s="114" t="s">
        <v>639</v>
      </c>
      <c r="D69" s="114">
        <f>SUM(D70:D71)</f>
        <v>0</v>
      </c>
      <c r="E69" s="114">
        <f>SUM(E70:E71)</f>
        <v>23.4</v>
      </c>
      <c r="F69" s="114">
        <f>IFERROR(IF(A69=B69,0,VLOOKUP(A69,'AC Summary'!A:E,2,FALSE))*C69,0)</f>
        <v>0</v>
      </c>
      <c r="G69" s="114" t="b">
        <f t="shared" si="1"/>
        <v>1</v>
      </c>
      <c r="H69" s="114" t="s">
        <v>1448</v>
      </c>
    </row>
    <row r="70" spans="1:8" hidden="1" x14ac:dyDescent="0.4">
      <c r="A70" s="114" t="s">
        <v>1414</v>
      </c>
      <c r="B70" s="114" t="s">
        <v>269</v>
      </c>
      <c r="D70" s="114">
        <f>VLOOKUP($B70,Parts!$A:$G,IF(D$1="t",4,3),FALSE)*$C70</f>
        <v>0</v>
      </c>
      <c r="E70" s="114">
        <f>VLOOKUP($B70,Parts!$A:$G,IF(E$1="t",4,3),FALSE)*$C70</f>
        <v>0</v>
      </c>
      <c r="F70" s="114">
        <f>IFERROR(IF(A70=B70,0,VLOOKUP(A70,'AC Summary'!A:E,2,FALSE))*C70,0)</f>
        <v>0</v>
      </c>
      <c r="G70" s="114" t="b">
        <f t="shared" si="1"/>
        <v>0</v>
      </c>
    </row>
    <row r="71" spans="1:8" hidden="1" x14ac:dyDescent="0.4">
      <c r="A71" s="114" t="s">
        <v>1414</v>
      </c>
      <c r="B71" s="114" t="s">
        <v>831</v>
      </c>
      <c r="C71" s="114">
        <v>1</v>
      </c>
      <c r="D71" s="114">
        <f>VLOOKUP($B71,Parts!$A:$G,IF(D$1="t",4,3),FALSE)*$C71</f>
        <v>0</v>
      </c>
      <c r="E71" s="114">
        <f>VLOOKUP($B71,Parts!$A:$G,IF(E$1="t",4,3),FALSE)*$C71</f>
        <v>23.4</v>
      </c>
      <c r="F71" s="114">
        <f>IFERROR(IF(A71=B71,0,VLOOKUP(A71,'AC Summary'!A:E,2,FALSE))*C71,0)</f>
        <v>1</v>
      </c>
      <c r="G71" s="114" t="b">
        <f t="shared" si="1"/>
        <v>0</v>
      </c>
    </row>
    <row r="72" spans="1:8" x14ac:dyDescent="0.4">
      <c r="A72" s="114" t="s">
        <v>1417</v>
      </c>
      <c r="B72" s="114" t="s">
        <v>1417</v>
      </c>
      <c r="C72" s="114" t="s">
        <v>639</v>
      </c>
      <c r="D72" s="114">
        <f>SUM(D73)</f>
        <v>1</v>
      </c>
      <c r="E72" s="114">
        <f>SUM(E73)</f>
        <v>60</v>
      </c>
      <c r="F72" s="114">
        <f>IFERROR(IF(A72=B72,0,VLOOKUP(A72,'AC Summary'!A:E,2,FALSE))*C72,0)</f>
        <v>0</v>
      </c>
      <c r="G72" s="114" t="b">
        <f t="shared" si="1"/>
        <v>1</v>
      </c>
      <c r="H72" s="114" t="s">
        <v>1445</v>
      </c>
    </row>
    <row r="73" spans="1:8" hidden="1" x14ac:dyDescent="0.4">
      <c r="A73" s="114" t="s">
        <v>1417</v>
      </c>
      <c r="B73" s="114" t="s">
        <v>986</v>
      </c>
      <c r="C73" s="114">
        <v>1</v>
      </c>
      <c r="D73" s="114">
        <f>VLOOKUP($B73,Parts!$A:$G,IF(D$1="t",4,3),FALSE)*$C73</f>
        <v>1</v>
      </c>
      <c r="E73" s="114">
        <f>VLOOKUP($B73,Parts!$A:$G,IF(E$1="t",4,3),FALSE)*$C73</f>
        <v>60</v>
      </c>
      <c r="F73" s="114">
        <f>IFERROR(IF(A73=B73,0,VLOOKUP(A73,'AC Summary'!A:E,2,FALSE))*C73,0)</f>
        <v>1</v>
      </c>
      <c r="G73" s="114" t="b">
        <f t="shared" si="1"/>
        <v>0</v>
      </c>
    </row>
    <row r="74" spans="1:8" x14ac:dyDescent="0.4">
      <c r="A74" s="114" t="s">
        <v>1416</v>
      </c>
      <c r="B74" s="114" t="s">
        <v>1416</v>
      </c>
      <c r="C74" s="114" t="s">
        <v>639</v>
      </c>
      <c r="D74" s="114">
        <f>SUM(D75)</f>
        <v>2</v>
      </c>
      <c r="E74" s="114">
        <f>SUM(E75)</f>
        <v>80</v>
      </c>
      <c r="F74" s="114">
        <f>IFERROR(IF(A74=B74,0,VLOOKUP(A74,'AC Summary'!A:E,2,FALSE))*C74,0)</f>
        <v>0</v>
      </c>
      <c r="G74" s="114" t="b">
        <f t="shared" si="1"/>
        <v>1</v>
      </c>
      <c r="H74" s="114" t="s">
        <v>1446</v>
      </c>
    </row>
    <row r="75" spans="1:8" hidden="1" x14ac:dyDescent="0.4">
      <c r="A75" s="114" t="s">
        <v>1416</v>
      </c>
      <c r="B75" s="114" t="s">
        <v>588</v>
      </c>
      <c r="C75" s="114">
        <v>1</v>
      </c>
      <c r="D75" s="114">
        <f>VLOOKUP($B75,Parts!$A:$G,IF(D$1="t",4,3),FALSE)*$C75</f>
        <v>2</v>
      </c>
      <c r="E75" s="114">
        <f>VLOOKUP($B75,Parts!$A:$G,IF(E$1="t",4,3),FALSE)*$C75</f>
        <v>80</v>
      </c>
      <c r="F75" s="114">
        <f>IFERROR(IF(A75=B75,0,VLOOKUP(A75,'AC Summary'!A:E,2,FALSE))*C75,0)</f>
        <v>1</v>
      </c>
      <c r="G75" s="114" t="b">
        <f t="shared" si="1"/>
        <v>0</v>
      </c>
    </row>
    <row r="76" spans="1:8" x14ac:dyDescent="0.4">
      <c r="A76" s="114" t="s">
        <v>1430</v>
      </c>
      <c r="B76" s="114" t="s">
        <v>1430</v>
      </c>
      <c r="D76" s="114">
        <f>SUM(D77:D82)</f>
        <v>1.5</v>
      </c>
      <c r="E76" s="114">
        <f>SUM(E77:E82)</f>
        <v>28.25</v>
      </c>
      <c r="F76" s="114">
        <f>IFERROR(IF(A76=B76,0,VLOOKUP(A76,'AC Summary'!A:E,2,FALSE))*C76,0)</f>
        <v>0</v>
      </c>
      <c r="G76" s="114" t="b">
        <f t="shared" si="1"/>
        <v>1</v>
      </c>
      <c r="H76" s="114" t="s">
        <v>1458</v>
      </c>
    </row>
    <row r="77" spans="1:8" hidden="1" x14ac:dyDescent="0.4">
      <c r="A77" s="114" t="s">
        <v>1430</v>
      </c>
      <c r="B77" s="114" t="s">
        <v>253</v>
      </c>
      <c r="C77" s="114">
        <v>1</v>
      </c>
      <c r="D77" s="114">
        <f>VLOOKUP($B77,Parts!$A:$G,IF(D$1="t",4,3),FALSE)*$C77</f>
        <v>0</v>
      </c>
      <c r="E77" s="114">
        <f>VLOOKUP($B77,Parts!$A:$G,IF(E$1="t",4,3),FALSE)*$C77</f>
        <v>8.4499999999999993</v>
      </c>
      <c r="F77" s="114">
        <f>IFERROR(IF(A77=B77,0,VLOOKUP(A77,'AC Summary'!A:E,2,FALSE))*C77,0)</f>
        <v>0</v>
      </c>
      <c r="G77" s="114" t="b">
        <f t="shared" si="1"/>
        <v>0</v>
      </c>
    </row>
    <row r="78" spans="1:8" hidden="1" x14ac:dyDescent="0.4">
      <c r="A78" s="114" t="s">
        <v>1430</v>
      </c>
      <c r="B78" s="114" t="s">
        <v>998</v>
      </c>
      <c r="C78" s="114">
        <v>1</v>
      </c>
      <c r="D78" s="114">
        <f>VLOOKUP($B78,Parts!$A:$G,IF(D$1="t",4,3),FALSE)*$C78</f>
        <v>0</v>
      </c>
      <c r="E78" s="114">
        <f>VLOOKUP($B78,Parts!$A:$G,IF(E$1="t",4,3),FALSE)*$C78</f>
        <v>19.8</v>
      </c>
      <c r="F78" s="114">
        <f>IFERROR(IF(A78=B78,0,VLOOKUP(A78,'AC Summary'!A:E,2,FALSE))*C78,0)</f>
        <v>0</v>
      </c>
      <c r="G78" s="114" t="b">
        <f t="shared" si="1"/>
        <v>0</v>
      </c>
    </row>
    <row r="79" spans="1:8" hidden="1" x14ac:dyDescent="0.4">
      <c r="A79" s="114" t="s">
        <v>1430</v>
      </c>
      <c r="B79" s="114" t="s">
        <v>268</v>
      </c>
      <c r="D79" s="114">
        <f>VLOOKUP($B79,Parts!$A:$G,IF(D$1="t",4,3),FALSE)*$C79</f>
        <v>0</v>
      </c>
      <c r="E79" s="114">
        <f>VLOOKUP($B79,Parts!$A:$G,IF(E$1="t",4,3),FALSE)*$C79</f>
        <v>0</v>
      </c>
      <c r="F79" s="114">
        <f>IFERROR(IF(A79=B79,0,VLOOKUP(A79,'AC Summary'!A:E,2,FALSE))*C79,0)</f>
        <v>0</v>
      </c>
      <c r="G79" s="114" t="b">
        <f t="shared" si="1"/>
        <v>0</v>
      </c>
    </row>
    <row r="80" spans="1:8" hidden="1" x14ac:dyDescent="0.4">
      <c r="A80" s="114" t="s">
        <v>1430</v>
      </c>
      <c r="B80" s="114" t="s">
        <v>269</v>
      </c>
      <c r="D80" s="114">
        <f>VLOOKUP($B80,Parts!$A:$G,IF(D$1="t",4,3),FALSE)*$C80</f>
        <v>0</v>
      </c>
      <c r="E80" s="114">
        <f>VLOOKUP($B80,Parts!$A:$G,IF(E$1="t",4,3),FALSE)*$C80</f>
        <v>0</v>
      </c>
      <c r="F80" s="114">
        <f>IFERROR(IF(A80=B80,0,VLOOKUP(A80,'AC Summary'!A:E,2,FALSE))*C80,0)</f>
        <v>0</v>
      </c>
      <c r="G80" s="114" t="b">
        <f t="shared" si="1"/>
        <v>0</v>
      </c>
    </row>
    <row r="81" spans="1:8" hidden="1" x14ac:dyDescent="0.4">
      <c r="A81" s="114" t="s">
        <v>1430</v>
      </c>
      <c r="B81" s="114" t="s">
        <v>1035</v>
      </c>
      <c r="C81" s="114">
        <v>1</v>
      </c>
      <c r="D81" s="114">
        <f>VLOOKUP($B81,Parts!$A:$G,IF(D$1="t",4,3),FALSE)*$C81</f>
        <v>0.5</v>
      </c>
      <c r="E81" s="114">
        <f>VLOOKUP($B81,Parts!$A:$G,IF(E$1="t",4,3),FALSE)*$C81</f>
        <v>0</v>
      </c>
      <c r="F81" s="114">
        <f>IFERROR(IF(A81=B81,0,VLOOKUP(A81,'AC Summary'!A:E,2,FALSE))*C81,0)</f>
        <v>0</v>
      </c>
      <c r="G81" s="114" t="b">
        <f t="shared" si="1"/>
        <v>0</v>
      </c>
    </row>
    <row r="82" spans="1:8" hidden="1" x14ac:dyDescent="0.4">
      <c r="A82" s="114" t="s">
        <v>1430</v>
      </c>
      <c r="B82" s="114" t="s">
        <v>239</v>
      </c>
      <c r="C82" s="114">
        <v>1</v>
      </c>
      <c r="D82" s="114">
        <f>VLOOKUP($B82,Parts!$A:$G,IF(D$1="t",4,3),FALSE)*$C82</f>
        <v>1</v>
      </c>
      <c r="E82" s="114">
        <f>VLOOKUP($B82,Parts!$A:$G,IF(E$1="t",4,3),FALSE)*$C82</f>
        <v>0</v>
      </c>
      <c r="F82" s="114">
        <f>IFERROR(IF(A82=B82,0,VLOOKUP(A82,'AC Summary'!A:E,2,FALSE))*C82,0)</f>
        <v>0</v>
      </c>
      <c r="G82" s="114" t="b">
        <f t="shared" si="1"/>
        <v>0</v>
      </c>
    </row>
    <row r="83" spans="1:8" x14ac:dyDescent="0.4">
      <c r="A83" s="114" t="s">
        <v>1431</v>
      </c>
      <c r="B83" s="114" t="s">
        <v>1431</v>
      </c>
      <c r="D83" s="114">
        <f>SUM(D84:D88)</f>
        <v>1.5</v>
      </c>
      <c r="E83" s="114">
        <f>SUM(E84:E88)</f>
        <v>8.4499999999999993</v>
      </c>
      <c r="F83" s="114">
        <f>IFERROR(IF(A83=B83,0,VLOOKUP(A83,'AC Summary'!A:E,2,FALSE))*C83,0)</f>
        <v>0</v>
      </c>
      <c r="G83" s="114" t="b">
        <f t="shared" si="1"/>
        <v>1</v>
      </c>
      <c r="H83" s="114" t="s">
        <v>1457</v>
      </c>
    </row>
    <row r="84" spans="1:8" hidden="1" x14ac:dyDescent="0.4">
      <c r="A84" s="114" t="s">
        <v>1431</v>
      </c>
      <c r="B84" s="114" t="s">
        <v>253</v>
      </c>
      <c r="C84" s="114">
        <v>1</v>
      </c>
      <c r="D84" s="114">
        <f>VLOOKUP($B84,Parts!$A:$G,IF(D$1="t",4,3),FALSE)*$C84</f>
        <v>0</v>
      </c>
      <c r="E84" s="114">
        <f>VLOOKUP($B84,Parts!$A:$G,IF(E$1="t",4,3),FALSE)*$C84</f>
        <v>8.4499999999999993</v>
      </c>
      <c r="F84" s="114">
        <f>IFERROR(IF(A84=B84,0,VLOOKUP(A84,'AC Summary'!A:E,2,FALSE))*C84,0)</f>
        <v>0</v>
      </c>
      <c r="G84" s="114" t="b">
        <f t="shared" si="1"/>
        <v>0</v>
      </c>
    </row>
    <row r="85" spans="1:8" hidden="1" x14ac:dyDescent="0.4">
      <c r="A85" s="114" t="s">
        <v>1431</v>
      </c>
      <c r="B85" s="114" t="s">
        <v>268</v>
      </c>
      <c r="D85" s="114">
        <f>VLOOKUP($B85,Parts!$A:$G,IF(D$1="t",4,3),FALSE)*$C85</f>
        <v>0</v>
      </c>
      <c r="E85" s="114">
        <f>VLOOKUP($B85,Parts!$A:$G,IF(E$1="t",4,3),FALSE)*$C85</f>
        <v>0</v>
      </c>
      <c r="F85" s="114">
        <f>IFERROR(IF(A85=B85,0,VLOOKUP(A85,'AC Summary'!A:E,2,FALSE))*C85,0)</f>
        <v>0</v>
      </c>
      <c r="G85" s="114" t="b">
        <f t="shared" si="1"/>
        <v>0</v>
      </c>
    </row>
    <row r="86" spans="1:8" hidden="1" x14ac:dyDescent="0.4">
      <c r="A86" s="114" t="s">
        <v>1431</v>
      </c>
      <c r="B86" s="114" t="s">
        <v>269</v>
      </c>
      <c r="D86" s="114">
        <f>VLOOKUP($B86,Parts!$A:$G,IF(D$1="t",4,3),FALSE)*$C86</f>
        <v>0</v>
      </c>
      <c r="E86" s="114">
        <f>VLOOKUP($B86,Parts!$A:$G,IF(E$1="t",4,3),FALSE)*$C86</f>
        <v>0</v>
      </c>
      <c r="F86" s="114">
        <f>IFERROR(IF(A86=B86,0,VLOOKUP(A86,'AC Summary'!A:E,2,FALSE))*C86,0)</f>
        <v>0</v>
      </c>
      <c r="G86" s="114" t="b">
        <f t="shared" si="1"/>
        <v>0</v>
      </c>
    </row>
    <row r="87" spans="1:8" hidden="1" x14ac:dyDescent="0.4">
      <c r="A87" s="114" t="s">
        <v>1431</v>
      </c>
      <c r="B87" s="114" t="s">
        <v>1035</v>
      </c>
      <c r="C87" s="114">
        <v>1</v>
      </c>
      <c r="D87" s="114">
        <f>VLOOKUP($B87,Parts!$A:$G,IF(D$1="t",4,3),FALSE)*$C87</f>
        <v>0.5</v>
      </c>
      <c r="E87" s="114">
        <f>VLOOKUP($B87,Parts!$A:$G,IF(E$1="t",4,3),FALSE)*$C87</f>
        <v>0</v>
      </c>
      <c r="F87" s="114">
        <f>IFERROR(IF(A87=B87,0,VLOOKUP(A87,'AC Summary'!A:E,2,FALSE))*C87,0)</f>
        <v>0</v>
      </c>
      <c r="G87" s="114" t="b">
        <f t="shared" si="1"/>
        <v>0</v>
      </c>
    </row>
    <row r="88" spans="1:8" hidden="1" x14ac:dyDescent="0.4">
      <c r="A88" s="114" t="s">
        <v>1431</v>
      </c>
      <c r="B88" s="114" t="s">
        <v>239</v>
      </c>
      <c r="C88" s="114">
        <v>1</v>
      </c>
      <c r="D88" s="114">
        <f>VLOOKUP($B88,Parts!$A:$G,IF(D$1="t",4,3),FALSE)*$C88</f>
        <v>1</v>
      </c>
      <c r="E88" s="114">
        <f>VLOOKUP($B88,Parts!$A:$G,IF(E$1="t",4,3),FALSE)*$C88</f>
        <v>0</v>
      </c>
      <c r="F88" s="114">
        <f>IFERROR(IF(A88=B88,0,VLOOKUP(A88,'AC Summary'!A:E,2,FALSE))*C88,0)</f>
        <v>0</v>
      </c>
      <c r="G88" s="114" t="b">
        <f t="shared" si="1"/>
        <v>0</v>
      </c>
    </row>
    <row r="89" spans="1:8" x14ac:dyDescent="0.4">
      <c r="A89" s="114" t="s">
        <v>1036</v>
      </c>
      <c r="B89" s="114" t="s">
        <v>1036</v>
      </c>
      <c r="C89" s="114" t="s">
        <v>639</v>
      </c>
      <c r="D89" s="114">
        <f>SUM(D90)</f>
        <v>0</v>
      </c>
      <c r="E89" s="114">
        <f>SUM(E90)</f>
        <v>0</v>
      </c>
      <c r="F89" s="114">
        <f>IFERROR(IF(A89=B89,0,VLOOKUP(A89,'AC Summary'!A:E,2,FALSE))*C89,0)</f>
        <v>0</v>
      </c>
      <c r="G89" s="114" t="b">
        <f t="shared" si="1"/>
        <v>1</v>
      </c>
      <c r="H89" s="114" t="s">
        <v>1471</v>
      </c>
    </row>
    <row r="90" spans="1:8" hidden="1" x14ac:dyDescent="0.4">
      <c r="A90" s="114" t="s">
        <v>1036</v>
      </c>
      <c r="B90" s="114" t="s">
        <v>267</v>
      </c>
      <c r="D90" s="114">
        <f>VLOOKUP($B90,Parts!$A:$G,IF(D$1="t",4,3),FALSE)*$C90</f>
        <v>0</v>
      </c>
      <c r="E90" s="114">
        <f>VLOOKUP($B90,Parts!$A:$G,IF(E$1="t",4,3),FALSE)*$C90</f>
        <v>0</v>
      </c>
      <c r="F90" s="114">
        <f>IFERROR(IF(A90=B90,0,VLOOKUP(A90,'AC Summary'!A:E,2,FALSE))*C90,0)</f>
        <v>0</v>
      </c>
      <c r="G90" s="114" t="b">
        <f t="shared" si="1"/>
        <v>0</v>
      </c>
    </row>
    <row r="91" spans="1:8" x14ac:dyDescent="0.4">
      <c r="A91" s="114" t="s">
        <v>1029</v>
      </c>
      <c r="B91" s="114" t="s">
        <v>1029</v>
      </c>
      <c r="D91" s="114">
        <f>SUM(D92:D95)</f>
        <v>2</v>
      </c>
      <c r="E91" s="114">
        <f>SUM(E92:E95)</f>
        <v>28.25</v>
      </c>
      <c r="F91" s="114">
        <f>IFERROR(IF(A91=B91,0,VLOOKUP(A91,'AC Summary'!A:E,2,FALSE))*C91,0)</f>
        <v>0</v>
      </c>
      <c r="G91" s="114" t="b">
        <f t="shared" si="1"/>
        <v>1</v>
      </c>
      <c r="H91" s="114" t="s">
        <v>1469</v>
      </c>
    </row>
    <row r="92" spans="1:8" hidden="1" x14ac:dyDescent="0.4">
      <c r="A92" s="114" t="s">
        <v>1029</v>
      </c>
      <c r="B92" s="114" t="s">
        <v>1038</v>
      </c>
      <c r="C92" s="114">
        <v>1</v>
      </c>
      <c r="D92" s="114">
        <f>VLOOKUP($B92,Parts!$A:$G,IF(D$1="t",4,3),FALSE)*$C92</f>
        <v>1</v>
      </c>
      <c r="E92" s="114">
        <f>VLOOKUP($B92,Parts!$A:$G,IF(E$1="t",4,3),FALSE)*$C92</f>
        <v>0</v>
      </c>
      <c r="F92" s="114">
        <f>IFERROR(IF(A92=B92,0,VLOOKUP(A92,'AC Summary'!A:E,2,FALSE))*C92,0)</f>
        <v>0</v>
      </c>
      <c r="G92" s="114" t="b">
        <f t="shared" si="1"/>
        <v>0</v>
      </c>
    </row>
    <row r="93" spans="1:8" hidden="1" x14ac:dyDescent="0.4">
      <c r="A93" s="114" t="s">
        <v>1029</v>
      </c>
      <c r="B93" s="114" t="s">
        <v>1018</v>
      </c>
      <c r="C93" s="114">
        <v>1</v>
      </c>
      <c r="D93" s="114">
        <f>VLOOKUP($B93,Parts!$A:$G,IF(D$1="t",4,3),FALSE)*$C93</f>
        <v>1</v>
      </c>
      <c r="E93" s="114">
        <f>VLOOKUP($B93,Parts!$A:$G,IF(E$1="t",4,3),FALSE)*$C93</f>
        <v>0</v>
      </c>
      <c r="F93" s="114">
        <f>IFERROR(IF(A93=B93,0,VLOOKUP(A93,'AC Summary'!A:E,2,FALSE))*C93,0)</f>
        <v>0</v>
      </c>
      <c r="G93" s="114" t="b">
        <f t="shared" si="1"/>
        <v>0</v>
      </c>
    </row>
    <row r="94" spans="1:8" hidden="1" x14ac:dyDescent="0.4">
      <c r="A94" s="114" t="s">
        <v>1029</v>
      </c>
      <c r="B94" s="114" t="s">
        <v>253</v>
      </c>
      <c r="C94" s="114">
        <v>1</v>
      </c>
      <c r="D94" s="114">
        <f>VLOOKUP($B94,Parts!$A:$G,IF(D$1="t",4,3),FALSE)*$C94</f>
        <v>0</v>
      </c>
      <c r="E94" s="114">
        <f>VLOOKUP($B94,Parts!$A:$G,IF(E$1="t",4,3),FALSE)*$C94</f>
        <v>8.4499999999999993</v>
      </c>
      <c r="F94" s="114">
        <f>IFERROR(IF(A94=B94,0,VLOOKUP(A94,'AC Summary'!A:E,2,FALSE))*C94,0)</f>
        <v>0</v>
      </c>
      <c r="G94" s="114" t="b">
        <f t="shared" si="1"/>
        <v>0</v>
      </c>
    </row>
    <row r="95" spans="1:8" hidden="1" x14ac:dyDescent="0.4">
      <c r="A95" s="114" t="s">
        <v>1029</v>
      </c>
      <c r="B95" s="114" t="s">
        <v>998</v>
      </c>
      <c r="C95" s="114">
        <v>1</v>
      </c>
      <c r="D95" s="114">
        <f>VLOOKUP($B95,Parts!$A:$G,IF(D$1="t",4,3),FALSE)*$C95</f>
        <v>0</v>
      </c>
      <c r="E95" s="114">
        <f>VLOOKUP($B95,Parts!$A:$G,IF(E$1="t",4,3),FALSE)*$C95</f>
        <v>19.8</v>
      </c>
      <c r="F95" s="114">
        <f>IFERROR(IF(A95=B95,0,VLOOKUP(A95,'AC Summary'!A:E,2,FALSE))*C95,0)</f>
        <v>0</v>
      </c>
      <c r="G95" s="114" t="b">
        <f t="shared" si="1"/>
        <v>0</v>
      </c>
    </row>
    <row r="96" spans="1:8" x14ac:dyDescent="0.4">
      <c r="A96" s="114" t="s">
        <v>1030</v>
      </c>
      <c r="B96" s="114" t="s">
        <v>1030</v>
      </c>
      <c r="D96" s="114">
        <f>SUM(D97:D101)</f>
        <v>1</v>
      </c>
      <c r="E96" s="114">
        <f>SUM(E97:E101)</f>
        <v>89.9</v>
      </c>
      <c r="F96" s="114">
        <f>IFERROR(IF(A96=B96,0,VLOOKUP(A96,'AC Summary'!A:E,2,FALSE))*C96,0)</f>
        <v>0</v>
      </c>
      <c r="G96" s="114" t="b">
        <f t="shared" si="1"/>
        <v>1</v>
      </c>
      <c r="H96" s="114" t="s">
        <v>1468</v>
      </c>
    </row>
    <row r="97" spans="1:8" hidden="1" x14ac:dyDescent="0.4">
      <c r="A97" s="114" t="s">
        <v>1030</v>
      </c>
      <c r="B97" s="114" t="s">
        <v>266</v>
      </c>
      <c r="D97" s="114">
        <f>VLOOKUP($B97,Parts!$A:$G,IF(D$1="t",4,3),FALSE)*$C97</f>
        <v>0</v>
      </c>
      <c r="E97" s="114">
        <f>VLOOKUP($B97,Parts!$A:$G,IF(E$1="t",4,3),FALSE)*$C97</f>
        <v>0</v>
      </c>
      <c r="F97" s="114">
        <f>IFERROR(IF(A97=B97,0,VLOOKUP(A97,'AC Summary'!A:E,2,FALSE))*C97,0)</f>
        <v>0</v>
      </c>
      <c r="G97" s="114" t="b">
        <f t="shared" si="1"/>
        <v>0</v>
      </c>
    </row>
    <row r="98" spans="1:8" hidden="1" x14ac:dyDescent="0.4">
      <c r="A98" s="114" t="s">
        <v>1030</v>
      </c>
      <c r="B98" s="114" t="s">
        <v>1039</v>
      </c>
      <c r="C98" s="114">
        <v>1</v>
      </c>
      <c r="D98" s="114">
        <f>VLOOKUP($B98,Parts!$A:$G,IF(D$1="t",4,3),FALSE)*$C98</f>
        <v>0</v>
      </c>
      <c r="E98" s="114">
        <f>VLOOKUP($B98,Parts!$A:$G,IF(E$1="t",4,3),FALSE)*$C98</f>
        <v>46.46</v>
      </c>
      <c r="F98" s="114">
        <f>IFERROR(IF(A98=B98,0,VLOOKUP(A98,'AC Summary'!A:E,2,FALSE))*C98,0)</f>
        <v>0</v>
      </c>
      <c r="G98" s="114" t="b">
        <f t="shared" si="1"/>
        <v>0</v>
      </c>
    </row>
    <row r="99" spans="1:8" hidden="1" x14ac:dyDescent="0.4">
      <c r="A99" s="114" t="s">
        <v>1030</v>
      </c>
      <c r="B99" s="114" t="s">
        <v>1040</v>
      </c>
      <c r="C99" s="114">
        <v>1</v>
      </c>
      <c r="D99" s="114">
        <f>VLOOKUP($B99,Parts!$A:$G,IF(D$1="t",4,3),FALSE)*$C99</f>
        <v>0</v>
      </c>
      <c r="E99" s="114">
        <f>VLOOKUP($B99,Parts!$A:$G,IF(E$1="t",4,3),FALSE)*$C99</f>
        <v>43.44</v>
      </c>
      <c r="F99" s="114">
        <f>IFERROR(IF(A99=B99,0,VLOOKUP(A99,'AC Summary'!A:E,2,FALSE))*C99,0)</f>
        <v>0</v>
      </c>
      <c r="G99" s="114" t="b">
        <f t="shared" si="1"/>
        <v>0</v>
      </c>
    </row>
    <row r="100" spans="1:8" hidden="1" x14ac:dyDescent="0.4">
      <c r="A100" s="114" t="s">
        <v>1030</v>
      </c>
      <c r="B100" s="114" t="s">
        <v>1018</v>
      </c>
      <c r="C100" s="114">
        <v>1</v>
      </c>
      <c r="D100" s="114">
        <f>VLOOKUP($B100,Parts!$A:$G,IF(D$1="t",4,3),FALSE)*$C100</f>
        <v>1</v>
      </c>
      <c r="E100" s="114">
        <f>VLOOKUP($B100,Parts!$A:$G,IF(E$1="t",4,3),FALSE)*$C100</f>
        <v>0</v>
      </c>
      <c r="F100" s="114">
        <f>IFERROR(IF(A100=B100,0,VLOOKUP(A100,'AC Summary'!A:E,2,FALSE))*C100,0)</f>
        <v>0</v>
      </c>
      <c r="G100" s="114" t="b">
        <f t="shared" si="1"/>
        <v>0</v>
      </c>
    </row>
    <row r="101" spans="1:8" hidden="1" x14ac:dyDescent="0.4">
      <c r="A101" s="114" t="s">
        <v>1030</v>
      </c>
      <c r="B101" s="114" t="s">
        <v>269</v>
      </c>
      <c r="D101" s="114">
        <f>VLOOKUP($B101,Parts!$A:$G,IF(D$1="t",4,3),FALSE)*$C101</f>
        <v>0</v>
      </c>
      <c r="E101" s="114">
        <f>VLOOKUP($B101,Parts!$A:$G,IF(E$1="t",4,3),FALSE)*$C101</f>
        <v>0</v>
      </c>
      <c r="F101" s="114">
        <f>IFERROR(IF(A101=B101,0,VLOOKUP(A101,'AC Summary'!A:E,2,FALSE))*C101,0)</f>
        <v>0</v>
      </c>
      <c r="G101" s="114" t="b">
        <f t="shared" si="1"/>
        <v>0</v>
      </c>
    </row>
    <row r="102" spans="1:8" x14ac:dyDescent="0.4">
      <c r="A102" s="114" t="s">
        <v>1026</v>
      </c>
      <c r="B102" s="114" t="s">
        <v>1026</v>
      </c>
      <c r="D102" s="114">
        <f>SUM(D103:D106)</f>
        <v>1</v>
      </c>
      <c r="E102" s="114">
        <f>SUM(E103:E106)</f>
        <v>8.4499999999999993</v>
      </c>
      <c r="F102" s="114">
        <f>IFERROR(IF(A102=B102,0,VLOOKUP(A102,'AC Summary'!A:E,2,FALSE))*C102,0)</f>
        <v>0</v>
      </c>
      <c r="G102" s="114" t="b">
        <f t="shared" si="1"/>
        <v>1</v>
      </c>
      <c r="H102" s="114" t="s">
        <v>1470</v>
      </c>
    </row>
    <row r="103" spans="1:8" hidden="1" x14ac:dyDescent="0.4">
      <c r="A103" s="114" t="s">
        <v>1026</v>
      </c>
      <c r="B103" s="114" t="s">
        <v>350</v>
      </c>
      <c r="C103" s="114">
        <v>1</v>
      </c>
      <c r="D103" s="114">
        <f>VLOOKUP($B103,Parts!$A:$G,IF(D$1="t",4,3),FALSE)*$C103</f>
        <v>1</v>
      </c>
      <c r="E103" s="114">
        <f>VLOOKUP($B103,Parts!$A:$G,IF(E$1="t",4,3),FALSE)*$C103</f>
        <v>0</v>
      </c>
      <c r="F103" s="114">
        <f>IFERROR(IF(A103=B103,0,VLOOKUP(A103,'AC Summary'!A:E,2,FALSE))*C103,0)</f>
        <v>0</v>
      </c>
      <c r="G103" s="114" t="b">
        <f t="shared" si="1"/>
        <v>0</v>
      </c>
    </row>
    <row r="104" spans="1:8" hidden="1" x14ac:dyDescent="0.4">
      <c r="A104" s="114" t="s">
        <v>1026</v>
      </c>
      <c r="B104" s="114" t="s">
        <v>253</v>
      </c>
      <c r="C104" s="114">
        <v>1</v>
      </c>
      <c r="D104" s="114">
        <f>VLOOKUP($B104,Parts!$A:$G,IF(D$1="t",4,3),FALSE)*$C104</f>
        <v>0</v>
      </c>
      <c r="E104" s="114">
        <f>VLOOKUP($B104,Parts!$A:$G,IF(E$1="t",4,3),FALSE)*$C104</f>
        <v>8.4499999999999993</v>
      </c>
      <c r="F104" s="114">
        <f>IFERROR(IF(A104=B104,0,VLOOKUP(A104,'AC Summary'!A:E,2,FALSE))*C104,0)</f>
        <v>0</v>
      </c>
      <c r="G104" s="114" t="b">
        <f t="shared" si="1"/>
        <v>0</v>
      </c>
    </row>
    <row r="105" spans="1:8" hidden="1" x14ac:dyDescent="0.4">
      <c r="A105" s="114" t="s">
        <v>1026</v>
      </c>
      <c r="B105" s="114" t="s">
        <v>360</v>
      </c>
      <c r="D105" s="114">
        <f>VLOOKUP($B105,Parts!$A:$G,IF(D$1="t",4,3),FALSE)*$C105</f>
        <v>0</v>
      </c>
      <c r="E105" s="114">
        <f>VLOOKUP($B105,Parts!$A:$G,IF(E$1="t",4,3),FALSE)*$C105</f>
        <v>0</v>
      </c>
      <c r="F105" s="114">
        <f>IFERROR(IF(A105=B105,0,VLOOKUP(A105,'AC Summary'!A:E,2,FALSE))*C105,0)</f>
        <v>0</v>
      </c>
      <c r="G105" s="114" t="b">
        <f t="shared" si="1"/>
        <v>0</v>
      </c>
    </row>
    <row r="106" spans="1:8" hidden="1" x14ac:dyDescent="0.4">
      <c r="A106" s="114" t="s">
        <v>1026</v>
      </c>
      <c r="B106" s="114" t="s">
        <v>268</v>
      </c>
      <c r="D106" s="114">
        <f>VLOOKUP($B106,Parts!$A:$G,IF(D$1="t",4,3),FALSE)*$C106</f>
        <v>0</v>
      </c>
      <c r="E106" s="114">
        <f>VLOOKUP($B106,Parts!$A:$G,IF(E$1="t",4,3),FALSE)*$C106</f>
        <v>0</v>
      </c>
      <c r="F106" s="114">
        <f>IFERROR(IF(A106=B106,0,VLOOKUP(A106,'AC Summary'!A:E,2,FALSE))*C106,0)</f>
        <v>0</v>
      </c>
      <c r="G106" s="114" t="b">
        <f t="shared" si="1"/>
        <v>0</v>
      </c>
    </row>
    <row r="107" spans="1:8" x14ac:dyDescent="0.4">
      <c r="A107" s="114" t="s">
        <v>1031</v>
      </c>
      <c r="B107" s="114" t="s">
        <v>1031</v>
      </c>
      <c r="D107" s="114">
        <f>SUM(D108:D114)</f>
        <v>1.75</v>
      </c>
      <c r="E107" s="114">
        <f>SUM(E108:E114)</f>
        <v>28.25</v>
      </c>
      <c r="F107" s="114">
        <f>IFERROR(IF(A107=B107,0,VLOOKUP(A107,'AC Summary'!A:E,2,FALSE))*C107,0)</f>
        <v>0</v>
      </c>
      <c r="G107" s="114" t="b">
        <f t="shared" si="1"/>
        <v>1</v>
      </c>
      <c r="H107" s="114" t="s">
        <v>1031</v>
      </c>
    </row>
    <row r="108" spans="1:8" hidden="1" x14ac:dyDescent="0.4">
      <c r="A108" s="114" t="s">
        <v>1031</v>
      </c>
      <c r="B108" s="114" t="s">
        <v>253</v>
      </c>
      <c r="C108" s="114">
        <v>1</v>
      </c>
      <c r="D108" s="114">
        <f>VLOOKUP($B108,Parts!$A:$G,IF(D$1="t",4,3),FALSE)*$C108</f>
        <v>0</v>
      </c>
      <c r="E108" s="114">
        <f>VLOOKUP($B108,Parts!$A:$G,IF(E$1="t",4,3),FALSE)*$C108</f>
        <v>8.4499999999999993</v>
      </c>
      <c r="F108" s="114">
        <f>IFERROR(IF(A108=B108,0,VLOOKUP(A108,'AC Summary'!A:E,2,FALSE))*C108,0)</f>
        <v>0</v>
      </c>
      <c r="G108" s="114" t="b">
        <f t="shared" si="1"/>
        <v>0</v>
      </c>
    </row>
    <row r="109" spans="1:8" hidden="1" x14ac:dyDescent="0.4">
      <c r="A109" s="114" t="s">
        <v>1031</v>
      </c>
      <c r="B109" s="114" t="s">
        <v>998</v>
      </c>
      <c r="C109" s="114">
        <v>1</v>
      </c>
      <c r="D109" s="114">
        <f>VLOOKUP($B109,Parts!$A:$G,IF(D$1="t",4,3),FALSE)*$C109</f>
        <v>0</v>
      </c>
      <c r="E109" s="114">
        <f>VLOOKUP($B109,Parts!$A:$G,IF(E$1="t",4,3),FALSE)*$C109</f>
        <v>19.8</v>
      </c>
      <c r="F109" s="114">
        <f>IFERROR(IF(A109=B109,0,VLOOKUP(A109,'AC Summary'!A:E,2,FALSE))*C109,0)</f>
        <v>0</v>
      </c>
      <c r="G109" s="114" t="b">
        <f t="shared" si="1"/>
        <v>0</v>
      </c>
    </row>
    <row r="110" spans="1:8" hidden="1" x14ac:dyDescent="0.4">
      <c r="A110" s="114" t="s">
        <v>1031</v>
      </c>
      <c r="B110" s="114" t="s">
        <v>268</v>
      </c>
      <c r="D110" s="114">
        <f>VLOOKUP($B110,Parts!$A:$G,IF(D$1="t",4,3),FALSE)*$C110</f>
        <v>0</v>
      </c>
      <c r="E110" s="114">
        <f>VLOOKUP($B110,Parts!$A:$G,IF(E$1="t",4,3),FALSE)*$C110</f>
        <v>0</v>
      </c>
      <c r="F110" s="114">
        <f>IFERROR(IF(A110=B110,0,VLOOKUP(A110,'AC Summary'!A:E,2,FALSE))*C110,0)</f>
        <v>0</v>
      </c>
      <c r="G110" s="114" t="b">
        <f t="shared" si="1"/>
        <v>0</v>
      </c>
    </row>
    <row r="111" spans="1:8" hidden="1" x14ac:dyDescent="0.4">
      <c r="A111" s="114" t="s">
        <v>1031</v>
      </c>
      <c r="B111" s="114" t="s">
        <v>269</v>
      </c>
      <c r="D111" s="114">
        <f>VLOOKUP($B111,Parts!$A:$G,IF(D$1="t",4,3),FALSE)*$C111</f>
        <v>0</v>
      </c>
      <c r="E111" s="114">
        <f>VLOOKUP($B111,Parts!$A:$G,IF(E$1="t",4,3),FALSE)*$C111</f>
        <v>0</v>
      </c>
      <c r="F111" s="114">
        <f>IFERROR(IF(A111=B111,0,VLOOKUP(A111,'AC Summary'!A:E,2,FALSE))*C111,0)</f>
        <v>0</v>
      </c>
      <c r="G111" s="114" t="b">
        <f t="shared" si="1"/>
        <v>0</v>
      </c>
    </row>
    <row r="112" spans="1:8" hidden="1" x14ac:dyDescent="0.4">
      <c r="A112" s="114" t="s">
        <v>1031</v>
      </c>
      <c r="B112" s="114" t="s">
        <v>1035</v>
      </c>
      <c r="C112" s="114">
        <v>1</v>
      </c>
      <c r="D112" s="114">
        <f>VLOOKUP($B112,Parts!$A:$G,IF(D$1="t",4,3),FALSE)*$C112</f>
        <v>0.5</v>
      </c>
      <c r="E112" s="114">
        <f>VLOOKUP($B112,Parts!$A:$G,IF(E$1="t",4,3),FALSE)*$C112</f>
        <v>0</v>
      </c>
      <c r="F112" s="114">
        <f>IFERROR(IF(A112=B112,0,VLOOKUP(A112,'AC Summary'!A:E,2,FALSE))*C112,0)</f>
        <v>0</v>
      </c>
      <c r="G112" s="114" t="b">
        <f t="shared" si="1"/>
        <v>0</v>
      </c>
    </row>
    <row r="113" spans="1:8" hidden="1" x14ac:dyDescent="0.4">
      <c r="A113" s="114" t="s">
        <v>1031</v>
      </c>
      <c r="B113" s="114" t="s">
        <v>239</v>
      </c>
      <c r="C113" s="114">
        <v>1</v>
      </c>
      <c r="D113" s="114">
        <f>VLOOKUP($B113,Parts!$A:$G,IF(D$1="t",4,3),FALSE)*$C113</f>
        <v>1</v>
      </c>
      <c r="E113" s="114">
        <f>VLOOKUP($B113,Parts!$A:$G,IF(E$1="t",4,3),FALSE)*$C113</f>
        <v>0</v>
      </c>
      <c r="F113" s="114">
        <f>IFERROR(IF(A113=B113,0,VLOOKUP(A113,'AC Summary'!A:E,2,FALSE))*C113,0)</f>
        <v>0</v>
      </c>
      <c r="G113" s="114" t="b">
        <f t="shared" si="1"/>
        <v>0</v>
      </c>
    </row>
    <row r="114" spans="1:8" hidden="1" x14ac:dyDescent="0.4">
      <c r="A114" s="114" t="s">
        <v>1031</v>
      </c>
      <c r="B114" s="114" t="s">
        <v>301</v>
      </c>
      <c r="C114" s="114">
        <v>1</v>
      </c>
      <c r="D114" s="114">
        <f>VLOOKUP($B114,Parts!$A:$G,IF(D$1="t",4,3),FALSE)*$C114</f>
        <v>0.25</v>
      </c>
      <c r="E114" s="114">
        <f>VLOOKUP($B114,Parts!$A:$G,IF(E$1="t",4,3),FALSE)*$C114</f>
        <v>0</v>
      </c>
      <c r="F114" s="114">
        <f>IFERROR(IF(A114=B114,0,VLOOKUP(A114,'AC Summary'!A:E,2,FALSE))*C114,0)</f>
        <v>0</v>
      </c>
      <c r="G114" s="114" t="b">
        <f t="shared" si="1"/>
        <v>0</v>
      </c>
    </row>
    <row r="115" spans="1:8" x14ac:dyDescent="0.4">
      <c r="A115" s="114" t="s">
        <v>1432</v>
      </c>
      <c r="B115" s="114" t="s">
        <v>1432</v>
      </c>
      <c r="D115" s="114">
        <f>SUM(D116:D117)</f>
        <v>0</v>
      </c>
      <c r="E115" s="114">
        <f>SUM(E116:E117)</f>
        <v>11.46</v>
      </c>
      <c r="F115" s="114">
        <f>IFERROR(IF(A115=B115,0,VLOOKUP(A115,'AC Summary'!A:E,2,FALSE))*C115,0)</f>
        <v>0</v>
      </c>
      <c r="G115" s="114" t="b">
        <f t="shared" si="1"/>
        <v>1</v>
      </c>
      <c r="H115" s="114" t="s">
        <v>1464</v>
      </c>
    </row>
    <row r="116" spans="1:8" hidden="1" x14ac:dyDescent="0.4">
      <c r="A116" s="114" t="s">
        <v>1432</v>
      </c>
      <c r="B116" s="114" t="s">
        <v>268</v>
      </c>
      <c r="D116" s="114">
        <f>VLOOKUP($B116,Parts!$A:$G,IF(D$1="t",4,3),FALSE)*$C116</f>
        <v>0</v>
      </c>
      <c r="E116" s="114">
        <f>VLOOKUP($B116,Parts!$A:$G,IF(E$1="t",4,3),FALSE)*$C116</f>
        <v>0</v>
      </c>
      <c r="F116" s="114">
        <f>IFERROR(IF(A116=B116,0,VLOOKUP(A116,'AC Summary'!A:E,2,FALSE))*C116,0)</f>
        <v>0</v>
      </c>
      <c r="G116" s="114" t="b">
        <f t="shared" si="1"/>
        <v>0</v>
      </c>
    </row>
    <row r="117" spans="1:8" hidden="1" x14ac:dyDescent="0.4">
      <c r="A117" s="114" t="s">
        <v>1432</v>
      </c>
      <c r="B117" s="114" t="s">
        <v>1023</v>
      </c>
      <c r="C117" s="114">
        <v>1</v>
      </c>
      <c r="D117" s="114">
        <f>VLOOKUP($B117,Parts!$A:$G,IF(D$1="t",4,3),FALSE)*$C117</f>
        <v>0</v>
      </c>
      <c r="E117" s="114">
        <f>VLOOKUP($B117,Parts!$A:$G,IF(E$1="t",4,3),FALSE)*$C117</f>
        <v>11.46</v>
      </c>
      <c r="F117" s="114">
        <f>IFERROR(IF(A117=B117,0,VLOOKUP(A117,'AC Summary'!A:E,2,FALSE))*C117,0)</f>
        <v>1</v>
      </c>
      <c r="G117" s="114" t="b">
        <f t="shared" si="1"/>
        <v>0</v>
      </c>
    </row>
    <row r="118" spans="1:8" x14ac:dyDescent="0.4">
      <c r="A118" s="114" t="s">
        <v>1048</v>
      </c>
      <c r="B118" s="114" t="s">
        <v>1048</v>
      </c>
      <c r="D118" s="114">
        <f>SUM(D119:D122)</f>
        <v>0</v>
      </c>
      <c r="E118" s="114">
        <f>SUM(E119:E122)</f>
        <v>89.9</v>
      </c>
      <c r="F118" s="114">
        <f>IFERROR(IF(A118=B118,0,VLOOKUP(A118,'AC Summary'!A:E,2,FALSE))*C118,0)</f>
        <v>0</v>
      </c>
      <c r="G118" s="114" t="b">
        <f t="shared" si="1"/>
        <v>1</v>
      </c>
      <c r="H118" s="114" t="s">
        <v>1472</v>
      </c>
    </row>
    <row r="119" spans="1:8" hidden="1" x14ac:dyDescent="0.4">
      <c r="A119" s="114" t="s">
        <v>1048</v>
      </c>
      <c r="B119" s="114" t="s">
        <v>267</v>
      </c>
      <c r="D119" s="114">
        <f>VLOOKUP($B119,Parts!$A:$G,IF(D$1="t",4,3),FALSE)*$C119</f>
        <v>0</v>
      </c>
      <c r="E119" s="114">
        <f>VLOOKUP($B119,Parts!$A:$G,IF(E$1="t",4,3),FALSE)*$C119</f>
        <v>0</v>
      </c>
      <c r="F119" s="114">
        <f>IFERROR(IF(A119=B119,0,VLOOKUP(A119,'AC Summary'!A:E,2,FALSE))*C119,0)</f>
        <v>0</v>
      </c>
      <c r="G119" s="114" t="b">
        <f t="shared" si="1"/>
        <v>0</v>
      </c>
    </row>
    <row r="120" spans="1:8" hidden="1" x14ac:dyDescent="0.4">
      <c r="A120" s="114" t="s">
        <v>1048</v>
      </c>
      <c r="B120" s="114" t="s">
        <v>1039</v>
      </c>
      <c r="C120" s="114">
        <v>1</v>
      </c>
      <c r="D120" s="114">
        <f>VLOOKUP($B120,Parts!$A:$G,IF(D$1="t",4,3),FALSE)*$C120</f>
        <v>0</v>
      </c>
      <c r="E120" s="114">
        <f>VLOOKUP($B120,Parts!$A:$G,IF(E$1="t",4,3),FALSE)*$C120</f>
        <v>46.46</v>
      </c>
      <c r="F120" s="114">
        <f>IFERROR(IF(A120=B120,0,VLOOKUP(A120,'AC Summary'!A:E,2,FALSE))*C120,0)</f>
        <v>1</v>
      </c>
      <c r="G120" s="114" t="b">
        <f t="shared" si="1"/>
        <v>0</v>
      </c>
    </row>
    <row r="121" spans="1:8" hidden="1" x14ac:dyDescent="0.4">
      <c r="A121" s="114" t="s">
        <v>1048</v>
      </c>
      <c r="B121" s="114" t="s">
        <v>1040</v>
      </c>
      <c r="C121" s="114">
        <v>1</v>
      </c>
      <c r="D121" s="114">
        <f>VLOOKUP($B121,Parts!$A:$G,IF(D$1="t",4,3),FALSE)*$C121</f>
        <v>0</v>
      </c>
      <c r="E121" s="114">
        <f>VLOOKUP($B121,Parts!$A:$G,IF(E$1="t",4,3),FALSE)*$C121</f>
        <v>43.44</v>
      </c>
      <c r="F121" s="114">
        <f>IFERROR(IF(A121=B121,0,VLOOKUP(A121,'AC Summary'!A:E,2,FALSE))*C121,0)</f>
        <v>1</v>
      </c>
      <c r="G121" s="114" t="b">
        <f t="shared" si="1"/>
        <v>0</v>
      </c>
    </row>
    <row r="122" spans="1:8" x14ac:dyDescent="0.4">
      <c r="A122" s="114" t="s">
        <v>886</v>
      </c>
      <c r="B122" s="114" t="s">
        <v>886</v>
      </c>
      <c r="C122" s="114">
        <v>0</v>
      </c>
      <c r="D122" s="114">
        <v>0</v>
      </c>
      <c r="E122" s="114">
        <v>0</v>
      </c>
      <c r="F122" s="114">
        <v>0</v>
      </c>
      <c r="G122" s="114" t="b">
        <f t="shared" si="1"/>
        <v>1</v>
      </c>
    </row>
  </sheetData>
  <autoFilter ref="A1:H122" xr:uid="{DAB6791D-5C5F-414A-9185-C1B36DF03F50}">
    <filterColumn colId="6">
      <filters>
        <filter val="TRUE"/>
      </filters>
    </filterColumn>
  </autoFilter>
  <conditionalFormatting sqref="F1 B1:E75 B77:E82 C76:E76 C83:E83 B89:B90 B92:C95 C91:E91 B97:C97 B96:E96 B123:E1048576 B98:B114 A118:A121 B116:B121 C102:E121 B84:E88">
    <cfRule type="cellIs" dxfId="271" priority="36" operator="equal">
      <formula>""</formula>
    </cfRule>
  </conditionalFormatting>
  <conditionalFormatting sqref="A57:A68">
    <cfRule type="cellIs" dxfId="270" priority="13" operator="equal">
      <formula>""</formula>
    </cfRule>
  </conditionalFormatting>
  <conditionalFormatting sqref="A69:A72">
    <cfRule type="cellIs" dxfId="269" priority="12" operator="equal">
      <formula>""</formula>
    </cfRule>
  </conditionalFormatting>
  <conditionalFormatting sqref="A73:A75">
    <cfRule type="cellIs" dxfId="268" priority="11" operator="equal">
      <formula>""</formula>
    </cfRule>
  </conditionalFormatting>
  <conditionalFormatting sqref="A34:A36">
    <cfRule type="cellIs" dxfId="267" priority="21" operator="equal">
      <formula>""</formula>
    </cfRule>
  </conditionalFormatting>
  <conditionalFormatting sqref="A48:A49">
    <cfRule type="cellIs" dxfId="266" priority="17" operator="equal">
      <formula>""</formula>
    </cfRule>
  </conditionalFormatting>
  <conditionalFormatting sqref="A8:A13">
    <cfRule type="cellIs" dxfId="265" priority="35" operator="equal">
      <formula>""</formula>
    </cfRule>
  </conditionalFormatting>
  <conditionalFormatting sqref="A2:A7">
    <cfRule type="cellIs" dxfId="264" priority="34" operator="equal">
      <formula>""</formula>
    </cfRule>
  </conditionalFormatting>
  <conditionalFormatting sqref="A14:A15">
    <cfRule type="cellIs" dxfId="263" priority="33" operator="equal">
      <formula>""</formula>
    </cfRule>
  </conditionalFormatting>
  <conditionalFormatting sqref="A16:A17">
    <cfRule type="cellIs" dxfId="262" priority="32" operator="equal">
      <formula>""</formula>
    </cfRule>
  </conditionalFormatting>
  <conditionalFormatting sqref="A18:A19">
    <cfRule type="cellIs" dxfId="261" priority="31" operator="equal">
      <formula>""</formula>
    </cfRule>
  </conditionalFormatting>
  <conditionalFormatting sqref="A20:A21">
    <cfRule type="cellIs" dxfId="260" priority="30" operator="equal">
      <formula>""</formula>
    </cfRule>
  </conditionalFormatting>
  <conditionalFormatting sqref="A22:A23">
    <cfRule type="cellIs" dxfId="259" priority="29" operator="equal">
      <formula>""</formula>
    </cfRule>
  </conditionalFormatting>
  <conditionalFormatting sqref="A24:A25">
    <cfRule type="cellIs" dxfId="258" priority="28" operator="equal">
      <formula>""</formula>
    </cfRule>
  </conditionalFormatting>
  <conditionalFormatting sqref="A26:A27">
    <cfRule type="cellIs" dxfId="257" priority="27" operator="equal">
      <formula>""</formula>
    </cfRule>
  </conditionalFormatting>
  <conditionalFormatting sqref="A28:A33">
    <cfRule type="cellIs" dxfId="256" priority="26" operator="equal">
      <formula>""</formula>
    </cfRule>
  </conditionalFormatting>
  <conditionalFormatting sqref="A37:A39">
    <cfRule type="cellIs" dxfId="255" priority="20" operator="equal">
      <formula>""</formula>
    </cfRule>
  </conditionalFormatting>
  <conditionalFormatting sqref="A40:A43">
    <cfRule type="cellIs" dxfId="254" priority="19" operator="equal">
      <formula>""</formula>
    </cfRule>
  </conditionalFormatting>
  <conditionalFormatting sqref="A44:A47">
    <cfRule type="cellIs" dxfId="253" priority="18" operator="equal">
      <formula>""</formula>
    </cfRule>
  </conditionalFormatting>
  <conditionalFormatting sqref="A50:A51">
    <cfRule type="cellIs" dxfId="252" priority="16" operator="equal">
      <formula>""</formula>
    </cfRule>
  </conditionalFormatting>
  <conditionalFormatting sqref="A52:A53">
    <cfRule type="cellIs" dxfId="251" priority="15" operator="equal">
      <formula>""</formula>
    </cfRule>
  </conditionalFormatting>
  <conditionalFormatting sqref="A54:A56">
    <cfRule type="cellIs" dxfId="250" priority="14" operator="equal">
      <formula>""</formula>
    </cfRule>
  </conditionalFormatting>
  <conditionalFormatting sqref="C89:E90">
    <cfRule type="cellIs" dxfId="249" priority="10" operator="equal">
      <formula>""</formula>
    </cfRule>
  </conditionalFormatting>
  <conditionalFormatting sqref="D92:E95">
    <cfRule type="cellIs" dxfId="248" priority="9" operator="equal">
      <formula>""</formula>
    </cfRule>
  </conditionalFormatting>
  <conditionalFormatting sqref="C98:C101">
    <cfRule type="cellIs" dxfId="247" priority="8" operator="equal">
      <formula>""</formula>
    </cfRule>
  </conditionalFormatting>
  <conditionalFormatting sqref="D98:E101">
    <cfRule type="cellIs" dxfId="246" priority="7" operator="equal">
      <formula>""</formula>
    </cfRule>
  </conditionalFormatting>
  <conditionalFormatting sqref="D97:E97">
    <cfRule type="cellIs" dxfId="245" priority="6" operator="equal">
      <formula>""</formula>
    </cfRule>
  </conditionalFormatting>
  <conditionalFormatting sqref="B122:F122">
    <cfRule type="cellIs" dxfId="244" priority="5" operator="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EE55860-B058-4690-8B29-832E069D4F77}">
          <x14:formula1>
            <xm:f>'D:\Github\IGOC-Workspace\Mech Elec Template\[AAA-MechElec - 1.0_SS.xlsx]Part List'!#REF!</xm:f>
          </x14:formula1>
          <xm:sqref>B35:B36 B38:B39 B41:B43 B45:B47 B49 B51 B53</xm:sqref>
        </x14:dataValidation>
        <x14:dataValidation type="list" allowBlank="1" showInputMessage="1" showErrorMessage="1" xr:uid="{367682FD-DACB-4058-9107-A78FDEB38E16}">
          <x14:formula1>
            <xm:f>'D:\Github\IGOC-Workspace\Mech Elec Template\[AAA-MechElec - 1.0_SS.xlsx]Part List'!#REF!</xm:f>
          </x14:formula1>
          <xm:sqref>B100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08C5-0411-4D81-8A22-AF719FD9B8E2}">
  <dimension ref="A1:O27"/>
  <sheetViews>
    <sheetView workbookViewId="0">
      <selection activeCell="B32" sqref="B32"/>
    </sheetView>
  </sheetViews>
  <sheetFormatPr defaultRowHeight="14.6" x14ac:dyDescent="0.4"/>
  <cols>
    <col min="1" max="1" width="21.07421875" style="114" bestFit="1" customWidth="1"/>
    <col min="2" max="8" width="24.921875" style="114" customWidth="1"/>
    <col min="9" max="16384" width="9.23046875" style="114"/>
  </cols>
  <sheetData>
    <row r="1" spans="1:15" x14ac:dyDescent="0.4">
      <c r="A1" s="318" t="s">
        <v>676</v>
      </c>
      <c r="B1" s="114" t="s">
        <v>1032</v>
      </c>
      <c r="C1" s="114" t="s">
        <v>1020</v>
      </c>
      <c r="D1" s="114" t="s">
        <v>1021</v>
      </c>
      <c r="E1" s="114" t="s">
        <v>1022</v>
      </c>
      <c r="F1" s="114" t="s">
        <v>1023</v>
      </c>
      <c r="G1" s="114" t="s">
        <v>989</v>
      </c>
      <c r="O1" s="114" t="s">
        <v>1018</v>
      </c>
    </row>
    <row r="2" spans="1:15" x14ac:dyDescent="0.4">
      <c r="A2" s="318" t="s">
        <v>1401</v>
      </c>
      <c r="B2" s="114" t="s">
        <v>1029</v>
      </c>
      <c r="C2" s="114" t="s">
        <v>885</v>
      </c>
      <c r="D2" s="114" t="s">
        <v>885</v>
      </c>
      <c r="E2" s="114" t="s">
        <v>885</v>
      </c>
      <c r="F2" s="114" t="s">
        <v>885</v>
      </c>
      <c r="G2" s="114" t="s">
        <v>885</v>
      </c>
      <c r="O2" s="117" t="s">
        <v>1403</v>
      </c>
    </row>
    <row r="3" spans="1:15" x14ac:dyDescent="0.4">
      <c r="A3" s="318" t="s">
        <v>678</v>
      </c>
      <c r="B3" s="114" t="s">
        <v>1030</v>
      </c>
      <c r="C3" s="114" t="s">
        <v>886</v>
      </c>
      <c r="D3" s="114" t="s">
        <v>886</v>
      </c>
      <c r="E3" s="114" t="s">
        <v>886</v>
      </c>
      <c r="F3" s="114" t="s">
        <v>886</v>
      </c>
      <c r="G3" s="114" t="s">
        <v>886</v>
      </c>
      <c r="O3" s="117" t="s">
        <v>1404</v>
      </c>
    </row>
    <row r="4" spans="1:15" x14ac:dyDescent="0.4">
      <c r="A4" s="318" t="s">
        <v>1402</v>
      </c>
      <c r="B4" s="114" t="s">
        <v>1026</v>
      </c>
      <c r="O4" s="117" t="s">
        <v>1405</v>
      </c>
    </row>
    <row r="5" spans="1:15" x14ac:dyDescent="0.4">
      <c r="A5" s="318"/>
      <c r="B5" s="114" t="s">
        <v>1031</v>
      </c>
      <c r="O5" s="117" t="s">
        <v>1406</v>
      </c>
    </row>
    <row r="6" spans="1:15" x14ac:dyDescent="0.4">
      <c r="A6" s="318"/>
      <c r="B6" s="114" t="s">
        <v>1036</v>
      </c>
      <c r="O6" s="117" t="s">
        <v>1407</v>
      </c>
    </row>
    <row r="7" spans="1:15" x14ac:dyDescent="0.4">
      <c r="B7" s="114" t="s">
        <v>1048</v>
      </c>
      <c r="O7" s="117" t="s">
        <v>1408</v>
      </c>
    </row>
    <row r="8" spans="1:15" x14ac:dyDescent="0.4">
      <c r="B8" s="114" t="s">
        <v>1430</v>
      </c>
      <c r="O8" s="117" t="s">
        <v>1409</v>
      </c>
    </row>
    <row r="9" spans="1:15" x14ac:dyDescent="0.4">
      <c r="B9" s="114" t="s">
        <v>1431</v>
      </c>
    </row>
    <row r="19" spans="1:8" x14ac:dyDescent="0.4">
      <c r="B19" s="117" t="s">
        <v>1403</v>
      </c>
      <c r="C19" s="117" t="s">
        <v>1404</v>
      </c>
      <c r="D19" s="117" t="s">
        <v>1405</v>
      </c>
      <c r="E19" s="117" t="s">
        <v>1406</v>
      </c>
      <c r="F19" s="117" t="s">
        <v>1407</v>
      </c>
      <c r="G19" s="117" t="s">
        <v>1408</v>
      </c>
      <c r="H19" s="117" t="s">
        <v>1409</v>
      </c>
    </row>
    <row r="20" spans="1:8" x14ac:dyDescent="0.4">
      <c r="A20" s="114" t="s">
        <v>1029</v>
      </c>
      <c r="D20" s="114">
        <v>10</v>
      </c>
      <c r="F20" s="114">
        <v>10</v>
      </c>
    </row>
    <row r="21" spans="1:8" x14ac:dyDescent="0.4">
      <c r="A21" s="114" t="s">
        <v>1030</v>
      </c>
      <c r="D21" s="114">
        <v>10</v>
      </c>
      <c r="F21" s="114">
        <v>10</v>
      </c>
    </row>
    <row r="22" spans="1:8" x14ac:dyDescent="0.4">
      <c r="A22" s="114" t="s">
        <v>1026</v>
      </c>
      <c r="B22" s="114">
        <v>10</v>
      </c>
      <c r="D22" s="114">
        <v>10</v>
      </c>
      <c r="G22" s="114">
        <v>10</v>
      </c>
    </row>
    <row r="23" spans="1:8" x14ac:dyDescent="0.4">
      <c r="A23" s="114" t="s">
        <v>1031</v>
      </c>
      <c r="B23" s="446">
        <v>10</v>
      </c>
      <c r="D23" s="446">
        <v>10</v>
      </c>
    </row>
    <row r="24" spans="1:8" x14ac:dyDescent="0.4">
      <c r="A24" s="114" t="s">
        <v>1036</v>
      </c>
      <c r="E24" s="114">
        <v>10</v>
      </c>
    </row>
    <row r="25" spans="1:8" x14ac:dyDescent="0.4">
      <c r="A25" s="114" t="s">
        <v>1048</v>
      </c>
      <c r="E25" s="114">
        <v>10</v>
      </c>
    </row>
    <row r="26" spans="1:8" x14ac:dyDescent="0.4">
      <c r="A26" s="114" t="s">
        <v>1430</v>
      </c>
      <c r="B26" s="114">
        <v>10</v>
      </c>
      <c r="D26" s="114">
        <v>10</v>
      </c>
    </row>
    <row r="27" spans="1:8" x14ac:dyDescent="0.4">
      <c r="A27" s="114" t="s">
        <v>1431</v>
      </c>
      <c r="B27" s="114">
        <v>10</v>
      </c>
      <c r="D27" s="114">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1C0BF-27C6-4008-AE83-3DA45F276170}">
  <dimension ref="A1:B6"/>
  <sheetViews>
    <sheetView workbookViewId="0">
      <selection activeCell="H8" sqref="H8"/>
    </sheetView>
  </sheetViews>
  <sheetFormatPr defaultRowHeight="14.6" x14ac:dyDescent="0.4"/>
  <cols>
    <col min="1" max="1" width="27.765625" customWidth="1"/>
  </cols>
  <sheetData>
    <row r="1" spans="1:2" x14ac:dyDescent="0.4">
      <c r="A1" t="s">
        <v>1398</v>
      </c>
      <c r="B1" s="423">
        <v>80</v>
      </c>
    </row>
    <row r="3" spans="1:2" x14ac:dyDescent="0.4">
      <c r="A3" t="s">
        <v>885</v>
      </c>
    </row>
    <row r="4" spans="1:2" x14ac:dyDescent="0.4">
      <c r="A4" t="s">
        <v>886</v>
      </c>
    </row>
    <row r="6" spans="1:2" x14ac:dyDescent="0.4">
      <c r="A6" t="s">
        <v>1429</v>
      </c>
      <c r="B6">
        <v>9999999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BAAB0-10E0-4A5A-9866-072EF043C589}">
  <dimension ref="A1:AA32"/>
  <sheetViews>
    <sheetView topLeftCell="B1" workbookViewId="0">
      <selection activeCell="H11" sqref="H11"/>
    </sheetView>
  </sheetViews>
  <sheetFormatPr defaultRowHeight="14.6" outlineLevelCol="1" x14ac:dyDescent="0.4"/>
  <cols>
    <col min="1" max="1" width="10.921875" style="549" bestFit="1" customWidth="1"/>
    <col min="2" max="2" width="26.921875" style="318" bestFit="1" customWidth="1"/>
    <col min="3" max="3" width="12.69140625" style="543" bestFit="1" customWidth="1"/>
    <col min="4" max="4" width="12.69140625" style="318" bestFit="1" customWidth="1"/>
    <col min="5" max="11" width="13.07421875" style="542" customWidth="1" outlineLevel="1"/>
    <col min="12" max="12" width="12.69140625" style="318" bestFit="1" customWidth="1"/>
    <col min="13" max="13" width="12.69140625" style="534" bestFit="1" customWidth="1"/>
    <col min="14" max="14" width="12.69140625" style="318" bestFit="1" customWidth="1"/>
    <col min="15" max="16" width="12.69140625" style="534" bestFit="1" customWidth="1"/>
    <col min="17" max="19" width="1.921875" style="542" hidden="1" customWidth="1" outlineLevel="1"/>
    <col min="20" max="20" width="9.23046875" style="542" hidden="1" customWidth="1" outlineLevel="1"/>
    <col min="21" max="21" width="1.921875" style="542" hidden="1" customWidth="1" outlineLevel="1"/>
    <col min="22" max="26" width="9.23046875" style="318" hidden="1" customWidth="1" outlineLevel="1"/>
    <col min="27" max="27" width="9.23046875" style="318" collapsed="1"/>
    <col min="28" max="16384" width="9.23046875" style="318"/>
  </cols>
  <sheetData>
    <row r="1" spans="1:27" x14ac:dyDescent="0.4">
      <c r="A1" s="548" t="s">
        <v>1427</v>
      </c>
      <c r="C1" s="318"/>
      <c r="N1" s="318" t="s">
        <v>1421</v>
      </c>
      <c r="Q1" s="541"/>
      <c r="R1" s="541"/>
      <c r="S1" s="541"/>
    </row>
    <row r="2" spans="1:27" x14ac:dyDescent="0.4">
      <c r="A2" s="549" t="s">
        <v>1427</v>
      </c>
      <c r="C2" s="318"/>
      <c r="N2" s="533" t="s">
        <v>716</v>
      </c>
      <c r="O2" s="535" t="s">
        <v>717</v>
      </c>
      <c r="P2" s="536" t="s">
        <v>353</v>
      </c>
      <c r="Q2" s="541"/>
      <c r="R2" s="541"/>
      <c r="S2" s="541"/>
    </row>
    <row r="3" spans="1:27" x14ac:dyDescent="0.4">
      <c r="A3" s="549" t="s">
        <v>1427</v>
      </c>
      <c r="C3" s="318"/>
      <c r="N3" s="545">
        <f>SUM(Q:Q)</f>
        <v>23</v>
      </c>
      <c r="O3" s="534">
        <f>SUM(R:R)</f>
        <v>4993.6400000000012</v>
      </c>
      <c r="P3" s="534">
        <f>SUM(S:S)</f>
        <v>6833.64</v>
      </c>
      <c r="Q3" s="541"/>
      <c r="R3" s="589" t="s">
        <v>1426</v>
      </c>
      <c r="S3" s="590"/>
      <c r="T3" s="591"/>
    </row>
    <row r="4" spans="1:27" x14ac:dyDescent="0.4">
      <c r="A4" s="549" t="str">
        <f>$C5</f>
        <v>[Unit Name]</v>
      </c>
      <c r="B4" s="547" t="str">
        <f>A4</f>
        <v>[Unit Name]</v>
      </c>
      <c r="C4" s="547" t="str">
        <f t="shared" ref="C4:P4" si="0">B4</f>
        <v>[Unit Name]</v>
      </c>
      <c r="D4" s="547" t="str">
        <f t="shared" si="0"/>
        <v>[Unit Name]</v>
      </c>
      <c r="E4" s="547" t="str">
        <f t="shared" si="0"/>
        <v>[Unit Name]</v>
      </c>
      <c r="F4" s="547" t="str">
        <f t="shared" si="0"/>
        <v>[Unit Name]</v>
      </c>
      <c r="G4" s="547" t="str">
        <f t="shared" si="0"/>
        <v>[Unit Name]</v>
      </c>
      <c r="H4" s="547" t="str">
        <f t="shared" si="0"/>
        <v>[Unit Name]</v>
      </c>
      <c r="I4" s="547" t="str">
        <f t="shared" si="0"/>
        <v>[Unit Name]</v>
      </c>
      <c r="J4" s="547" t="str">
        <f t="shared" si="0"/>
        <v>[Unit Name]</v>
      </c>
      <c r="K4" s="547" t="str">
        <f t="shared" si="0"/>
        <v>[Unit Name]</v>
      </c>
      <c r="L4" s="547" t="str">
        <f t="shared" si="0"/>
        <v>[Unit Name]</v>
      </c>
      <c r="M4" s="547" t="str">
        <f t="shared" si="0"/>
        <v>[Unit Name]</v>
      </c>
      <c r="N4" s="547" t="str">
        <f t="shared" si="0"/>
        <v>[Unit Name]</v>
      </c>
      <c r="O4" s="547" t="str">
        <f t="shared" si="0"/>
        <v>[Unit Name]</v>
      </c>
      <c r="P4" s="547" t="str">
        <f t="shared" si="0"/>
        <v>[Unit Name]</v>
      </c>
      <c r="Q4" s="541"/>
      <c r="R4" s="589"/>
      <c r="S4" s="590"/>
      <c r="T4" s="591"/>
    </row>
    <row r="5" spans="1:27" x14ac:dyDescent="0.4">
      <c r="A5" s="549" t="str">
        <f>$C5</f>
        <v>[Unit Name]</v>
      </c>
      <c r="B5" s="539" t="s">
        <v>1394</v>
      </c>
      <c r="C5" s="543" t="s">
        <v>1428</v>
      </c>
      <c r="D5" s="318" t="s">
        <v>1441</v>
      </c>
      <c r="L5" s="318" t="str">
        <f>_xlfn.CONCAT(V5:V33, "
")</f>
        <v xml:space="preserve">[Unit Name] - Electrical power supply and controls to 2 Chilled Water FCUs (DOL with Pump) with:Fire Essential, Run-On Timer, Time Clock, Local Switch, Run Status Light, Run &amp; Fault LEDs, Push Button, Small VSD
</v>
      </c>
      <c r="Q5" s="541"/>
      <c r="R5" s="541"/>
      <c r="S5" s="541"/>
      <c r="V5" s="318" t="str">
        <f>_xlfn.CONCAT(C5," - Electrical power supply and controls to ",C8," ",C6,Z5,IF(C8&gt;1,"s",""), IF(C15,_xlfn.CONCAT(" (DOL with ",Z15,")"),""))</f>
        <v>[Unit Name] - Electrical power supply and controls to 2 Chilled Water FCUs (DOL with Pump)</v>
      </c>
      <c r="Z5" s="318" t="str">
        <f>VLOOKUP(C11, Chiller_Pricing!B:H,7,FALSE)</f>
        <v>Chilled Water FCU</v>
      </c>
      <c r="AA5" s="318" t="str">
        <f>IF(D5="Header",IF(C8&gt;0,L5,""),"")</f>
        <v xml:space="preserve">[Unit Name] - Electrical power supply and controls to 2 Chilled Water FCUs (DOL with Pump) with:Fire Essential, Run-On Timer, Time Clock, Local Switch, Run Status Light, Run &amp; Fault LEDs, Push Button, Small VSD
</v>
      </c>
    </row>
    <row r="6" spans="1:27" s="537" customFormat="1" x14ac:dyDescent="0.4">
      <c r="A6" s="549" t="str">
        <f>$C5</f>
        <v>[Unit Name]</v>
      </c>
      <c r="B6" s="539" t="s">
        <v>1399</v>
      </c>
      <c r="C6" s="543"/>
      <c r="E6" s="541"/>
      <c r="F6" s="583" t="s">
        <v>1420</v>
      </c>
      <c r="G6" s="584"/>
      <c r="H6" s="584"/>
      <c r="I6" s="584"/>
      <c r="J6" s="585"/>
      <c r="K6" s="541"/>
      <c r="M6" s="538"/>
      <c r="O6" s="538"/>
      <c r="P6" s="538"/>
      <c r="Q6" s="541"/>
      <c r="R6" s="541"/>
      <c r="S6" s="541"/>
      <c r="T6" s="542"/>
      <c r="U6" s="541"/>
    </row>
    <row r="7" spans="1:27" s="537" customFormat="1" x14ac:dyDescent="0.4">
      <c r="A7" s="549" t="str">
        <f>$C5</f>
        <v>[Unit Name]</v>
      </c>
      <c r="B7" s="539" t="s">
        <v>742</v>
      </c>
      <c r="C7" s="543"/>
      <c r="E7" s="541"/>
      <c r="F7" s="586"/>
      <c r="G7" s="587"/>
      <c r="H7" s="587"/>
      <c r="I7" s="587"/>
      <c r="J7" s="588"/>
      <c r="K7" s="541"/>
      <c r="M7" s="540"/>
      <c r="N7" s="533" t="s">
        <v>716</v>
      </c>
      <c r="O7" s="535" t="s">
        <v>717</v>
      </c>
      <c r="P7" s="536" t="s">
        <v>353</v>
      </c>
      <c r="Q7" s="541">
        <f t="shared" ref="Q7:S22" si="1">IF(N5=N$2,N7,0)</f>
        <v>0</v>
      </c>
      <c r="R7" s="541">
        <f t="shared" si="1"/>
        <v>0</v>
      </c>
      <c r="S7" s="541">
        <f t="shared" si="1"/>
        <v>0</v>
      </c>
      <c r="T7" s="542"/>
      <c r="U7" s="541"/>
    </row>
    <row r="8" spans="1:27" s="537" customFormat="1" x14ac:dyDescent="0.4">
      <c r="A8" s="549" t="str">
        <f>$C5</f>
        <v>[Unit Name]</v>
      </c>
      <c r="B8" s="539" t="s">
        <v>843</v>
      </c>
      <c r="C8" s="420">
        <v>2</v>
      </c>
      <c r="D8" s="539"/>
      <c r="E8" s="541"/>
      <c r="F8" s="541"/>
      <c r="G8" s="541"/>
      <c r="H8" s="541"/>
      <c r="I8" s="541"/>
      <c r="J8" s="541"/>
      <c r="K8" s="541"/>
      <c r="M8" s="538" t="s">
        <v>1394</v>
      </c>
      <c r="N8" s="423">
        <f>SUM(N11:N32)</f>
        <v>11.5</v>
      </c>
      <c r="O8" s="423">
        <f>SUM(O11:O32)</f>
        <v>2496.8200000000006</v>
      </c>
      <c r="P8" s="423">
        <f>SUM(P11:P32)</f>
        <v>3416.82</v>
      </c>
      <c r="Q8" s="541">
        <f t="shared" si="1"/>
        <v>0</v>
      </c>
      <c r="R8" s="541">
        <f t="shared" si="1"/>
        <v>0</v>
      </c>
      <c r="S8" s="541">
        <f t="shared" si="1"/>
        <v>0</v>
      </c>
      <c r="T8" s="542"/>
      <c r="U8" s="541"/>
    </row>
    <row r="9" spans="1:27" s="537" customFormat="1" x14ac:dyDescent="0.4">
      <c r="A9" s="549" t="str">
        <f>$C5</f>
        <v>[Unit Name]</v>
      </c>
      <c r="B9" s="539" t="s">
        <v>929</v>
      </c>
      <c r="C9" s="543"/>
      <c r="D9" s="539"/>
      <c r="E9" s="305" t="s">
        <v>1403</v>
      </c>
      <c r="F9" s="305" t="s">
        <v>1404</v>
      </c>
      <c r="G9" s="305" t="s">
        <v>1405</v>
      </c>
      <c r="H9" s="305" t="s">
        <v>1406</v>
      </c>
      <c r="I9" s="305" t="s">
        <v>1407</v>
      </c>
      <c r="J9" s="305" t="s">
        <v>1408</v>
      </c>
      <c r="K9" s="305" t="s">
        <v>1409</v>
      </c>
      <c r="M9" s="538" t="s">
        <v>893</v>
      </c>
      <c r="N9" s="114">
        <f>N8*$C8</f>
        <v>23</v>
      </c>
      <c r="O9" s="423">
        <f>O8*$C8</f>
        <v>4993.6400000000012</v>
      </c>
      <c r="P9" s="423">
        <f>P8*$C8</f>
        <v>6833.64</v>
      </c>
      <c r="Q9" s="541">
        <f t="shared" si="1"/>
        <v>23</v>
      </c>
      <c r="R9" s="541">
        <f t="shared" si="1"/>
        <v>4993.6400000000012</v>
      </c>
      <c r="S9" s="541">
        <f t="shared" si="1"/>
        <v>6833.64</v>
      </c>
      <c r="T9" s="542"/>
      <c r="U9" s="541"/>
    </row>
    <row r="10" spans="1:27" s="539" customFormat="1" x14ac:dyDescent="0.4">
      <c r="A10" s="549" t="str">
        <f>$C5</f>
        <v>[Unit Name]</v>
      </c>
      <c r="B10" s="539" t="s">
        <v>994</v>
      </c>
      <c r="C10" s="544" t="s">
        <v>1400</v>
      </c>
      <c r="D10" s="539" t="s">
        <v>843</v>
      </c>
      <c r="E10" s="305">
        <f>SUM(E11:E24)</f>
        <v>5</v>
      </c>
      <c r="F10" s="305">
        <f t="shared" ref="F10:K10" si="2">SUM(F11:F24)</f>
        <v>0</v>
      </c>
      <c r="G10" s="305">
        <f t="shared" si="2"/>
        <v>10</v>
      </c>
      <c r="H10" s="305">
        <f t="shared" si="2"/>
        <v>10</v>
      </c>
      <c r="I10" s="305">
        <f t="shared" si="2"/>
        <v>0</v>
      </c>
      <c r="J10" s="305">
        <f t="shared" si="2"/>
        <v>0</v>
      </c>
      <c r="K10" s="305">
        <f t="shared" si="2"/>
        <v>0</v>
      </c>
      <c r="L10" s="539" t="s">
        <v>1395</v>
      </c>
      <c r="M10" s="540" t="s">
        <v>1396</v>
      </c>
      <c r="N10" s="539" t="s">
        <v>996</v>
      </c>
      <c r="O10" s="540" t="s">
        <v>995</v>
      </c>
      <c r="P10" s="540" t="s">
        <v>1397</v>
      </c>
      <c r="Q10" s="541">
        <f t="shared" si="1"/>
        <v>0</v>
      </c>
      <c r="R10" s="541">
        <f t="shared" si="1"/>
        <v>0</v>
      </c>
      <c r="S10" s="541">
        <f t="shared" si="1"/>
        <v>0</v>
      </c>
      <c r="T10" s="542"/>
      <c r="U10" s="541"/>
    </row>
    <row r="11" spans="1:27" x14ac:dyDescent="0.4">
      <c r="A11" s="549" t="str">
        <f>$C5</f>
        <v>[Unit Name]</v>
      </c>
      <c r="B11" s="318" t="s">
        <v>1032</v>
      </c>
      <c r="C11" s="543" t="s">
        <v>1299</v>
      </c>
      <c r="D11" s="318">
        <v>1</v>
      </c>
      <c r="E11" s="542">
        <f>IFERROR($D11*VLOOKUP($C11,Chiller_Backend!$A$20:$H$26,2,FALSE),0)</f>
        <v>0</v>
      </c>
      <c r="F11" s="542">
        <f>IFERROR($D11*VLOOKUP($C11,Chiller_Backend!$A$20:$H$26,3,FALSE),0)</f>
        <v>0</v>
      </c>
      <c r="G11" s="542">
        <f>IFERROR($D11*VLOOKUP($C11,Chiller_Backend!$A$20:$H$26,4,FALSE),0)</f>
        <v>0</v>
      </c>
      <c r="H11" s="542">
        <f>IFERROR($D11*VLOOKUP($C11,Chiller_Backend!$A$20:$H$26,5,FALSE),0)</f>
        <v>10</v>
      </c>
      <c r="I11" s="542">
        <f>IFERROR($D11*VLOOKUP($C11,Chiller_Backend!$A$20:$H$26,6,FALSE),0)</f>
        <v>0</v>
      </c>
      <c r="J11" s="542">
        <f>IFERROR($D11*VLOOKUP($C11,Chiller_Backend!$A$20:$H$26,7,FALSE),0)</f>
        <v>0</v>
      </c>
      <c r="K11" s="542">
        <f>IFERROR($D11*VLOOKUP($C11,Chiller_Backend!$A$20:$H$26,8,FALSE),0)</f>
        <v>0</v>
      </c>
      <c r="L11" s="318">
        <f>IFERROR(VLOOKUP(C11,Chiller_Pricing!B:E,3,FALSE),0)</f>
        <v>1</v>
      </c>
      <c r="M11" s="534">
        <f>IFERROR(VLOOKUP(C11,Chiller_Pricing!B:E,4,FALSE),0)</f>
        <v>726.90000000000009</v>
      </c>
      <c r="N11" s="318">
        <f>D11*L11</f>
        <v>1</v>
      </c>
      <c r="O11" s="534">
        <f>M11*D11</f>
        <v>726.90000000000009</v>
      </c>
      <c r="P11" s="534">
        <f>N11*Takeoff_Backend!$B$1+O11</f>
        <v>806.90000000000009</v>
      </c>
      <c r="Q11" s="541">
        <f t="shared" si="1"/>
        <v>0</v>
      </c>
      <c r="R11" s="541">
        <f t="shared" si="1"/>
        <v>0</v>
      </c>
      <c r="S11" s="541">
        <f t="shared" si="1"/>
        <v>0</v>
      </c>
      <c r="U11" s="542">
        <f>D11*C8</f>
        <v>2</v>
      </c>
    </row>
    <row r="12" spans="1:27" x14ac:dyDescent="0.4">
      <c r="A12" s="549" t="str">
        <f>$C5</f>
        <v>[Unit Name]</v>
      </c>
      <c r="B12" s="318" t="s">
        <v>676</v>
      </c>
      <c r="C12" s="543" t="b">
        <v>1</v>
      </c>
      <c r="D12" s="318">
        <v>1</v>
      </c>
      <c r="E12" s="542">
        <f>IF($C12="MSSB",20,5)*$D12*(IF(ISBLANK(C12),0,1))</f>
        <v>5</v>
      </c>
      <c r="L12" s="318">
        <f>IFERROR(VLOOKUP(C12,Chiller_Pricing!B:E,3,FALSE),0)</f>
        <v>0</v>
      </c>
      <c r="M12" s="534">
        <f>IFERROR(VLOOKUP(C12,Chiller_Pricing!B:E,4,FALSE),0)</f>
        <v>0</v>
      </c>
      <c r="N12" s="318">
        <f>D12*L12</f>
        <v>0</v>
      </c>
      <c r="O12" s="534">
        <f>M12*D12</f>
        <v>0</v>
      </c>
      <c r="P12" s="534">
        <f>N12*Takeoff_Backend!$B$1+O12</f>
        <v>0</v>
      </c>
      <c r="Q12" s="541">
        <f t="shared" si="1"/>
        <v>0</v>
      </c>
      <c r="R12" s="541">
        <f t="shared" si="1"/>
        <v>0</v>
      </c>
      <c r="S12" s="541">
        <f t="shared" si="1"/>
        <v>0</v>
      </c>
      <c r="U12" s="542">
        <f>D12*C8</f>
        <v>2</v>
      </c>
      <c r="V12" s="543" t="str">
        <f>_xlfn.CONCAT(Z12,IF(SUM(D13:D24)&gt;0," with:",""))</f>
        <v xml:space="preserve"> with:</v>
      </c>
      <c r="Z12" s="543" t="str">
        <f>IFERROR(_xlfn.CONCAT(" from ",VLOOKUP(C12,Chiller_Pricing!B:H,7,FALSE)),"")</f>
        <v/>
      </c>
    </row>
    <row r="13" spans="1:27" x14ac:dyDescent="0.4">
      <c r="A13" s="549" t="str">
        <f>$C5</f>
        <v>[Unit Name]</v>
      </c>
      <c r="B13" s="318" t="s">
        <v>1294</v>
      </c>
      <c r="C13" s="543" t="b">
        <v>1</v>
      </c>
      <c r="D13" s="318">
        <v>1</v>
      </c>
      <c r="M13" s="318"/>
      <c r="Q13" s="541">
        <f t="shared" si="1"/>
        <v>0</v>
      </c>
      <c r="R13" s="541">
        <f t="shared" si="1"/>
        <v>0</v>
      </c>
      <c r="S13" s="541">
        <f t="shared" si="1"/>
        <v>0</v>
      </c>
      <c r="U13" s="542">
        <f>D13*C8</f>
        <v>2</v>
      </c>
      <c r="V13" s="543"/>
    </row>
    <row r="14" spans="1:27" x14ac:dyDescent="0.4">
      <c r="A14" s="549" t="str">
        <f>$C5</f>
        <v>[Unit Name]</v>
      </c>
      <c r="B14" s="318" t="s">
        <v>1296</v>
      </c>
      <c r="C14" s="543" t="b">
        <v>1</v>
      </c>
      <c r="D14" s="446">
        <v>1</v>
      </c>
      <c r="L14" s="318">
        <f>IF(C14,VLOOKUP(B14,Chiller_Pricing!B:E,IF(L$10="t [U]",3,4),FALSE),0)</f>
        <v>1</v>
      </c>
      <c r="M14" s="318">
        <f>IF(C14,VLOOKUP(B14,Chiller_Pricing!B:E,IF(M$10="t [U]",3,4),FALSE),0)</f>
        <v>276</v>
      </c>
      <c r="N14" s="318">
        <f t="shared" ref="N14:N22" si="3">D14*L14</f>
        <v>1</v>
      </c>
      <c r="O14" s="534">
        <f t="shared" ref="O14:O22" si="4">M14*D14</f>
        <v>276</v>
      </c>
      <c r="P14" s="534">
        <f>N14*Takeoff_Backend!$B$1+O14</f>
        <v>356</v>
      </c>
      <c r="Q14" s="541">
        <f t="shared" si="1"/>
        <v>0</v>
      </c>
      <c r="R14" s="541">
        <f t="shared" si="1"/>
        <v>0</v>
      </c>
      <c r="S14" s="541">
        <f t="shared" si="1"/>
        <v>0</v>
      </c>
      <c r="U14" s="542">
        <f>D14*C8</f>
        <v>2</v>
      </c>
      <c r="V14" s="543" t="str">
        <f>IF(C14,Z14,"")</f>
        <v>Fire Essential</v>
      </c>
      <c r="Z14" s="318" t="str">
        <f>VLOOKUP(B14, Chiller_Pricing!B:H,7,FALSE)</f>
        <v>Fire Essential</v>
      </c>
    </row>
    <row r="15" spans="1:27" x14ac:dyDescent="0.4">
      <c r="A15" s="549" t="str">
        <f>$C5</f>
        <v>[Unit Name]</v>
      </c>
      <c r="B15" s="318" t="s">
        <v>1301</v>
      </c>
      <c r="C15" s="543" t="b">
        <v>1</v>
      </c>
      <c r="D15" s="446">
        <v>1</v>
      </c>
      <c r="L15" s="318">
        <f>IF(C15,VLOOKUP(B15,Chiller_Pricing!B:E,IF(L$10="t [U]",3,4),FALSE),0)</f>
        <v>1</v>
      </c>
      <c r="M15" s="318">
        <f>IF(C15,VLOOKUP(B15,Chiller_Pricing!B:E,IF(M$10="t [U]",3,4),FALSE),0)</f>
        <v>584.44000000000005</v>
      </c>
      <c r="N15" s="318">
        <f t="shared" si="3"/>
        <v>1</v>
      </c>
      <c r="O15" s="534">
        <f t="shared" si="4"/>
        <v>584.44000000000005</v>
      </c>
      <c r="P15" s="534">
        <f>N15*Takeoff_Backend!$B$1+O15</f>
        <v>664.44</v>
      </c>
      <c r="Q15" s="541">
        <f t="shared" si="1"/>
        <v>0</v>
      </c>
      <c r="R15" s="541">
        <f t="shared" si="1"/>
        <v>0</v>
      </c>
      <c r="S15" s="541">
        <f t="shared" si="1"/>
        <v>0</v>
      </c>
      <c r="U15" s="542">
        <f>D15*C8</f>
        <v>2</v>
      </c>
      <c r="V15" s="543"/>
      <c r="Z15" s="318" t="str">
        <f>VLOOKUP(B15, Chiller_Pricing!B:H,7,FALSE)</f>
        <v>Pump</v>
      </c>
    </row>
    <row r="16" spans="1:27" x14ac:dyDescent="0.4">
      <c r="A16" s="549" t="str">
        <f>$C5</f>
        <v>[Unit Name]</v>
      </c>
      <c r="B16" s="318" t="s">
        <v>1297</v>
      </c>
      <c r="C16" s="543" t="b">
        <v>1</v>
      </c>
      <c r="D16" s="446">
        <v>1</v>
      </c>
      <c r="M16" s="318"/>
      <c r="Q16" s="541">
        <f t="shared" si="1"/>
        <v>0</v>
      </c>
      <c r="R16" s="541">
        <f t="shared" si="1"/>
        <v>0</v>
      </c>
      <c r="S16" s="541">
        <f t="shared" si="1"/>
        <v>0</v>
      </c>
      <c r="U16" s="542">
        <f>D16*C8</f>
        <v>2</v>
      </c>
      <c r="V16" s="543"/>
    </row>
    <row r="17" spans="1:26" x14ac:dyDescent="0.4">
      <c r="A17" s="549" t="str">
        <f>$C5</f>
        <v>[Unit Name]</v>
      </c>
      <c r="B17" s="318" t="s">
        <v>1417</v>
      </c>
      <c r="C17" s="543" t="b">
        <v>1</v>
      </c>
      <c r="D17" s="446">
        <v>1</v>
      </c>
      <c r="L17" s="318">
        <f>IF(C17,VLOOKUP(B17,Chiller_Pricing!B:E,IF(L$10="t [U]",3,4),FALSE),0)</f>
        <v>1</v>
      </c>
      <c r="M17" s="318">
        <f>IF(C17,VLOOKUP(B17,Chiller_Pricing!B:E,IF(M$10="t [U]",3,4),FALSE),0)</f>
        <v>60</v>
      </c>
      <c r="N17" s="318">
        <f t="shared" si="3"/>
        <v>1</v>
      </c>
      <c r="O17" s="534">
        <f t="shared" si="4"/>
        <v>60</v>
      </c>
      <c r="P17" s="534">
        <f>N17*Takeoff_Backend!$B$1+O17</f>
        <v>140</v>
      </c>
      <c r="Q17" s="541">
        <f t="shared" si="1"/>
        <v>0</v>
      </c>
      <c r="R17" s="541">
        <f t="shared" si="1"/>
        <v>0</v>
      </c>
      <c r="S17" s="541">
        <f t="shared" si="1"/>
        <v>0</v>
      </c>
      <c r="U17" s="542">
        <f>D17*C8</f>
        <v>2</v>
      </c>
      <c r="V17" s="543" t="str">
        <f t="shared" ref="V17:V22" si="5">IF(C17,Z17,"")</f>
        <v>, Run-On Timer</v>
      </c>
      <c r="Z17" s="318" t="str">
        <f>VLOOKUP(B17, Chiller_Pricing!B:H,7,FALSE)</f>
        <v>, Run-On Timer</v>
      </c>
    </row>
    <row r="18" spans="1:26" x14ac:dyDescent="0.4">
      <c r="A18" s="549" t="str">
        <f>$C5</f>
        <v>[Unit Name]</v>
      </c>
      <c r="B18" s="318" t="s">
        <v>1416</v>
      </c>
      <c r="C18" s="543" t="b">
        <v>1</v>
      </c>
      <c r="D18" s="446">
        <v>1</v>
      </c>
      <c r="L18" s="318">
        <f>IF(C18,VLOOKUP(B18,Chiller_Pricing!B:E,IF(L$10="t [U]",3,4),FALSE),0)</f>
        <v>2</v>
      </c>
      <c r="M18" s="318">
        <f>IF(C18,VLOOKUP(B18,Chiller_Pricing!B:E,IF(M$10="t [U]",3,4),FALSE),0)</f>
        <v>80</v>
      </c>
      <c r="N18" s="318">
        <f t="shared" si="3"/>
        <v>2</v>
      </c>
      <c r="O18" s="534">
        <f t="shared" si="4"/>
        <v>80</v>
      </c>
      <c r="P18" s="534">
        <f>N18*Takeoff_Backend!$B$1+O18</f>
        <v>240</v>
      </c>
      <c r="Q18" s="541">
        <f t="shared" si="1"/>
        <v>0</v>
      </c>
      <c r="R18" s="541">
        <f t="shared" si="1"/>
        <v>0</v>
      </c>
      <c r="S18" s="541">
        <f t="shared" si="1"/>
        <v>0</v>
      </c>
      <c r="U18" s="542">
        <f>D18*C8</f>
        <v>2</v>
      </c>
      <c r="V18" s="543" t="str">
        <f t="shared" si="5"/>
        <v>, Time Clock</v>
      </c>
      <c r="Z18" s="318" t="str">
        <f>VLOOKUP(B18, Chiller_Pricing!B:H,7,FALSE)</f>
        <v>, Time Clock</v>
      </c>
    </row>
    <row r="19" spans="1:26" x14ac:dyDescent="0.4">
      <c r="A19" s="549" t="str">
        <f>$C5</f>
        <v>[Unit Name]</v>
      </c>
      <c r="B19" s="318" t="s">
        <v>1415</v>
      </c>
      <c r="C19" s="543" t="b">
        <v>1</v>
      </c>
      <c r="D19" s="446">
        <v>1</v>
      </c>
      <c r="L19" s="318">
        <f>IF(C19,VLOOKUP(B19,Chiller_Pricing!B:E,IF(L$10="t [U]",3,4),FALSE),0)</f>
        <v>1</v>
      </c>
      <c r="M19" s="318">
        <f>IF(C19,VLOOKUP(B19,Chiller_Pricing!B:E,IF(M$10="t [U]",3,4),FALSE),0)</f>
        <v>57.95</v>
      </c>
      <c r="N19" s="318">
        <f t="shared" si="3"/>
        <v>1</v>
      </c>
      <c r="O19" s="534">
        <f t="shared" si="4"/>
        <v>57.95</v>
      </c>
      <c r="P19" s="534">
        <f>N19*Takeoff_Backend!$B$1+O19</f>
        <v>137.94999999999999</v>
      </c>
      <c r="Q19" s="541">
        <f t="shared" si="1"/>
        <v>0</v>
      </c>
      <c r="R19" s="541">
        <f t="shared" si="1"/>
        <v>0</v>
      </c>
      <c r="S19" s="541">
        <f t="shared" si="1"/>
        <v>0</v>
      </c>
      <c r="U19" s="542">
        <f>D19*C8</f>
        <v>2</v>
      </c>
      <c r="V19" s="543" t="str">
        <f t="shared" si="5"/>
        <v>, Local Switch</v>
      </c>
      <c r="Z19" s="318" t="str">
        <f>VLOOKUP(B19, Chiller_Pricing!B:H,7,FALSE)</f>
        <v>, Local Switch</v>
      </c>
    </row>
    <row r="20" spans="1:26" x14ac:dyDescent="0.4">
      <c r="A20" s="549" t="str">
        <f>$C5</f>
        <v>[Unit Name]</v>
      </c>
      <c r="B20" s="318" t="s">
        <v>1414</v>
      </c>
      <c r="C20" s="543" t="b">
        <v>1</v>
      </c>
      <c r="D20" s="446">
        <v>1</v>
      </c>
      <c r="G20" s="542">
        <f t="shared" ref="G20:G21" si="6">IF($C20,5,0)*$D20</f>
        <v>5</v>
      </c>
      <c r="L20" s="318">
        <f>IF(C20,VLOOKUP(B20,Chiller_Pricing!B:E,IF(L$10="t [U]",3,4),FALSE),0)</f>
        <v>0</v>
      </c>
      <c r="M20" s="318">
        <f>IF(C20,VLOOKUP(B20,Chiller_Pricing!B:E,IF(M$10="t [U]",3,4),FALSE),0)</f>
        <v>23.4</v>
      </c>
      <c r="N20" s="318">
        <f t="shared" si="3"/>
        <v>0</v>
      </c>
      <c r="O20" s="534">
        <f t="shared" si="4"/>
        <v>23.4</v>
      </c>
      <c r="P20" s="534">
        <f>N20*Takeoff_Backend!$B$1+O20</f>
        <v>23.4</v>
      </c>
      <c r="Q20" s="541">
        <f t="shared" si="1"/>
        <v>0</v>
      </c>
      <c r="R20" s="541">
        <f t="shared" si="1"/>
        <v>0</v>
      </c>
      <c r="S20" s="541">
        <f t="shared" si="1"/>
        <v>0</v>
      </c>
      <c r="U20" s="542">
        <f>D20*C8</f>
        <v>2</v>
      </c>
      <c r="V20" s="543" t="str">
        <f t="shared" si="5"/>
        <v>, Run Status Light</v>
      </c>
      <c r="Z20" s="318" t="str">
        <f>VLOOKUP(B20, Chiller_Pricing!B:H,7,FALSE)</f>
        <v>, Run Status Light</v>
      </c>
    </row>
    <row r="21" spans="1:26" x14ac:dyDescent="0.4">
      <c r="A21" s="549" t="str">
        <f>$C5</f>
        <v>[Unit Name]</v>
      </c>
      <c r="B21" s="318" t="s">
        <v>1412</v>
      </c>
      <c r="C21" s="543" t="b">
        <v>1</v>
      </c>
      <c r="D21" s="446">
        <v>1</v>
      </c>
      <c r="G21" s="542">
        <f t="shared" si="6"/>
        <v>5</v>
      </c>
      <c r="L21" s="318">
        <f>IF(C21,VLOOKUP(B21,Chiller_Pricing!B:E,IF(L$10="t [U]",3,4),FALSE),0)</f>
        <v>0</v>
      </c>
      <c r="M21" s="318">
        <f>IF(C21,VLOOKUP(B21,Chiller_Pricing!B:E,IF(M$10="t [U]",3,4),FALSE),0)</f>
        <v>39.4</v>
      </c>
      <c r="N21" s="318">
        <f t="shared" si="3"/>
        <v>0</v>
      </c>
      <c r="O21" s="534">
        <f t="shared" si="4"/>
        <v>39.4</v>
      </c>
      <c r="P21" s="534">
        <f>N21*Takeoff_Backend!$B$1+O21</f>
        <v>39.4</v>
      </c>
      <c r="Q21" s="541">
        <f t="shared" si="1"/>
        <v>0</v>
      </c>
      <c r="R21" s="541">
        <f t="shared" si="1"/>
        <v>0</v>
      </c>
      <c r="S21" s="541">
        <f t="shared" si="1"/>
        <v>0</v>
      </c>
      <c r="U21" s="542">
        <f>D21*C8</f>
        <v>2</v>
      </c>
      <c r="V21" s="543" t="str">
        <f t="shared" si="5"/>
        <v>, Run &amp; Fault LEDs</v>
      </c>
      <c r="Z21" s="318" t="str">
        <f>VLOOKUP(B21, Chiller_Pricing!B:H,7,FALSE)</f>
        <v>, Run &amp; Fault LEDs</v>
      </c>
    </row>
    <row r="22" spans="1:26" x14ac:dyDescent="0.4">
      <c r="A22" s="549" t="str">
        <f>$C5</f>
        <v>[Unit Name]</v>
      </c>
      <c r="B22" s="114" t="s">
        <v>1432</v>
      </c>
      <c r="C22" s="543" t="b">
        <v>1</v>
      </c>
      <c r="D22" s="446">
        <v>1</v>
      </c>
      <c r="L22" s="318">
        <f>IF(C22,VLOOKUP(B22,Chiller_Pricing!B:E,IF(L$10="t [U]",3,4),FALSE),0)</f>
        <v>0</v>
      </c>
      <c r="M22" s="318">
        <f>IF(C22,VLOOKUP(B22,Chiller_Pricing!B:E,IF(M$10="t [U]",3,4),FALSE),0)</f>
        <v>11.46</v>
      </c>
      <c r="N22" s="318">
        <f t="shared" si="3"/>
        <v>0</v>
      </c>
      <c r="O22" s="534">
        <f t="shared" si="4"/>
        <v>11.46</v>
      </c>
      <c r="P22" s="534">
        <f>N22*Takeoff_Backend!$B$1+O22</f>
        <v>11.46</v>
      </c>
      <c r="Q22" s="541">
        <f t="shared" si="1"/>
        <v>0</v>
      </c>
      <c r="R22" s="541">
        <f t="shared" si="1"/>
        <v>0</v>
      </c>
      <c r="S22" s="541">
        <f t="shared" si="1"/>
        <v>0</v>
      </c>
      <c r="U22" s="542">
        <f>D22*C8</f>
        <v>2</v>
      </c>
      <c r="V22" s="543" t="str">
        <f t="shared" si="5"/>
        <v>, Push Button</v>
      </c>
      <c r="Z22" s="318" t="str">
        <f>VLOOKUP(B22, Chiller_Pricing!B:H,7,FALSE)</f>
        <v>, Push Button</v>
      </c>
    </row>
    <row r="23" spans="1:26" x14ac:dyDescent="0.4">
      <c r="A23" s="549" t="str">
        <f>$C5</f>
        <v>[Unit Name]</v>
      </c>
      <c r="B23" s="114" t="s">
        <v>1478</v>
      </c>
      <c r="C23" s="543" t="s">
        <v>1434</v>
      </c>
      <c r="D23" s="446">
        <v>1</v>
      </c>
      <c r="L23" s="318">
        <f>IFERROR(VLOOKUP(C23,Chiller_Pricing!B:E,3,FALSE),0)</f>
        <v>2</v>
      </c>
      <c r="M23" s="534">
        <f>IFERROR(VLOOKUP(C23,Chiller_Pricing!B:E,4,FALSE),0)</f>
        <v>587.66000000000008</v>
      </c>
      <c r="N23" s="318">
        <f t="shared" ref="N23" si="7">D23*L23</f>
        <v>2</v>
      </c>
      <c r="O23" s="534">
        <f t="shared" ref="O23" si="8">M23*D23</f>
        <v>587.66000000000008</v>
      </c>
      <c r="P23" s="534">
        <f>N23*Takeoff_Backend!$B$1+O23</f>
        <v>747.66000000000008</v>
      </c>
      <c r="Q23" s="541">
        <f t="shared" ref="Q23:S31" si="9">IF(N21=N$2,N23,0)</f>
        <v>0</v>
      </c>
      <c r="R23" s="541">
        <f t="shared" si="9"/>
        <v>0</v>
      </c>
      <c r="S23" s="541">
        <f t="shared" si="9"/>
        <v>0</v>
      </c>
      <c r="U23" s="542">
        <f>D23*C8</f>
        <v>2</v>
      </c>
      <c r="V23" s="543" t="str">
        <f>IF(D23 &gt; 0,Z23,"")</f>
        <v>, Small VSD</v>
      </c>
      <c r="Z23" s="318" t="str">
        <f>IFERROR(VLOOKUP(C23, Chiller_Pricing!B:H,7,FALSE), "")</f>
        <v>, Small VSD</v>
      </c>
    </row>
    <row r="24" spans="1:26" x14ac:dyDescent="0.4">
      <c r="A24" s="549" t="str">
        <f>$C5</f>
        <v>[Unit Name]</v>
      </c>
      <c r="B24" s="532" t="s">
        <v>1018</v>
      </c>
      <c r="D24" s="446"/>
      <c r="Q24" s="541">
        <f t="shared" si="9"/>
        <v>0</v>
      </c>
      <c r="R24" s="541">
        <f t="shared" si="9"/>
        <v>0</v>
      </c>
      <c r="S24" s="541">
        <f t="shared" si="9"/>
        <v>0</v>
      </c>
      <c r="U24" s="542">
        <f>D24*C8</f>
        <v>0</v>
      </c>
    </row>
    <row r="25" spans="1:26" x14ac:dyDescent="0.4">
      <c r="A25" s="549" t="str">
        <f>$C5</f>
        <v>[Unit Name]</v>
      </c>
      <c r="B25" s="318" t="s">
        <v>1403</v>
      </c>
      <c r="D25" s="318">
        <f>HLOOKUP($B25,$E9:$K10,2,FALSE)</f>
        <v>5</v>
      </c>
      <c r="L25" s="318">
        <f>VLOOKUP(B25,Chiller_Pricing!B:E,3,FALSE)</f>
        <v>0.1</v>
      </c>
      <c r="M25" s="534">
        <f>VLOOKUP(B25,Chiller_Pricing!B:E,4,FALSE)</f>
        <v>0.85</v>
      </c>
      <c r="N25" s="318">
        <f>D25*L25</f>
        <v>0.5</v>
      </c>
      <c r="O25" s="534">
        <f>M25*D25</f>
        <v>4.25</v>
      </c>
      <c r="P25" s="534">
        <f>N25*Takeoff_Backend!$B$1+O25</f>
        <v>44.25</v>
      </c>
      <c r="Q25" s="541">
        <f t="shared" si="9"/>
        <v>0</v>
      </c>
      <c r="R25" s="541">
        <f t="shared" si="9"/>
        <v>0</v>
      </c>
      <c r="S25" s="541">
        <f t="shared" si="9"/>
        <v>0</v>
      </c>
      <c r="U25" s="542">
        <f>D25*C8</f>
        <v>10</v>
      </c>
    </row>
    <row r="26" spans="1:26" x14ac:dyDescent="0.4">
      <c r="A26" s="549" t="str">
        <f>$C5</f>
        <v>[Unit Name]</v>
      </c>
      <c r="B26" s="318" t="s">
        <v>1404</v>
      </c>
      <c r="D26" s="318">
        <f>HLOOKUP($B26,$E9:$K10,2,FALSE)</f>
        <v>0</v>
      </c>
      <c r="L26" s="318">
        <f>VLOOKUP(B26,Chiller_Pricing!B:E,3,FALSE)</f>
        <v>0.1</v>
      </c>
      <c r="M26" s="534">
        <f>VLOOKUP(B26,Chiller_Pricing!B:E,4,FALSE)</f>
        <v>0.28000000000000003</v>
      </c>
      <c r="N26" s="318">
        <f t="shared" ref="N26:N31" si="10">D26*L26</f>
        <v>0</v>
      </c>
      <c r="O26" s="534">
        <f t="shared" ref="O26:O31" si="11">M26*D26</f>
        <v>0</v>
      </c>
      <c r="P26" s="534">
        <f>N26*Takeoff_Backend!$B$1+O26</f>
        <v>0</v>
      </c>
      <c r="Q26" s="541">
        <f t="shared" si="9"/>
        <v>0</v>
      </c>
      <c r="R26" s="541">
        <f t="shared" si="9"/>
        <v>0</v>
      </c>
      <c r="S26" s="541">
        <f t="shared" si="9"/>
        <v>0</v>
      </c>
      <c r="U26" s="542">
        <f>D26*C8</f>
        <v>0</v>
      </c>
    </row>
    <row r="27" spans="1:26" x14ac:dyDescent="0.4">
      <c r="A27" s="549" t="str">
        <f>$C5</f>
        <v>[Unit Name]</v>
      </c>
      <c r="B27" s="318" t="s">
        <v>1405</v>
      </c>
      <c r="D27" s="318">
        <f>HLOOKUP($B27,$E9:$K10,2,FALSE)</f>
        <v>10</v>
      </c>
      <c r="L27" s="318">
        <f>VLOOKUP(B27,Chiller_Pricing!B:E,3,FALSE)</f>
        <v>0.1</v>
      </c>
      <c r="M27" s="534">
        <f>VLOOKUP(B27,Chiller_Pricing!B:E,4,FALSE)</f>
        <v>1.056</v>
      </c>
      <c r="N27" s="318">
        <f t="shared" si="10"/>
        <v>1</v>
      </c>
      <c r="O27" s="534">
        <f t="shared" si="11"/>
        <v>10.56</v>
      </c>
      <c r="P27" s="534">
        <f>N27*Takeoff_Backend!$B$1+O27</f>
        <v>90.56</v>
      </c>
      <c r="Q27" s="541">
        <f t="shared" si="9"/>
        <v>0</v>
      </c>
      <c r="R27" s="541">
        <f t="shared" si="9"/>
        <v>0</v>
      </c>
      <c r="S27" s="541">
        <f t="shared" si="9"/>
        <v>0</v>
      </c>
      <c r="U27" s="542">
        <f>D27*C8</f>
        <v>20</v>
      </c>
    </row>
    <row r="28" spans="1:26" x14ac:dyDescent="0.4">
      <c r="A28" s="549" t="str">
        <f>$C5</f>
        <v>[Unit Name]</v>
      </c>
      <c r="B28" s="318" t="s">
        <v>1406</v>
      </c>
      <c r="D28" s="318">
        <f>HLOOKUP($B28,$E9:$K10,2,FALSE)</f>
        <v>10</v>
      </c>
      <c r="L28" s="318">
        <f>VLOOKUP(B28,Chiller_Pricing!B:E,3,FALSE)</f>
        <v>0.1</v>
      </c>
      <c r="M28" s="534">
        <f>VLOOKUP(B28,Chiller_Pricing!B:E,4,FALSE)</f>
        <v>3.48</v>
      </c>
      <c r="N28" s="318">
        <f t="shared" si="10"/>
        <v>1</v>
      </c>
      <c r="O28" s="534">
        <f t="shared" si="11"/>
        <v>34.799999999999997</v>
      </c>
      <c r="P28" s="534">
        <f>N28*Takeoff_Backend!$B$1+O28</f>
        <v>114.8</v>
      </c>
      <c r="Q28" s="541">
        <f t="shared" si="9"/>
        <v>0</v>
      </c>
      <c r="R28" s="541">
        <f t="shared" si="9"/>
        <v>0</v>
      </c>
      <c r="S28" s="541">
        <f t="shared" si="9"/>
        <v>0</v>
      </c>
      <c r="U28" s="542">
        <f>D28*C8</f>
        <v>20</v>
      </c>
    </row>
    <row r="29" spans="1:26" x14ac:dyDescent="0.4">
      <c r="A29" s="549" t="str">
        <f>$C5</f>
        <v>[Unit Name]</v>
      </c>
      <c r="B29" s="318" t="s">
        <v>1407</v>
      </c>
      <c r="D29" s="318">
        <f>HLOOKUP($B29,$E9:$K10,2,FALSE)</f>
        <v>0</v>
      </c>
      <c r="L29" s="318">
        <f>VLOOKUP(B29,Chiller_Pricing!B:E,3,FALSE)</f>
        <v>0.1</v>
      </c>
      <c r="M29" s="534">
        <f>VLOOKUP(B29,Chiller_Pricing!B:E,4,FALSE)</f>
        <v>4.5599999999999996</v>
      </c>
      <c r="N29" s="318">
        <f t="shared" si="10"/>
        <v>0</v>
      </c>
      <c r="O29" s="534">
        <f t="shared" si="11"/>
        <v>0</v>
      </c>
      <c r="P29" s="534">
        <f>N29*Takeoff_Backend!$B$1+O29</f>
        <v>0</v>
      </c>
      <c r="Q29" s="541">
        <f t="shared" si="9"/>
        <v>0</v>
      </c>
      <c r="R29" s="541">
        <f t="shared" si="9"/>
        <v>0</v>
      </c>
      <c r="S29" s="541">
        <f t="shared" si="9"/>
        <v>0</v>
      </c>
      <c r="U29" s="542">
        <f>D29*C8</f>
        <v>0</v>
      </c>
    </row>
    <row r="30" spans="1:26" x14ac:dyDescent="0.4">
      <c r="A30" s="549" t="str">
        <f>$C5</f>
        <v>[Unit Name]</v>
      </c>
      <c r="B30" s="318" t="s">
        <v>1408</v>
      </c>
      <c r="D30" s="318">
        <f>HLOOKUP($B30,$E9:$K10,2,FALSE)</f>
        <v>0</v>
      </c>
      <c r="L30" s="318">
        <f>VLOOKUP(B30,Chiller_Pricing!B:E,3,FALSE)</f>
        <v>0.1</v>
      </c>
      <c r="M30" s="534">
        <f>VLOOKUP(B30,Chiller_Pricing!B:E,4,FALSE)</f>
        <v>2.4</v>
      </c>
      <c r="N30" s="318">
        <f t="shared" si="10"/>
        <v>0</v>
      </c>
      <c r="O30" s="534">
        <f t="shared" si="11"/>
        <v>0</v>
      </c>
      <c r="P30" s="534">
        <f>N30*Takeoff_Backend!$B$1+O30</f>
        <v>0</v>
      </c>
      <c r="Q30" s="541">
        <f t="shared" si="9"/>
        <v>0</v>
      </c>
      <c r="R30" s="541">
        <f t="shared" si="9"/>
        <v>0</v>
      </c>
      <c r="S30" s="541">
        <f t="shared" si="9"/>
        <v>0</v>
      </c>
      <c r="U30" s="542">
        <f>D30*C8</f>
        <v>0</v>
      </c>
    </row>
    <row r="31" spans="1:26" x14ac:dyDescent="0.4">
      <c r="A31" s="549" t="str">
        <f>$C5</f>
        <v>[Unit Name]</v>
      </c>
      <c r="B31" s="318" t="s">
        <v>1409</v>
      </c>
      <c r="D31" s="318">
        <f>HLOOKUP($B31,$E9:$K10,2,FALSE)</f>
        <v>0</v>
      </c>
      <c r="L31" s="318">
        <f>VLOOKUP(B31,Chiller_Pricing!B:E,3,FALSE)</f>
        <v>0.1</v>
      </c>
      <c r="M31" s="534">
        <f>VLOOKUP(B31,Chiller_Pricing!B:E,4,FALSE)</f>
        <v>5.8</v>
      </c>
      <c r="N31" s="318">
        <f t="shared" si="10"/>
        <v>0</v>
      </c>
      <c r="O31" s="534">
        <f t="shared" si="11"/>
        <v>0</v>
      </c>
      <c r="P31" s="534">
        <f>N31*Takeoff_Backend!$B$1+O31</f>
        <v>0</v>
      </c>
      <c r="Q31" s="541">
        <f t="shared" si="9"/>
        <v>0</v>
      </c>
      <c r="R31" s="541">
        <f t="shared" si="9"/>
        <v>0</v>
      </c>
      <c r="S31" s="541">
        <f t="shared" si="9"/>
        <v>0</v>
      </c>
      <c r="U31" s="542">
        <f>D31*C8</f>
        <v>0</v>
      </c>
    </row>
    <row r="32" spans="1:26" s="542" customFormat="1" x14ac:dyDescent="0.4">
      <c r="A32" s="549" t="str">
        <f>$C5</f>
        <v>[Unit Name]</v>
      </c>
      <c r="B32" s="547" t="str">
        <f>A32</f>
        <v>[Unit Name]</v>
      </c>
      <c r="C32" s="547" t="str">
        <f t="shared" ref="C32:P32" si="12">B32</f>
        <v>[Unit Name]</v>
      </c>
      <c r="D32" s="547" t="str">
        <f t="shared" si="12"/>
        <v>[Unit Name]</v>
      </c>
      <c r="E32" s="547" t="str">
        <f t="shared" si="12"/>
        <v>[Unit Name]</v>
      </c>
      <c r="F32" s="547" t="str">
        <f t="shared" si="12"/>
        <v>[Unit Name]</v>
      </c>
      <c r="G32" s="547" t="str">
        <f t="shared" si="12"/>
        <v>[Unit Name]</v>
      </c>
      <c r="H32" s="547" t="str">
        <f t="shared" si="12"/>
        <v>[Unit Name]</v>
      </c>
      <c r="I32" s="547" t="str">
        <f t="shared" si="12"/>
        <v>[Unit Name]</v>
      </c>
      <c r="J32" s="547" t="str">
        <f t="shared" si="12"/>
        <v>[Unit Name]</v>
      </c>
      <c r="K32" s="547" t="str">
        <f t="shared" si="12"/>
        <v>[Unit Name]</v>
      </c>
      <c r="L32" s="547" t="str">
        <f t="shared" si="12"/>
        <v>[Unit Name]</v>
      </c>
      <c r="M32" s="547" t="str">
        <f t="shared" si="12"/>
        <v>[Unit Name]</v>
      </c>
      <c r="N32" s="547" t="str">
        <f t="shared" si="12"/>
        <v>[Unit Name]</v>
      </c>
      <c r="O32" s="547" t="str">
        <f t="shared" si="12"/>
        <v>[Unit Name]</v>
      </c>
      <c r="P32" s="547" t="str">
        <f t="shared" si="12"/>
        <v>[Unit Name]</v>
      </c>
      <c r="Q32" s="541"/>
      <c r="R32" s="541"/>
      <c r="S32" s="541"/>
      <c r="V32" s="318"/>
    </row>
  </sheetData>
  <autoFilter ref="A1:A32" xr:uid="{ED50C970-49AC-4EAF-B236-0528B70288D8}"/>
  <mergeCells count="2">
    <mergeCell ref="R3:T4"/>
    <mergeCell ref="F6:J7"/>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9E0B0DE0-56D3-4625-A62B-ED75F3D3144B}">
          <x14:formula1>
            <xm:f>Chiller_Backend!$B$2:$B$6</xm:f>
          </x14:formula1>
          <xm:sqref>C11</xm:sqref>
        </x14:dataValidation>
        <x14:dataValidation type="list" allowBlank="1" showInputMessage="1" showErrorMessage="1" xr:uid="{232AD6C8-2A8D-4AD7-836E-C935163C12DA}">
          <x14:formula1>
            <xm:f>Chiller_Backend!$M$2:$M$5</xm:f>
          </x14:formula1>
          <xm:sqref>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264D4-8005-4B88-991F-D7D6849B42F8}">
  <dimension ref="A1:B43"/>
  <sheetViews>
    <sheetView topLeftCell="A7" workbookViewId="0">
      <selection activeCell="C28" sqref="C28"/>
    </sheetView>
  </sheetViews>
  <sheetFormatPr defaultRowHeight="14.6" x14ac:dyDescent="0.4"/>
  <cols>
    <col min="1" max="1" width="31.53515625" style="114" customWidth="1"/>
    <col min="2" max="16384" width="9.23046875" style="114"/>
  </cols>
  <sheetData>
    <row r="1" spans="1:2" x14ac:dyDescent="0.4">
      <c r="A1" s="318" t="s">
        <v>724</v>
      </c>
      <c r="B1" s="543" t="s">
        <v>843</v>
      </c>
    </row>
    <row r="2" spans="1:2" x14ac:dyDescent="0.4">
      <c r="A2" s="114" t="s">
        <v>982</v>
      </c>
      <c r="B2" s="543">
        <f>SUMIF(Chiller_Takeoff!B:B,A2,Chiller_Takeoff!U:U)+SUMIF(Chiller_Takeoff!C:C,A2,Chiller_Takeoff!U:U)</f>
        <v>0</v>
      </c>
    </row>
    <row r="3" spans="1:2" x14ac:dyDescent="0.4">
      <c r="A3" s="114" t="s">
        <v>1403</v>
      </c>
      <c r="B3" s="543">
        <f>SUMIF(Chiller_Takeoff!B:B,A3,Chiller_Takeoff!U:U)+SUMIF(Chiller_Takeoff!C:C,A3,Chiller_Takeoff!U:U)</f>
        <v>10</v>
      </c>
    </row>
    <row r="4" spans="1:2" x14ac:dyDescent="0.4">
      <c r="A4" s="114" t="s">
        <v>1406</v>
      </c>
      <c r="B4" s="543">
        <f>SUMIF(Chiller_Takeoff!B:B,A4,Chiller_Takeoff!U:U)+SUMIF(Chiller_Takeoff!C:C,A4,Chiller_Takeoff!U:U)</f>
        <v>20</v>
      </c>
    </row>
    <row r="5" spans="1:2" x14ac:dyDescent="0.4">
      <c r="A5" s="114" t="s">
        <v>1407</v>
      </c>
      <c r="B5" s="543">
        <f>SUMIF(Chiller_Takeoff!B:B,A5,Chiller_Takeoff!U:U)+SUMIF(Chiller_Takeoff!C:C,A5,Chiller_Takeoff!U:U)</f>
        <v>0</v>
      </c>
    </row>
    <row r="6" spans="1:2" x14ac:dyDescent="0.4">
      <c r="A6" s="114" t="s">
        <v>1405</v>
      </c>
      <c r="B6" s="543">
        <f>SUMIF(Chiller_Takeoff!B:B,A6,Chiller_Takeoff!U:U)+SUMIF(Chiller_Takeoff!C:C,A6,Chiller_Takeoff!U:U)</f>
        <v>20</v>
      </c>
    </row>
    <row r="7" spans="1:2" x14ac:dyDescent="0.4">
      <c r="A7" s="114" t="s">
        <v>1409</v>
      </c>
      <c r="B7" s="543">
        <f>SUMIF(Chiller_Takeoff!B:B,A7,Chiller_Takeoff!U:U)+SUMIF(Chiller_Takeoff!C:C,A7,Chiller_Takeoff!U:U)</f>
        <v>0</v>
      </c>
    </row>
    <row r="8" spans="1:2" x14ac:dyDescent="0.4">
      <c r="A8" s="114" t="s">
        <v>1408</v>
      </c>
      <c r="B8" s="543">
        <f>SUMIF(Chiller_Takeoff!B:B,A8,Chiller_Takeoff!U:U)+SUMIF(Chiller_Takeoff!C:C,A8,Chiller_Takeoff!U:U)</f>
        <v>0</v>
      </c>
    </row>
    <row r="9" spans="1:2" x14ac:dyDescent="0.4">
      <c r="A9" s="114" t="s">
        <v>1404</v>
      </c>
      <c r="B9" s="543">
        <f>SUMIF(Chiller_Takeoff!B:B,A9,Chiller_Takeoff!U:U)+SUMIF(Chiller_Takeoff!C:C,A9,Chiller_Takeoff!U:U)</f>
        <v>0</v>
      </c>
    </row>
    <row r="10" spans="1:2" x14ac:dyDescent="0.4">
      <c r="A10" s="114" t="s">
        <v>983</v>
      </c>
      <c r="B10" s="543">
        <f>SUMIF(Chiller_Takeoff!B:B,A10,Chiller_Takeoff!U:U)+SUMIF(Chiller_Takeoff!C:C,A10,Chiller_Takeoff!U:U)</f>
        <v>0</v>
      </c>
    </row>
    <row r="11" spans="1:2" x14ac:dyDescent="0.4">
      <c r="A11" s="114" t="s">
        <v>984</v>
      </c>
      <c r="B11" s="543">
        <f>SUMIF(Chiller_Takeoff!B:B,A11,Chiller_Takeoff!U:U)+SUMIF(Chiller_Takeoff!C:C,A11,Chiller_Takeoff!U:U)</f>
        <v>0</v>
      </c>
    </row>
    <row r="12" spans="1:2" x14ac:dyDescent="0.4">
      <c r="A12" s="114" t="s">
        <v>992</v>
      </c>
      <c r="B12" s="543">
        <f>SUMIF(Chiller_Takeoff!B:B,A12,Chiller_Takeoff!U:U)+SUMIF(Chiller_Takeoff!C:C,A12,Chiller_Takeoff!U:U)</f>
        <v>0</v>
      </c>
    </row>
    <row r="13" spans="1:2" x14ac:dyDescent="0.4">
      <c r="A13" s="114" t="s">
        <v>991</v>
      </c>
      <c r="B13" s="543">
        <f>SUMIF(Chiller_Takeoff!B:B,A13,Chiller_Takeoff!U:U)+SUMIF(Chiller_Takeoff!C:C,A13,Chiller_Takeoff!U:U)</f>
        <v>0</v>
      </c>
    </row>
    <row r="14" spans="1:2" x14ac:dyDescent="0.4">
      <c r="A14" s="114" t="s">
        <v>993</v>
      </c>
      <c r="B14" s="543">
        <f>SUMIF(Chiller_Takeoff!B:B,A14,Chiller_Takeoff!U:U)+SUMIF(Chiller_Takeoff!C:C,A14,Chiller_Takeoff!U:U)</f>
        <v>0</v>
      </c>
    </row>
    <row r="15" spans="1:2" x14ac:dyDescent="0.4">
      <c r="A15" s="114" t="s">
        <v>1415</v>
      </c>
      <c r="B15" s="543">
        <f>SUMIF(Chiller_Takeoff!B:B,A15,Chiller_Takeoff!U:U)+SUMIF(Chiller_Takeoff!C:C,A15,Chiller_Takeoff!U:U)</f>
        <v>2</v>
      </c>
    </row>
    <row r="16" spans="1:2" x14ac:dyDescent="0.4">
      <c r="A16" s="114" t="s">
        <v>1401</v>
      </c>
      <c r="B16" s="543">
        <f>SUMIF(Chiller_Takeoff!B:B,A16,Chiller_Takeoff!U:U)+SUMIF(Chiller_Takeoff!C:C,A16,Chiller_Takeoff!U:U)</f>
        <v>0</v>
      </c>
    </row>
    <row r="17" spans="1:2" x14ac:dyDescent="0.4">
      <c r="A17" s="114" t="s">
        <v>1402</v>
      </c>
      <c r="B17" s="543">
        <f>SUMIF(Chiller_Takeoff!B:B,A17,Chiller_Takeoff!U:U)+SUMIF(Chiller_Takeoff!C:C,A17,Chiller_Takeoff!U:U)</f>
        <v>0</v>
      </c>
    </row>
    <row r="18" spans="1:2" x14ac:dyDescent="0.4">
      <c r="A18" s="114" t="s">
        <v>1418</v>
      </c>
      <c r="B18" s="543">
        <f>SUMIF(Chiller_Takeoff!B:B,A18,Chiller_Takeoff!U:U)+SUMIF(Chiller_Takeoff!C:C,A18,Chiller_Takeoff!U:U)</f>
        <v>0</v>
      </c>
    </row>
    <row r="19" spans="1:2" x14ac:dyDescent="0.4">
      <c r="A19" s="114" t="s">
        <v>678</v>
      </c>
      <c r="B19" s="543">
        <f>SUMIF(Chiller_Takeoff!B:B,A19,Chiller_Takeoff!U:U)+SUMIF(Chiller_Takeoff!C:C,A19,Chiller_Takeoff!U:U)</f>
        <v>0</v>
      </c>
    </row>
    <row r="20" spans="1:2" x14ac:dyDescent="0.4">
      <c r="A20" s="114" t="s">
        <v>1419</v>
      </c>
      <c r="B20" s="543">
        <f>SUMIF(Chiller_Takeoff!B:B,A20,Chiller_Takeoff!U:U)+SUMIF(Chiller_Takeoff!C:C,A20,Chiller_Takeoff!U:U)</f>
        <v>0</v>
      </c>
    </row>
    <row r="21" spans="1:2" x14ac:dyDescent="0.4">
      <c r="A21" s="114" t="s">
        <v>1412</v>
      </c>
      <c r="B21" s="543">
        <f>SUMIF(Chiller_Takeoff!B:B,A21,Chiller_Takeoff!U:U)+SUMIF(Chiller_Takeoff!C:C,A21,Chiller_Takeoff!U:U)</f>
        <v>2</v>
      </c>
    </row>
    <row r="22" spans="1:2" x14ac:dyDescent="0.4">
      <c r="A22" s="114" t="s">
        <v>1414</v>
      </c>
      <c r="B22" s="543">
        <f>SUMIF(Chiller_Takeoff!B:B,A22,Chiller_Takeoff!U:U)+SUMIF(Chiller_Takeoff!C:C,A22,Chiller_Takeoff!U:U)</f>
        <v>2</v>
      </c>
    </row>
    <row r="23" spans="1:2" x14ac:dyDescent="0.4">
      <c r="A23" s="114" t="s">
        <v>1417</v>
      </c>
      <c r="B23" s="543">
        <f>SUMIF(Chiller_Takeoff!B:B,A23,Chiller_Takeoff!U:U)+SUMIF(Chiller_Takeoff!C:C,A23,Chiller_Takeoff!U:U)</f>
        <v>2</v>
      </c>
    </row>
    <row r="24" spans="1:2" x14ac:dyDescent="0.4">
      <c r="A24" s="114" t="s">
        <v>1416</v>
      </c>
      <c r="B24" s="543">
        <f>SUMIF(Chiller_Takeoff!B:B,A24,Chiller_Takeoff!U:U)+SUMIF(Chiller_Takeoff!C:C,A24,Chiller_Takeoff!U:U)</f>
        <v>2</v>
      </c>
    </row>
    <row r="25" spans="1:2" x14ac:dyDescent="0.4">
      <c r="A25" s="114" t="s">
        <v>1430</v>
      </c>
      <c r="B25" s="543">
        <f>SUMIF(Chiller_Takeoff!B:B,A25,Chiller_Takeoff!U:U)+SUMIF(Chiller_Takeoff!C:C,A25,Chiller_Takeoff!U:U)</f>
        <v>0</v>
      </c>
    </row>
    <row r="26" spans="1:2" x14ac:dyDescent="0.4">
      <c r="A26" s="114" t="s">
        <v>1431</v>
      </c>
      <c r="B26" s="543">
        <f>SUMIF(Chiller_Takeoff!B:B,A26,Chiller_Takeoff!U:U)+SUMIF(Chiller_Takeoff!C:C,A26,Chiller_Takeoff!U:U)</f>
        <v>0</v>
      </c>
    </row>
    <row r="27" spans="1:2" x14ac:dyDescent="0.4">
      <c r="A27" s="114" t="s">
        <v>1036</v>
      </c>
      <c r="B27" s="543">
        <f>SUMIF(Chiller_Takeoff!B:B,A27,Chiller_Takeoff!U:U)+SUMIF(Chiller_Takeoff!C:C,A27,Chiller_Takeoff!U:U)</f>
        <v>0</v>
      </c>
    </row>
    <row r="28" spans="1:2" x14ac:dyDescent="0.4">
      <c r="A28" s="114" t="s">
        <v>1029</v>
      </c>
      <c r="B28" s="543">
        <f>SUMIF(Chiller_Takeoff!B:B,A28,Chiller_Takeoff!U:U)+SUMIF(Chiller_Takeoff!C:C,A28,Chiller_Takeoff!U:U)</f>
        <v>0</v>
      </c>
    </row>
    <row r="29" spans="1:2" x14ac:dyDescent="0.4">
      <c r="A29" s="114" t="s">
        <v>1030</v>
      </c>
      <c r="B29" s="543">
        <f>SUMIF(Chiller_Takeoff!B:B,A29,Chiller_Takeoff!U:U)+SUMIF(Chiller_Takeoff!C:C,A29,Chiller_Takeoff!U:U)</f>
        <v>0</v>
      </c>
    </row>
    <row r="30" spans="1:2" x14ac:dyDescent="0.4">
      <c r="A30" s="114" t="s">
        <v>1026</v>
      </c>
      <c r="B30" s="543">
        <f>SUMIF(Chiller_Takeoff!B:B,A30,Chiller_Takeoff!U:U)+SUMIF(Chiller_Takeoff!C:C,A30,Chiller_Takeoff!U:U)</f>
        <v>0</v>
      </c>
    </row>
    <row r="31" spans="1:2" x14ac:dyDescent="0.4">
      <c r="A31" s="114" t="s">
        <v>1031</v>
      </c>
      <c r="B31" s="543">
        <f>SUMIF(Chiller_Takeoff!B:B,A31,Chiller_Takeoff!U:U)+SUMIF(Chiller_Takeoff!C:C,A31,Chiller_Takeoff!U:U)</f>
        <v>0</v>
      </c>
    </row>
    <row r="32" spans="1:2" x14ac:dyDescent="0.4">
      <c r="A32" s="114" t="s">
        <v>1432</v>
      </c>
      <c r="B32" s="543">
        <f>SUMIF(Chiller_Takeoff!B:B,A32,Chiller_Takeoff!U:U)+SUMIF(Chiller_Takeoff!C:C,A32,Chiller_Takeoff!U:U)</f>
        <v>2</v>
      </c>
    </row>
    <row r="33" spans="1:2" x14ac:dyDescent="0.4">
      <c r="A33" s="114" t="s">
        <v>1048</v>
      </c>
      <c r="B33" s="543">
        <f>SUMIF(Chiller_Takeoff!B:B,A33,Chiller_Takeoff!U:U)+SUMIF(Chiller_Takeoff!C:C,A33,Chiller_Takeoff!U:U)</f>
        <v>0</v>
      </c>
    </row>
    <row r="34" spans="1:2" x14ac:dyDescent="0.4">
      <c r="A34" s="114" t="s">
        <v>886</v>
      </c>
      <c r="B34" s="543">
        <f>SUMIF(Chiller_Takeoff!B:B,A34,Chiller_Takeoff!U:U)+SUMIF(Chiller_Takeoff!C:C,A34,Chiller_Takeoff!U:U)</f>
        <v>0</v>
      </c>
    </row>
    <row r="35" spans="1:2" x14ac:dyDescent="0.4">
      <c r="A35" s="114" t="s">
        <v>1299</v>
      </c>
      <c r="B35" s="543">
        <f>SUMIF(Chiller_Takeoff!B:B,A35,Chiller_Takeoff!U:U)+SUMIF(Chiller_Takeoff!C:C,A35,Chiller_Takeoff!U:U)</f>
        <v>2</v>
      </c>
    </row>
    <row r="36" spans="1:2" x14ac:dyDescent="0.4">
      <c r="A36" s="114" t="s">
        <v>1298</v>
      </c>
      <c r="B36" s="543">
        <f>SUMIF(Chiller_Takeoff!B:B,A36,Chiller_Takeoff!U:U)+SUMIF(Chiller_Takeoff!C:C,A36,Chiller_Takeoff!U:U)</f>
        <v>0</v>
      </c>
    </row>
    <row r="37" spans="1:2" x14ac:dyDescent="0.4">
      <c r="A37" s="114" t="s">
        <v>1300</v>
      </c>
      <c r="B37" s="543">
        <f>SUMIF(Chiller_Takeoff!B:B,A37,Chiller_Takeoff!U:U)+SUMIF(Chiller_Takeoff!C:C,A37,Chiller_Takeoff!U:U)</f>
        <v>0</v>
      </c>
    </row>
    <row r="38" spans="1:2" x14ac:dyDescent="0.4">
      <c r="A38" s="114" t="s">
        <v>1301</v>
      </c>
      <c r="B38" s="543">
        <f>SUMIF(Chiller_Takeoff!B:B,A38,Chiller_Takeoff!U:U)+SUMIF(Chiller_Takeoff!C:C,A38,Chiller_Takeoff!U:U)</f>
        <v>2</v>
      </c>
    </row>
    <row r="39" spans="1:2" x14ac:dyDescent="0.4">
      <c r="A39" s="114" t="s">
        <v>1296</v>
      </c>
      <c r="B39" s="543">
        <f>SUMIF(Chiller_Takeoff!B:B,A39,Chiller_Takeoff!U:U)+SUMIF(Chiller_Takeoff!C:C,A39,Chiller_Takeoff!U:U)</f>
        <v>2</v>
      </c>
    </row>
    <row r="40" spans="1:2" x14ac:dyDescent="0.4">
      <c r="A40" s="114" t="s">
        <v>1434</v>
      </c>
      <c r="B40" s="543">
        <f>SUMIF(Chiller_Takeoff!B:B,A40,Chiller_Takeoff!U:U)+SUMIF(Chiller_Takeoff!C:C,A40,Chiller_Takeoff!U:U)</f>
        <v>2</v>
      </c>
    </row>
    <row r="41" spans="1:2" x14ac:dyDescent="0.4">
      <c r="A41" s="114" t="s">
        <v>1435</v>
      </c>
      <c r="B41" s="543">
        <f>SUMIF(Chiller_Takeoff!B:B,A41,Chiller_Takeoff!U:U)+SUMIF(Chiller_Takeoff!C:C,A41,Chiller_Takeoff!U:U)</f>
        <v>0</v>
      </c>
    </row>
    <row r="42" spans="1:2" x14ac:dyDescent="0.4">
      <c r="A42" s="114" t="s">
        <v>1436</v>
      </c>
      <c r="B42" s="543">
        <f>SUMIF(Chiller_Takeoff!B:B,A42,Chiller_Takeoff!U:U)+SUMIF(Chiller_Takeoff!C:C,A42,Chiller_Takeoff!U:U)</f>
        <v>0</v>
      </c>
    </row>
    <row r="43" spans="1:2" x14ac:dyDescent="0.4">
      <c r="A43" s="114" t="s">
        <v>1302</v>
      </c>
      <c r="B43" s="543">
        <f>SUMIF(Chiller_Takeoff!B:B,A43,Chiller_Takeoff!U:U)+SUMIF(Chiller_Takeoff!C:C,A43,Chiller_Takeoff!U:U)</f>
        <v>0</v>
      </c>
    </row>
  </sheetData>
  <conditionalFormatting sqref="A2:A4">
    <cfRule type="cellIs" dxfId="243" priority="16" operator="equal">
      <formula>""</formula>
    </cfRule>
  </conditionalFormatting>
  <conditionalFormatting sqref="A5:A7">
    <cfRule type="cellIs" dxfId="242" priority="15" operator="equal">
      <formula>""</formula>
    </cfRule>
  </conditionalFormatting>
  <conditionalFormatting sqref="A8">
    <cfRule type="cellIs" dxfId="241" priority="14" operator="equal">
      <formula>""</formula>
    </cfRule>
  </conditionalFormatting>
  <conditionalFormatting sqref="A9">
    <cfRule type="cellIs" dxfId="240" priority="13" operator="equal">
      <formula>""</formula>
    </cfRule>
  </conditionalFormatting>
  <conditionalFormatting sqref="A10">
    <cfRule type="cellIs" dxfId="239" priority="12" operator="equal">
      <formula>""</formula>
    </cfRule>
  </conditionalFormatting>
  <conditionalFormatting sqref="A11">
    <cfRule type="cellIs" dxfId="238" priority="11" operator="equal">
      <formula>""</formula>
    </cfRule>
  </conditionalFormatting>
  <conditionalFormatting sqref="A12">
    <cfRule type="cellIs" dxfId="237" priority="10" operator="equal">
      <formula>""</formula>
    </cfRule>
  </conditionalFormatting>
  <conditionalFormatting sqref="A13:A14">
    <cfRule type="cellIs" dxfId="236" priority="9" operator="equal">
      <formula>""</formula>
    </cfRule>
  </conditionalFormatting>
  <conditionalFormatting sqref="A15:A16">
    <cfRule type="cellIs" dxfId="235" priority="8" operator="equal">
      <formula>""</formula>
    </cfRule>
  </conditionalFormatting>
  <conditionalFormatting sqref="A17">
    <cfRule type="cellIs" dxfId="234" priority="7" operator="equal">
      <formula>""</formula>
    </cfRule>
  </conditionalFormatting>
  <conditionalFormatting sqref="A18">
    <cfRule type="cellIs" dxfId="233" priority="6" operator="equal">
      <formula>""</formula>
    </cfRule>
  </conditionalFormatting>
  <conditionalFormatting sqref="A19">
    <cfRule type="cellIs" dxfId="232" priority="5" operator="equal">
      <formula>""</formula>
    </cfRule>
  </conditionalFormatting>
  <conditionalFormatting sqref="A20:A21">
    <cfRule type="cellIs" dxfId="231" priority="4" operator="equal">
      <formula>""</formula>
    </cfRule>
  </conditionalFormatting>
  <conditionalFormatting sqref="A22:A23">
    <cfRule type="cellIs" dxfId="230" priority="3" operator="equal">
      <formula>""</formula>
    </cfRule>
  </conditionalFormatting>
  <conditionalFormatting sqref="A24">
    <cfRule type="cellIs" dxfId="229" priority="2" operator="equal">
      <formula>""</formula>
    </cfRule>
  </conditionalFormatting>
  <conditionalFormatting sqref="A33">
    <cfRule type="cellIs" dxfId="228" priority="1" operator="equal">
      <formula>""</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CF64-88D7-43C4-9675-B14A0F29850D}">
  <sheetPr filterMode="1"/>
  <dimension ref="A1:L180"/>
  <sheetViews>
    <sheetView topLeftCell="A42" workbookViewId="0">
      <selection activeCell="A155" sqref="A155"/>
    </sheetView>
  </sheetViews>
  <sheetFormatPr defaultRowHeight="14.6" x14ac:dyDescent="0.4"/>
  <cols>
    <col min="1" max="1" width="37.4609375" style="114" customWidth="1"/>
    <col min="2" max="2" width="28.921875" style="114" bestFit="1" customWidth="1"/>
    <col min="3" max="5" width="9.61328125" style="114" customWidth="1"/>
    <col min="6" max="6" width="7.765625" style="114" customWidth="1"/>
    <col min="7" max="16384" width="9.23046875" style="114"/>
  </cols>
  <sheetData>
    <row r="1" spans="1:8" s="546" customFormat="1" ht="19.75" thickBot="1" x14ac:dyDescent="0.55000000000000004">
      <c r="A1" s="546" t="s">
        <v>1423</v>
      </c>
      <c r="B1" s="546" t="s">
        <v>1422</v>
      </c>
      <c r="C1" s="546" t="s">
        <v>843</v>
      </c>
      <c r="D1" s="546" t="s">
        <v>996</v>
      </c>
      <c r="E1" s="546" t="s">
        <v>995</v>
      </c>
      <c r="F1" s="546" t="s">
        <v>1424</v>
      </c>
      <c r="G1" s="546" t="s">
        <v>1473</v>
      </c>
      <c r="H1" s="546" t="s">
        <v>1441</v>
      </c>
    </row>
    <row r="2" spans="1:8" ht="15" thickTop="1" x14ac:dyDescent="0.4">
      <c r="A2" s="114" t="s">
        <v>982</v>
      </c>
      <c r="B2" s="114" t="s">
        <v>982</v>
      </c>
      <c r="C2" s="114" t="s">
        <v>639</v>
      </c>
      <c r="D2" s="114">
        <f>SUM(D3)</f>
        <v>0</v>
      </c>
      <c r="E2" s="114">
        <f>SUM(E3)</f>
        <v>0</v>
      </c>
      <c r="F2" s="114">
        <f>IFERROR(IF(A2=B2,0,VLOOKUP(A2,Chiller_Summary!A:E,2,FALSE))*C2,0)</f>
        <v>0</v>
      </c>
      <c r="G2" s="114" t="b">
        <f>A2=B2</f>
        <v>1</v>
      </c>
      <c r="H2" s="114" t="str">
        <f>_xlfn.CONCAT(", ", B2)</f>
        <v>, BMS Provisions</v>
      </c>
    </row>
    <row r="3" spans="1:8" hidden="1" x14ac:dyDescent="0.4">
      <c r="A3" s="114" t="s">
        <v>982</v>
      </c>
      <c r="B3" s="114" t="s">
        <v>268</v>
      </c>
      <c r="D3" s="114">
        <f>VLOOKUP($B3,Parts!$A:$G,IF(D$1="t",4,3),FALSE)*$C3</f>
        <v>0</v>
      </c>
      <c r="E3" s="114">
        <f>VLOOKUP($B3,Parts!$A:$G,IF(E$1="t",4,3),FALSE)*$C3</f>
        <v>0</v>
      </c>
      <c r="F3" s="114">
        <f>IFERROR(IF(A3=B3,0,VLOOKUP(A3,Chiller_Summary!A:E,2,FALSE))*C3,0)</f>
        <v>0</v>
      </c>
      <c r="G3" s="114" t="b">
        <f t="shared" ref="G3:G66" si="0">A3=B3</f>
        <v>0</v>
      </c>
    </row>
    <row r="4" spans="1:8" x14ac:dyDescent="0.4">
      <c r="A4" s="114" t="s">
        <v>1403</v>
      </c>
      <c r="B4" s="114" t="s">
        <v>1403</v>
      </c>
      <c r="C4" s="114" t="s">
        <v>639</v>
      </c>
      <c r="D4" s="114">
        <f>SUM(D5)</f>
        <v>0.1</v>
      </c>
      <c r="E4" s="114">
        <f>SUM(E5)</f>
        <v>0.85</v>
      </c>
      <c r="F4" s="114">
        <f>IFERROR(IF(A4=B4,0,VLOOKUP(A4,Chiller_Summary!A:E,2,FALSE))*C4,0)</f>
        <v>0</v>
      </c>
      <c r="G4" s="114" t="b">
        <f t="shared" si="0"/>
        <v>1</v>
      </c>
    </row>
    <row r="5" spans="1:8" hidden="1" x14ac:dyDescent="0.4">
      <c r="A5" s="114" t="s">
        <v>1403</v>
      </c>
      <c r="B5" s="114" t="s">
        <v>268</v>
      </c>
      <c r="C5" s="114">
        <v>1</v>
      </c>
      <c r="D5" s="114">
        <f>VLOOKUP($B5,Parts!$A:$G,IF(D$1="t",4,3),FALSE)*$C5</f>
        <v>0.1</v>
      </c>
      <c r="E5" s="114">
        <f>VLOOKUP($B5,Parts!$A:$G,IF(E$1="t",4,3),FALSE)*$C5</f>
        <v>0.85</v>
      </c>
      <c r="F5" s="114">
        <f>IFERROR(IF(A5=B5,0,VLOOKUP(A5,Chiller_Summary!A:E,2,FALSE))*C5,0)</f>
        <v>10</v>
      </c>
      <c r="G5" s="114" t="b">
        <f t="shared" si="0"/>
        <v>0</v>
      </c>
    </row>
    <row r="6" spans="1:8" x14ac:dyDescent="0.4">
      <c r="A6" s="114" t="s">
        <v>1406</v>
      </c>
      <c r="B6" s="114" t="s">
        <v>1406</v>
      </c>
      <c r="C6" s="114" t="s">
        <v>639</v>
      </c>
      <c r="D6" s="114">
        <f>SUM(D7)</f>
        <v>0.1</v>
      </c>
      <c r="E6" s="114">
        <f>SUM(E7)</f>
        <v>3.48</v>
      </c>
      <c r="F6" s="114">
        <f>IFERROR(IF(A6=B6,0,VLOOKUP(A6,Chiller_Summary!A:E,2,FALSE))*C6,0)</f>
        <v>0</v>
      </c>
      <c r="G6" s="114" t="b">
        <f t="shared" si="0"/>
        <v>1</v>
      </c>
    </row>
    <row r="7" spans="1:8" hidden="1" x14ac:dyDescent="0.4">
      <c r="A7" s="114" t="s">
        <v>1406</v>
      </c>
      <c r="B7" s="114" t="s">
        <v>267</v>
      </c>
      <c r="C7" s="114">
        <v>1</v>
      </c>
      <c r="D7" s="114">
        <f>VLOOKUP($B7,Parts!$A:$G,IF(D$1="t",4,3),FALSE)*$C7</f>
        <v>0.1</v>
      </c>
      <c r="E7" s="114">
        <f>VLOOKUP($B7,Parts!$A:$G,IF(E$1="t",4,3),FALSE)*$C7</f>
        <v>3.48</v>
      </c>
      <c r="F7" s="114">
        <f>IFERROR(IF(A7=B7,0,VLOOKUP(A7,Chiller_Summary!A:E,2,FALSE))*C7,0)</f>
        <v>20</v>
      </c>
      <c r="G7" s="114" t="b">
        <f t="shared" si="0"/>
        <v>0</v>
      </c>
    </row>
    <row r="8" spans="1:8" x14ac:dyDescent="0.4">
      <c r="A8" s="114" t="s">
        <v>1407</v>
      </c>
      <c r="B8" s="114" t="s">
        <v>1407</v>
      </c>
      <c r="C8" s="114" t="s">
        <v>639</v>
      </c>
      <c r="D8" s="114">
        <f>SUM(D9)</f>
        <v>0.1</v>
      </c>
      <c r="E8" s="114">
        <f>SUM(E9)</f>
        <v>4.5599999999999996</v>
      </c>
      <c r="F8" s="114">
        <f>IFERROR(IF(A8=B8,0,VLOOKUP(A8,Chiller_Summary!A:E,2,FALSE))*C8,0)</f>
        <v>0</v>
      </c>
      <c r="G8" s="114" t="b">
        <f t="shared" si="0"/>
        <v>1</v>
      </c>
    </row>
    <row r="9" spans="1:8" hidden="1" x14ac:dyDescent="0.4">
      <c r="A9" s="114" t="s">
        <v>1407</v>
      </c>
      <c r="B9" s="114" t="s">
        <v>266</v>
      </c>
      <c r="C9" s="114">
        <v>1</v>
      </c>
      <c r="D9" s="114">
        <f>VLOOKUP($B9,Parts!$A:$G,IF(D$1="t",4,3),FALSE)*$C9</f>
        <v>0.1</v>
      </c>
      <c r="E9" s="114">
        <f>VLOOKUP($B9,Parts!$A:$G,IF(E$1="t",4,3),FALSE)*$C9</f>
        <v>4.5599999999999996</v>
      </c>
      <c r="F9" s="114">
        <f>IFERROR(IF(A9=B9,0,VLOOKUP(A9,Chiller_Summary!A:E,2,FALSE))*C9,0)</f>
        <v>0</v>
      </c>
      <c r="G9" s="114" t="b">
        <f t="shared" si="0"/>
        <v>0</v>
      </c>
    </row>
    <row r="10" spans="1:8" x14ac:dyDescent="0.4">
      <c r="A10" s="114" t="s">
        <v>1405</v>
      </c>
      <c r="B10" s="114" t="s">
        <v>1405</v>
      </c>
      <c r="C10" s="114" t="s">
        <v>639</v>
      </c>
      <c r="D10" s="114">
        <f>SUM(D11)</f>
        <v>0.1</v>
      </c>
      <c r="E10" s="114">
        <f>SUM(E11)</f>
        <v>1.056</v>
      </c>
      <c r="F10" s="114">
        <f>IFERROR(IF(A10=B10,0,VLOOKUP(A10,Chiller_Summary!A:E,2,FALSE))*C10,0)</f>
        <v>0</v>
      </c>
      <c r="G10" s="114" t="b">
        <f t="shared" si="0"/>
        <v>1</v>
      </c>
    </row>
    <row r="11" spans="1:8" hidden="1" x14ac:dyDescent="0.4">
      <c r="A11" s="114" t="s">
        <v>1405</v>
      </c>
      <c r="B11" s="114" t="s">
        <v>269</v>
      </c>
      <c r="C11" s="114">
        <v>1</v>
      </c>
      <c r="D11" s="114">
        <f>VLOOKUP($B11,Parts!$A:$G,IF(D$1="t",4,3),FALSE)*$C11</f>
        <v>0.1</v>
      </c>
      <c r="E11" s="114">
        <f>VLOOKUP($B11,Parts!$A:$G,IF(E$1="t",4,3),FALSE)*$C11</f>
        <v>1.056</v>
      </c>
      <c r="F11" s="114">
        <f>IFERROR(IF(A11=B11,0,VLOOKUP(A11,Chiller_Summary!A:E,2,FALSE))*C11,0)</f>
        <v>20</v>
      </c>
      <c r="G11" s="114" t="b">
        <f t="shared" si="0"/>
        <v>0</v>
      </c>
    </row>
    <row r="12" spans="1:8" x14ac:dyDescent="0.4">
      <c r="A12" s="114" t="s">
        <v>1409</v>
      </c>
      <c r="B12" s="114" t="s">
        <v>1409</v>
      </c>
      <c r="C12" s="114" t="s">
        <v>639</v>
      </c>
      <c r="D12" s="114">
        <f>SUM(D13)</f>
        <v>0.1</v>
      </c>
      <c r="E12" s="114">
        <f>SUM(E13)</f>
        <v>5.8</v>
      </c>
      <c r="F12" s="114">
        <f>IFERROR(IF(A12=B12,0,VLOOKUP(A12,Chiller_Summary!A:E,2,FALSE))*C12,0)</f>
        <v>0</v>
      </c>
      <c r="G12" s="114" t="b">
        <f t="shared" si="0"/>
        <v>1</v>
      </c>
    </row>
    <row r="13" spans="1:8" hidden="1" x14ac:dyDescent="0.4">
      <c r="A13" s="114" t="s">
        <v>1409</v>
      </c>
      <c r="B13" s="114" t="s">
        <v>1254</v>
      </c>
      <c r="C13" s="114">
        <v>1</v>
      </c>
      <c r="D13" s="114">
        <f>VLOOKUP($B13,Parts!$A:$G,IF(D$1="t",4,3),FALSE)*$C13</f>
        <v>0.1</v>
      </c>
      <c r="E13" s="114">
        <f>VLOOKUP($B13,Parts!$A:$G,IF(E$1="t",4,3),FALSE)*$C13</f>
        <v>5.8</v>
      </c>
      <c r="F13" s="114">
        <f>IFERROR(IF(A13=B13,0,VLOOKUP(A13,Chiller_Summary!A:E,2,FALSE))*C13,0)</f>
        <v>0</v>
      </c>
      <c r="G13" s="114" t="b">
        <f t="shared" si="0"/>
        <v>0</v>
      </c>
    </row>
    <row r="14" spans="1:8" x14ac:dyDescent="0.4">
      <c r="A14" s="114" t="s">
        <v>1408</v>
      </c>
      <c r="B14" s="114" t="s">
        <v>1408</v>
      </c>
      <c r="C14" s="114" t="s">
        <v>639</v>
      </c>
      <c r="D14" s="114">
        <f>SUM(D15)</f>
        <v>0.1</v>
      </c>
      <c r="E14" s="114">
        <f>SUM(E15)</f>
        <v>2.4</v>
      </c>
      <c r="F14" s="114">
        <f>IFERROR(IF(A14=B14,0,VLOOKUP(A14,Chiller_Summary!A:E,2,FALSE))*C14,0)</f>
        <v>0</v>
      </c>
      <c r="G14" s="114" t="b">
        <f t="shared" si="0"/>
        <v>1</v>
      </c>
    </row>
    <row r="15" spans="1:8" hidden="1" x14ac:dyDescent="0.4">
      <c r="A15" s="114" t="s">
        <v>1408</v>
      </c>
      <c r="B15" s="114" t="s">
        <v>360</v>
      </c>
      <c r="C15" s="114">
        <v>1</v>
      </c>
      <c r="D15" s="114">
        <f>VLOOKUP($B15,Parts!$A:$G,IF(D$1="t",4,3),FALSE)*$C15</f>
        <v>0.1</v>
      </c>
      <c r="E15" s="114">
        <f>VLOOKUP($B15,Parts!$A:$G,IF(E$1="t",4,3),FALSE)*$C15</f>
        <v>2.4</v>
      </c>
      <c r="F15" s="114">
        <f>IFERROR(IF(A15=B15,0,VLOOKUP(A15,Chiller_Summary!A:E,2,FALSE))*C15,0)</f>
        <v>0</v>
      </c>
      <c r="G15" s="114" t="b">
        <f t="shared" si="0"/>
        <v>0</v>
      </c>
    </row>
    <row r="16" spans="1:8" x14ac:dyDescent="0.4">
      <c r="A16" s="114" t="s">
        <v>1404</v>
      </c>
      <c r="B16" s="114" t="s">
        <v>1404</v>
      </c>
      <c r="C16" s="114" t="s">
        <v>639</v>
      </c>
      <c r="D16" s="114">
        <f>SUM(D17)</f>
        <v>0.1</v>
      </c>
      <c r="E16" s="114">
        <f>SUM(E17)</f>
        <v>0.28000000000000003</v>
      </c>
      <c r="F16" s="114">
        <f>IFERROR(IF(A16=B16,0,VLOOKUP(A16,Chiller_Summary!A:E,2,FALSE))*C16,0)</f>
        <v>0</v>
      </c>
      <c r="G16" s="114" t="b">
        <f t="shared" si="0"/>
        <v>1</v>
      </c>
    </row>
    <row r="17" spans="1:8" hidden="1" x14ac:dyDescent="0.4">
      <c r="A17" s="114" t="s">
        <v>1404</v>
      </c>
      <c r="B17" s="114" t="s">
        <v>418</v>
      </c>
      <c r="C17" s="114">
        <v>1</v>
      </c>
      <c r="D17" s="114">
        <f>VLOOKUP($B17,Parts!$A:$G,IF(D$1="t",4,3),FALSE)*$C17</f>
        <v>0.1</v>
      </c>
      <c r="E17" s="114">
        <f>VLOOKUP($B17,Parts!$A:$G,IF(E$1="t",4,3),FALSE)*$C17</f>
        <v>0.28000000000000003</v>
      </c>
      <c r="F17" s="114">
        <f>IFERROR(IF(A17=B17,0,VLOOKUP(A17,Chiller_Summary!A:E,2,FALSE))*C17,0)</f>
        <v>0</v>
      </c>
      <c r="G17" s="114" t="b">
        <f t="shared" si="0"/>
        <v>0</v>
      </c>
    </row>
    <row r="18" spans="1:8" x14ac:dyDescent="0.4">
      <c r="A18" s="114" t="s">
        <v>983</v>
      </c>
      <c r="B18" s="114" t="s">
        <v>983</v>
      </c>
      <c r="C18" s="114" t="s">
        <v>639</v>
      </c>
      <c r="D18" s="114">
        <f>SUM(D19:D20)</f>
        <v>0</v>
      </c>
      <c r="E18" s="114">
        <f>SUM(E19:E20)</f>
        <v>37.799999999999997</v>
      </c>
      <c r="F18" s="114">
        <f>IFERROR(IF(A18=B18,0,VLOOKUP(A18,Chiller_Summary!A:E,2,FALSE))*C18,0)</f>
        <v>0</v>
      </c>
      <c r="G18" s="114" t="b">
        <f t="shared" si="0"/>
        <v>1</v>
      </c>
      <c r="H18" s="114" t="str">
        <f>_xlfn.CONCAT(", ", B18)</f>
        <v>, Fire Shutdown</v>
      </c>
    </row>
    <row r="19" spans="1:8" hidden="1" x14ac:dyDescent="0.4">
      <c r="A19" s="114" t="s">
        <v>983</v>
      </c>
      <c r="B19" s="114" t="s">
        <v>268</v>
      </c>
      <c r="D19" s="114">
        <f>VLOOKUP($B19,Parts!$A:$G,IF(D$1="t",4,3),FALSE)*$C19</f>
        <v>0</v>
      </c>
      <c r="E19" s="114">
        <f>VLOOKUP($B19,Parts!$A:$G,IF(E$1="t",4,3),FALSE)*$C19</f>
        <v>0</v>
      </c>
      <c r="F19" s="114">
        <f>IFERROR(IF(A19=B19,0,VLOOKUP(A19,Chiller_Summary!A:E,2,FALSE))*C19,0)</f>
        <v>0</v>
      </c>
      <c r="G19" s="114" t="b">
        <f t="shared" si="0"/>
        <v>0</v>
      </c>
    </row>
    <row r="20" spans="1:8" hidden="1" x14ac:dyDescent="0.4">
      <c r="A20" s="114" t="s">
        <v>983</v>
      </c>
      <c r="B20" s="114" t="s">
        <v>1389</v>
      </c>
      <c r="C20" s="114">
        <v>1</v>
      </c>
      <c r="D20" s="114">
        <f>VLOOKUP($B20,Parts!$A:$G,IF(D$1="t",4,3),FALSE)*$C20</f>
        <v>0</v>
      </c>
      <c r="E20" s="114">
        <f>VLOOKUP($B20,Parts!$A:$G,IF(E$1="t",4,3),FALSE)*$C20</f>
        <v>37.799999999999997</v>
      </c>
      <c r="F20" s="114">
        <f>IFERROR(IF(A20=B20,0,VLOOKUP(A20,Chiller_Summary!A:E,2,FALSE))*C20,0)</f>
        <v>0</v>
      </c>
      <c r="G20" s="114" t="b">
        <f t="shared" si="0"/>
        <v>0</v>
      </c>
    </row>
    <row r="21" spans="1:8" x14ac:dyDescent="0.4">
      <c r="A21" s="114" t="s">
        <v>984</v>
      </c>
      <c r="B21" s="114" t="s">
        <v>984</v>
      </c>
      <c r="C21" s="114" t="s">
        <v>639</v>
      </c>
      <c r="D21" s="114">
        <f>SUM(D22:D23)</f>
        <v>0</v>
      </c>
      <c r="E21" s="114">
        <f>SUM(E22:E23)</f>
        <v>24.2</v>
      </c>
      <c r="F21" s="114">
        <f>IFERROR(IF(A21=B21,0,VLOOKUP(A21,Chiller_Summary!A:E,2,FALSE))*C21,0)</f>
        <v>0</v>
      </c>
      <c r="G21" s="114" t="b">
        <f t="shared" si="0"/>
        <v>1</v>
      </c>
      <c r="H21" s="114" t="str">
        <f>_xlfn.CONCAT(", ", B21)</f>
        <v>, Interlock</v>
      </c>
    </row>
    <row r="22" spans="1:8" hidden="1" x14ac:dyDescent="0.4">
      <c r="A22" s="114" t="s">
        <v>984</v>
      </c>
      <c r="B22" s="114" t="s">
        <v>418</v>
      </c>
      <c r="D22" s="114">
        <f>VLOOKUP($B22,Parts!$A:$G,IF(D$1="t",4,3),FALSE)*$C22</f>
        <v>0</v>
      </c>
      <c r="E22" s="114">
        <f>VLOOKUP($B22,Parts!$A:$G,IF(E$1="t",4,3),FALSE)*$C22</f>
        <v>0</v>
      </c>
      <c r="F22" s="114">
        <f>IFERROR(IF(A22=B22,0,VLOOKUP(A22,Chiller_Summary!A:E,2,FALSE))*C22,0)</f>
        <v>0</v>
      </c>
      <c r="G22" s="114" t="b">
        <f t="shared" si="0"/>
        <v>0</v>
      </c>
    </row>
    <row r="23" spans="1:8" hidden="1" x14ac:dyDescent="0.4">
      <c r="A23" s="114" t="s">
        <v>984</v>
      </c>
      <c r="B23" s="114" t="s">
        <v>326</v>
      </c>
      <c r="C23" s="114">
        <v>1</v>
      </c>
      <c r="D23" s="114">
        <f>VLOOKUP($B23,Parts!$A:$G,IF(D$1="t",4,3),FALSE)*$C23</f>
        <v>0</v>
      </c>
      <c r="E23" s="114">
        <f>VLOOKUP($B23,Parts!$A:$G,IF(E$1="t",4,3),FALSE)*$C23</f>
        <v>24.2</v>
      </c>
      <c r="F23" s="114">
        <f>IFERROR(IF(A23=B23,0,VLOOKUP(A23,Chiller_Summary!A:E,2,FALSE))*C23,0)</f>
        <v>0</v>
      </c>
      <c r="G23" s="114" t="b">
        <f t="shared" si="0"/>
        <v>0</v>
      </c>
    </row>
    <row r="24" spans="1:8" x14ac:dyDescent="0.4">
      <c r="A24" s="114" t="s">
        <v>992</v>
      </c>
      <c r="B24" s="114" t="s">
        <v>992</v>
      </c>
      <c r="C24" s="114" t="s">
        <v>639</v>
      </c>
      <c r="D24" s="114">
        <f>SUM(D25:D27)</f>
        <v>0</v>
      </c>
      <c r="E24" s="114">
        <f>SUM(E25:E27)</f>
        <v>47.599999999999994</v>
      </c>
      <c r="F24" s="114">
        <f>IFERROR(IF(A24=B24,0,VLOOKUP(A24,Chiller_Summary!A:E,2,FALSE))*C24,0)</f>
        <v>0</v>
      </c>
      <c r="G24" s="114" t="b">
        <f t="shared" si="0"/>
        <v>1</v>
      </c>
      <c r="H24" s="114" t="str">
        <f>_xlfn.CONCAT(", ", B24)</f>
        <v>, Interlock with Associated Units</v>
      </c>
    </row>
    <row r="25" spans="1:8" hidden="1" x14ac:dyDescent="0.4">
      <c r="A25" s="114" t="s">
        <v>992</v>
      </c>
      <c r="B25" s="114" t="s">
        <v>831</v>
      </c>
      <c r="C25" s="114">
        <v>1</v>
      </c>
      <c r="D25" s="114">
        <f>VLOOKUP($B25,Parts!$A:$G,IF(D$1="t",4,3),FALSE)*$C25</f>
        <v>0</v>
      </c>
      <c r="E25" s="114">
        <f>VLOOKUP($B25,Parts!$A:$G,IF(E$1="t",4,3),FALSE)*$C25</f>
        <v>23.4</v>
      </c>
      <c r="F25" s="114">
        <f>IFERROR(IF(A25=B25,0,VLOOKUP(A25,Chiller_Summary!A:E,2,FALSE))*C25,0)</f>
        <v>0</v>
      </c>
      <c r="G25" s="114" t="b">
        <f t="shared" si="0"/>
        <v>0</v>
      </c>
    </row>
    <row r="26" spans="1:8" hidden="1" x14ac:dyDescent="0.4">
      <c r="A26" s="114" t="s">
        <v>992</v>
      </c>
      <c r="B26" s="114" t="s">
        <v>697</v>
      </c>
      <c r="C26" s="114">
        <v>1</v>
      </c>
      <c r="D26" s="114">
        <f>VLOOKUP($B26,Parts!$A:$G,IF(D$1="t",4,3),FALSE)*$C26</f>
        <v>0</v>
      </c>
      <c r="E26" s="114">
        <f>VLOOKUP($B26,Parts!$A:$G,IF(E$1="t",4,3),FALSE)*$C26</f>
        <v>24.2</v>
      </c>
      <c r="F26" s="114">
        <f>IFERROR(IF(A26=B26,0,VLOOKUP(A26,Chiller_Summary!A:E,2,FALSE))*C26,0)</f>
        <v>0</v>
      </c>
      <c r="G26" s="114" t="b">
        <f t="shared" si="0"/>
        <v>0</v>
      </c>
    </row>
    <row r="27" spans="1:8" hidden="1" x14ac:dyDescent="0.4">
      <c r="A27" s="114" t="s">
        <v>992</v>
      </c>
      <c r="B27" s="114" t="s">
        <v>418</v>
      </c>
      <c r="D27" s="114">
        <f>VLOOKUP($B27,Parts!$A:$G,IF(D$1="t",4,3),FALSE)*$C27</f>
        <v>0</v>
      </c>
      <c r="E27" s="114">
        <f>VLOOKUP($B27,Parts!$A:$G,IF(E$1="t",4,3),FALSE)*$C27</f>
        <v>0</v>
      </c>
      <c r="F27" s="114">
        <f>IFERROR(IF(A27=B27,0,VLOOKUP(A27,Chiller_Summary!A:E,2,FALSE))*C27,0)</f>
        <v>0</v>
      </c>
      <c r="G27" s="114" t="b">
        <f t="shared" si="0"/>
        <v>0</v>
      </c>
    </row>
    <row r="28" spans="1:8" x14ac:dyDescent="0.4">
      <c r="A28" s="114" t="s">
        <v>991</v>
      </c>
      <c r="B28" s="114" t="s">
        <v>991</v>
      </c>
      <c r="C28" s="114" t="s">
        <v>639</v>
      </c>
      <c r="D28" s="114">
        <f>SUM(D29:D30)</f>
        <v>0</v>
      </c>
      <c r="E28" s="114">
        <f>SUM(E29:E30)</f>
        <v>24.2</v>
      </c>
      <c r="F28" s="114">
        <f>IFERROR(IF(A28=B28,0,VLOOKUP(A28,Chiller_Summary!A:E,2,FALSE))*C28,0)</f>
        <v>0</v>
      </c>
      <c r="G28" s="114" t="b">
        <f t="shared" si="0"/>
        <v>1</v>
      </c>
      <c r="H28" s="114" t="str">
        <f>_xlfn.CONCAT(", ", B28)</f>
        <v>, Interlock with Lighting Circuit</v>
      </c>
    </row>
    <row r="29" spans="1:8" hidden="1" x14ac:dyDescent="0.4">
      <c r="A29" s="114" t="s">
        <v>991</v>
      </c>
      <c r="B29" s="114" t="s">
        <v>418</v>
      </c>
      <c r="D29" s="114">
        <f>VLOOKUP($B29,Parts!$A:$G,IF(D$1="t",4,3),FALSE)*$C29</f>
        <v>0</v>
      </c>
      <c r="E29" s="114">
        <f>VLOOKUP($B29,Parts!$A:$G,IF(E$1="t",4,3),FALSE)*$C29</f>
        <v>0</v>
      </c>
      <c r="F29" s="114">
        <f>IFERROR(IF(A29=B29,0,VLOOKUP(A29,Chiller_Summary!A:E,2,FALSE))*C29,0)</f>
        <v>0</v>
      </c>
      <c r="G29" s="114" t="b">
        <f t="shared" si="0"/>
        <v>0</v>
      </c>
    </row>
    <row r="30" spans="1:8" hidden="1" x14ac:dyDescent="0.4">
      <c r="A30" s="114" t="s">
        <v>991</v>
      </c>
      <c r="B30" s="114" t="s">
        <v>326</v>
      </c>
      <c r="C30" s="114">
        <v>1</v>
      </c>
      <c r="D30" s="114">
        <f>VLOOKUP($B30,Parts!$A:$G,IF(D$1="t",4,3),FALSE)*$C30</f>
        <v>0</v>
      </c>
      <c r="E30" s="114">
        <f>VLOOKUP($B30,Parts!$A:$G,IF(E$1="t",4,3),FALSE)*$C30</f>
        <v>24.2</v>
      </c>
      <c r="F30" s="114">
        <f>IFERROR(IF(A30=B30,0,VLOOKUP(A30,Chiller_Summary!A:E,2,FALSE))*C30,0)</f>
        <v>0</v>
      </c>
      <c r="G30" s="114" t="b">
        <f t="shared" si="0"/>
        <v>0</v>
      </c>
    </row>
    <row r="31" spans="1:8" x14ac:dyDescent="0.4">
      <c r="A31" s="114" t="s">
        <v>993</v>
      </c>
      <c r="B31" s="114" t="s">
        <v>993</v>
      </c>
      <c r="C31" s="114" t="s">
        <v>639</v>
      </c>
      <c r="D31" s="114">
        <f>SUM(D32:D33)</f>
        <v>0</v>
      </c>
      <c r="E31" s="114">
        <f>SUM(E32:E33)</f>
        <v>24.2</v>
      </c>
      <c r="F31" s="114">
        <f>IFERROR(IF(A31=B31,0,VLOOKUP(A31,Chiller_Summary!A:E,2,FALSE))*C31,0)</f>
        <v>0</v>
      </c>
      <c r="G31" s="114" t="b">
        <f t="shared" si="0"/>
        <v>1</v>
      </c>
      <c r="H31" s="114" t="str">
        <f>_xlfn.CONCAT(", ", B31)</f>
        <v>, Interlock with Local Switch</v>
      </c>
    </row>
    <row r="32" spans="1:8" hidden="1" x14ac:dyDescent="0.4">
      <c r="A32" s="114" t="s">
        <v>993</v>
      </c>
      <c r="B32" s="114" t="s">
        <v>418</v>
      </c>
      <c r="D32" s="114">
        <f>VLOOKUP($B32,Parts!$A:$G,IF(D$1="t",4,3),FALSE)*$C32</f>
        <v>0</v>
      </c>
      <c r="E32" s="114">
        <f>VLOOKUP($B32,Parts!$A:$G,IF(E$1="t",4,3),FALSE)*$C32</f>
        <v>0</v>
      </c>
      <c r="F32" s="114">
        <f>IFERROR(IF(A32=B32,0,VLOOKUP(A32,Chiller_Summary!A:E,2,FALSE))*C32,0)</f>
        <v>0</v>
      </c>
      <c r="G32" s="114" t="b">
        <f t="shared" si="0"/>
        <v>0</v>
      </c>
    </row>
    <row r="33" spans="1:8" hidden="1" x14ac:dyDescent="0.4">
      <c r="A33" s="114" t="s">
        <v>993</v>
      </c>
      <c r="B33" s="114" t="s">
        <v>326</v>
      </c>
      <c r="C33" s="114">
        <v>1</v>
      </c>
      <c r="D33" s="114">
        <f>VLOOKUP($B33,Parts!$A:$G,IF(D$1="t",4,3),FALSE)*$C33</f>
        <v>0</v>
      </c>
      <c r="E33" s="114">
        <f>VLOOKUP($B33,Parts!$A:$G,IF(E$1="t",4,3),FALSE)*$C33</f>
        <v>24.2</v>
      </c>
      <c r="F33" s="114">
        <f>IFERROR(IF(A33=B33,0,VLOOKUP(A33,Chiller_Summary!A:E,2,FALSE))*C33,0)</f>
        <v>0</v>
      </c>
      <c r="G33" s="114" t="b">
        <f t="shared" si="0"/>
        <v>0</v>
      </c>
    </row>
    <row r="34" spans="1:8" x14ac:dyDescent="0.4">
      <c r="A34" s="114" t="s">
        <v>1415</v>
      </c>
      <c r="B34" s="114" t="s">
        <v>1415</v>
      </c>
      <c r="C34" s="114" t="s">
        <v>639</v>
      </c>
      <c r="D34" s="114">
        <f>SUM(D35)</f>
        <v>1</v>
      </c>
      <c r="E34" s="114">
        <f>SUM(E35)</f>
        <v>57.95</v>
      </c>
      <c r="F34" s="114">
        <f>IFERROR(IF(A34=B34,0,VLOOKUP(A34,Chiller_Summary!A:E,2,FALSE))*C34,0)</f>
        <v>0</v>
      </c>
      <c r="G34" s="114" t="b">
        <f t="shared" si="0"/>
        <v>1</v>
      </c>
      <c r="H34" s="114" t="s">
        <v>1447</v>
      </c>
    </row>
    <row r="35" spans="1:8" hidden="1" x14ac:dyDescent="0.4">
      <c r="A35" s="114" t="s">
        <v>1415</v>
      </c>
      <c r="B35" s="114" t="s">
        <v>304</v>
      </c>
      <c r="C35" s="114">
        <v>1</v>
      </c>
      <c r="D35" s="114">
        <f>VLOOKUP($B35,Parts!$A:$G,IF(D$1="t",4,3),FALSE)*$C35</f>
        <v>1</v>
      </c>
      <c r="E35" s="114">
        <f>VLOOKUP($B35,Parts!$A:$G,IF(E$1="t",4,3),FALSE)*$C35</f>
        <v>57.95</v>
      </c>
      <c r="F35" s="114">
        <f>IFERROR(IF(A35=B35,0,VLOOKUP(A35,Chiller_Summary!A:E,2,FALSE))*C35,0)</f>
        <v>2</v>
      </c>
      <c r="G35" s="114" t="b">
        <f t="shared" si="0"/>
        <v>0</v>
      </c>
    </row>
    <row r="36" spans="1:8" x14ac:dyDescent="0.4">
      <c r="A36" s="114" t="s">
        <v>1401</v>
      </c>
      <c r="B36" s="114" t="s">
        <v>1401</v>
      </c>
      <c r="C36" s="114" t="s">
        <v>639</v>
      </c>
      <c r="D36" s="114">
        <f>SUM(D37:D41)</f>
        <v>1</v>
      </c>
      <c r="E36" s="114">
        <f>SUM(E37:E41)</f>
        <v>88.25</v>
      </c>
      <c r="F36" s="114">
        <f>IFERROR(IF(A36=B36,0,VLOOKUP(A36,Chiller_Summary!A:E,2,FALSE))*C36,0)</f>
        <v>0</v>
      </c>
      <c r="G36" s="114" t="b">
        <f t="shared" si="0"/>
        <v>1</v>
      </c>
      <c r="H36" s="114" t="s">
        <v>1466</v>
      </c>
    </row>
    <row r="37" spans="1:8" hidden="1" x14ac:dyDescent="0.4">
      <c r="A37" s="114" t="s">
        <v>1401</v>
      </c>
      <c r="B37" s="114" t="s">
        <v>253</v>
      </c>
      <c r="C37" s="114">
        <v>1</v>
      </c>
      <c r="D37" s="114">
        <f>VLOOKUP($B37,Parts!$A:$G,IF(D$1="t",4,3),FALSE)*$C37</f>
        <v>0</v>
      </c>
      <c r="E37" s="114">
        <f>VLOOKUP($B37,Parts!$A:$G,IF(E$1="t",4,3),FALSE)*$C37</f>
        <v>8.4499999999999993</v>
      </c>
      <c r="F37" s="114">
        <f>IFERROR(IF(A37=B37,0,VLOOKUP(A37,Chiller_Summary!A:E,2,FALSE))*C37,0)</f>
        <v>0</v>
      </c>
      <c r="G37" s="114" t="b">
        <f t="shared" si="0"/>
        <v>0</v>
      </c>
    </row>
    <row r="38" spans="1:8" hidden="1" x14ac:dyDescent="0.4">
      <c r="A38" s="114" t="s">
        <v>1401</v>
      </c>
      <c r="B38" s="114" t="s">
        <v>998</v>
      </c>
      <c r="C38" s="114">
        <v>1</v>
      </c>
      <c r="D38" s="114">
        <f>VLOOKUP($B38,Parts!$A:$G,IF(D$1="t",4,3),FALSE)*$C38</f>
        <v>0</v>
      </c>
      <c r="E38" s="114">
        <f>VLOOKUP($B38,Parts!$A:$G,IF(E$1="t",4,3),FALSE)*$C38</f>
        <v>19.8</v>
      </c>
      <c r="F38" s="114">
        <f>IFERROR(IF(A38=B38,0,VLOOKUP(A38,Chiller_Summary!A:E,2,FALSE))*C38,0)</f>
        <v>0</v>
      </c>
      <c r="G38" s="114" t="b">
        <f t="shared" si="0"/>
        <v>0</v>
      </c>
    </row>
    <row r="39" spans="1:8" hidden="1" x14ac:dyDescent="0.4">
      <c r="A39" s="114" t="s">
        <v>1401</v>
      </c>
      <c r="B39" s="114" t="s">
        <v>268</v>
      </c>
      <c r="C39" s="114">
        <v>0</v>
      </c>
      <c r="D39" s="114">
        <f>VLOOKUP($B39,Parts!$A:$G,IF(D$1="t",4,3),FALSE)*$C39</f>
        <v>0</v>
      </c>
      <c r="E39" s="114">
        <f>VLOOKUP($B39,Parts!$A:$G,IF(E$1="t",4,3),FALSE)*$C39</f>
        <v>0</v>
      </c>
      <c r="F39" s="114">
        <f>IFERROR(IF(A39=B39,0,VLOOKUP(A39,Chiller_Summary!A:E,2,FALSE))*C39,0)</f>
        <v>0</v>
      </c>
      <c r="G39" s="114" t="b">
        <f t="shared" si="0"/>
        <v>0</v>
      </c>
    </row>
    <row r="40" spans="1:8" hidden="1" x14ac:dyDescent="0.4">
      <c r="A40" s="114" t="s">
        <v>1401</v>
      </c>
      <c r="B40" s="114" t="s">
        <v>999</v>
      </c>
      <c r="C40" s="114">
        <v>1</v>
      </c>
      <c r="D40" s="114">
        <f>VLOOKUP($B40,Parts!$A:$G,IF(D$1="t",4,3),FALSE)*$C40</f>
        <v>0</v>
      </c>
      <c r="E40" s="114">
        <f>VLOOKUP($B40,Parts!$A:$G,IF(E$1="t",4,3),FALSE)*$C40</f>
        <v>60</v>
      </c>
      <c r="F40" s="114">
        <f>IFERROR(IF(A40=B40,0,VLOOKUP(A40,Chiller_Summary!A:E,2,FALSE))*C40,0)</f>
        <v>0</v>
      </c>
      <c r="G40" s="114" t="b">
        <f t="shared" si="0"/>
        <v>0</v>
      </c>
    </row>
    <row r="41" spans="1:8" hidden="1" x14ac:dyDescent="0.4">
      <c r="A41" s="114" t="s">
        <v>1401</v>
      </c>
      <c r="B41" s="114" t="s">
        <v>1000</v>
      </c>
      <c r="C41" s="114">
        <v>1</v>
      </c>
      <c r="D41" s="114">
        <f>VLOOKUP($B41,Parts!$A:$G,IF(D$1="t",4,3),FALSE)*$C41</f>
        <v>1</v>
      </c>
      <c r="E41" s="114">
        <f>VLOOKUP($B41,Parts!$A:$G,IF(E$1="t",4,3),FALSE)*$C41</f>
        <v>0</v>
      </c>
      <c r="F41" s="114">
        <f>IFERROR(IF(A41=B41,0,VLOOKUP(A41,Chiller_Summary!A:E,2,FALSE))*C41,0)</f>
        <v>0</v>
      </c>
      <c r="G41" s="114" t="b">
        <f t="shared" si="0"/>
        <v>0</v>
      </c>
    </row>
    <row r="42" spans="1:8" x14ac:dyDescent="0.4">
      <c r="A42" s="114" t="s">
        <v>1402</v>
      </c>
      <c r="B42" s="114" t="s">
        <v>1402</v>
      </c>
      <c r="C42" s="114" t="s">
        <v>639</v>
      </c>
      <c r="D42" s="114">
        <f>SUM(D43:D47)</f>
        <v>1.1000000000000001</v>
      </c>
      <c r="E42" s="114">
        <f>SUM(E43:E47)</f>
        <v>89.1</v>
      </c>
      <c r="F42" s="114">
        <f>IFERROR(IF(A42=B42,0,VLOOKUP(A42,Chiller_Summary!A:E,2,FALSE))*C42,0)</f>
        <v>0</v>
      </c>
      <c r="G42" s="114" t="b">
        <f t="shared" si="0"/>
        <v>1</v>
      </c>
      <c r="H42" s="114" t="s">
        <v>1467</v>
      </c>
    </row>
    <row r="43" spans="1:8" hidden="1" x14ac:dyDescent="0.4">
      <c r="A43" s="114" t="s">
        <v>1402</v>
      </c>
      <c r="B43" s="114" t="s">
        <v>253</v>
      </c>
      <c r="C43" s="114">
        <v>1</v>
      </c>
      <c r="D43" s="114">
        <f>VLOOKUP($B43,Parts!$A:$G,IF(D$1="t",4,3),FALSE)*$C43</f>
        <v>0</v>
      </c>
      <c r="E43" s="114">
        <f>VLOOKUP($B43,Parts!$A:$G,IF(E$1="t",4,3),FALSE)*$C43</f>
        <v>8.4499999999999993</v>
      </c>
      <c r="F43" s="114">
        <f>IFERROR(IF(A43=B43,0,VLOOKUP(A43,Chiller_Summary!A:E,2,FALSE))*C43,0)</f>
        <v>0</v>
      </c>
      <c r="G43" s="114" t="b">
        <f t="shared" si="0"/>
        <v>0</v>
      </c>
    </row>
    <row r="44" spans="1:8" hidden="1" x14ac:dyDescent="0.4">
      <c r="A44" s="114" t="s">
        <v>1402</v>
      </c>
      <c r="B44" s="114" t="s">
        <v>998</v>
      </c>
      <c r="C44" s="114">
        <v>1</v>
      </c>
      <c r="D44" s="114">
        <f>VLOOKUP($B44,Parts!$A:$G,IF(D$1="t",4,3),FALSE)*$C44</f>
        <v>0</v>
      </c>
      <c r="E44" s="114">
        <f>VLOOKUP($B44,Parts!$A:$G,IF(E$1="t",4,3),FALSE)*$C44</f>
        <v>19.8</v>
      </c>
      <c r="F44" s="114">
        <f>IFERROR(IF(A44=B44,0,VLOOKUP(A44,Chiller_Summary!A:E,2,FALSE))*C44,0)</f>
        <v>0</v>
      </c>
      <c r="G44" s="114" t="b">
        <f t="shared" si="0"/>
        <v>0</v>
      </c>
    </row>
    <row r="45" spans="1:8" hidden="1" x14ac:dyDescent="0.4">
      <c r="A45" s="114" t="s">
        <v>1402</v>
      </c>
      <c r="B45" s="114" t="s">
        <v>268</v>
      </c>
      <c r="C45" s="114">
        <v>1</v>
      </c>
      <c r="D45" s="114">
        <f>VLOOKUP($B45,Parts!$A:$G,IF(D$1="t",4,3),FALSE)*$C45</f>
        <v>0.1</v>
      </c>
      <c r="E45" s="114">
        <f>VLOOKUP($B45,Parts!$A:$G,IF(E$1="t",4,3),FALSE)*$C45</f>
        <v>0.85</v>
      </c>
      <c r="F45" s="114">
        <f>IFERROR(IF(A45=B45,0,VLOOKUP(A45,Chiller_Summary!A:E,2,FALSE))*C45,0)</f>
        <v>0</v>
      </c>
      <c r="G45" s="114" t="b">
        <f t="shared" si="0"/>
        <v>0</v>
      </c>
    </row>
    <row r="46" spans="1:8" hidden="1" x14ac:dyDescent="0.4">
      <c r="A46" s="114" t="s">
        <v>1402</v>
      </c>
      <c r="B46" s="114" t="s">
        <v>999</v>
      </c>
      <c r="C46" s="114">
        <v>1</v>
      </c>
      <c r="D46" s="114">
        <f>VLOOKUP($B46,Parts!$A:$G,IF(D$1="t",4,3),FALSE)*$C46</f>
        <v>0</v>
      </c>
      <c r="E46" s="114">
        <f>VLOOKUP($B46,Parts!$A:$G,IF(E$1="t",4,3),FALSE)*$C46</f>
        <v>60</v>
      </c>
      <c r="F46" s="114">
        <f>IFERROR(IF(A46=B46,0,VLOOKUP(A46,Chiller_Summary!A:E,2,FALSE))*C46,0)</f>
        <v>0</v>
      </c>
      <c r="G46" s="114" t="b">
        <f t="shared" si="0"/>
        <v>0</v>
      </c>
    </row>
    <row r="47" spans="1:8" hidden="1" x14ac:dyDescent="0.4">
      <c r="A47" s="114" t="s">
        <v>1402</v>
      </c>
      <c r="B47" s="114" t="s">
        <v>1000</v>
      </c>
      <c r="C47" s="114">
        <v>1</v>
      </c>
      <c r="D47" s="114">
        <f>VLOOKUP($B47,Parts!$A:$G,IF(D$1="t",4,3),FALSE)*$C47</f>
        <v>1</v>
      </c>
      <c r="E47" s="114">
        <f>VLOOKUP($B47,Parts!$A:$G,IF(E$1="t",4,3),FALSE)*$C47</f>
        <v>0</v>
      </c>
      <c r="F47" s="114">
        <f>IFERROR(IF(A47=B47,0,VLOOKUP(A47,Chiller_Summary!A:E,2,FALSE))*C47,0)</f>
        <v>0</v>
      </c>
      <c r="G47" s="114" t="b">
        <f t="shared" si="0"/>
        <v>0</v>
      </c>
    </row>
    <row r="48" spans="1:8" x14ac:dyDescent="0.4">
      <c r="A48" s="114" t="s">
        <v>1418</v>
      </c>
      <c r="B48" s="114" t="s">
        <v>1418</v>
      </c>
      <c r="C48" s="114" t="s">
        <v>639</v>
      </c>
      <c r="D48" s="114">
        <f>SUM(D49:D51)</f>
        <v>0</v>
      </c>
      <c r="E48" s="114">
        <f>SUM(E49:E51)</f>
        <v>331.4</v>
      </c>
      <c r="F48" s="114">
        <f>IFERROR(IF(A48=B48,0,VLOOKUP(A48,Chiller_Summary!A:E,2,FALSE))*C48,0)</f>
        <v>0</v>
      </c>
      <c r="G48" s="114" t="b">
        <f t="shared" si="0"/>
        <v>1</v>
      </c>
      <c r="H48" s="114" t="s">
        <v>1444</v>
      </c>
    </row>
    <row r="49" spans="1:8" hidden="1" x14ac:dyDescent="0.4">
      <c r="A49" s="114" t="s">
        <v>1418</v>
      </c>
      <c r="B49" s="114" t="s">
        <v>985</v>
      </c>
      <c r="C49" s="114">
        <v>1</v>
      </c>
      <c r="D49" s="114">
        <f>VLOOKUP($B49,Parts!$A:$G,IF(D$1="t",4,3),FALSE)*$C49</f>
        <v>0</v>
      </c>
      <c r="E49" s="114">
        <f>VLOOKUP($B49,Parts!$A:$G,IF(E$1="t",4,3),FALSE)*$C49</f>
        <v>307.2</v>
      </c>
      <c r="F49" s="114">
        <f>IFERROR(IF(A49=B49,0,VLOOKUP(A49,Chiller_Summary!A:E,2,FALSE))*C49,0)</f>
        <v>0</v>
      </c>
      <c r="G49" s="114" t="b">
        <f t="shared" si="0"/>
        <v>0</v>
      </c>
    </row>
    <row r="50" spans="1:8" hidden="1" x14ac:dyDescent="0.4">
      <c r="A50" s="114" t="s">
        <v>1418</v>
      </c>
      <c r="B50" s="114" t="s">
        <v>418</v>
      </c>
      <c r="D50" s="114">
        <f>VLOOKUP($B50,Parts!$A:$G,IF(D$1="t",4,3),FALSE)*$C50</f>
        <v>0</v>
      </c>
      <c r="E50" s="114">
        <f>VLOOKUP($B50,Parts!$A:$G,IF(E$1="t",4,3),FALSE)*$C50</f>
        <v>0</v>
      </c>
      <c r="F50" s="114">
        <f>IFERROR(IF(A50=B50,0,VLOOKUP(A50,Chiller_Summary!A:E,2,FALSE))*C50,0)</f>
        <v>0</v>
      </c>
      <c r="G50" s="114" t="b">
        <f t="shared" si="0"/>
        <v>0</v>
      </c>
    </row>
    <row r="51" spans="1:8" hidden="1" x14ac:dyDescent="0.4">
      <c r="A51" s="114" t="s">
        <v>1418</v>
      </c>
      <c r="B51" s="114" t="s">
        <v>326</v>
      </c>
      <c r="C51" s="114">
        <v>1</v>
      </c>
      <c r="D51" s="114">
        <f>VLOOKUP($B51,Parts!$A:$G,IF(D$1="t",4,3),FALSE)*$C51</f>
        <v>0</v>
      </c>
      <c r="E51" s="114">
        <f>VLOOKUP($B51,Parts!$A:$G,IF(E$1="t",4,3),FALSE)*$C51</f>
        <v>24.2</v>
      </c>
      <c r="F51" s="114">
        <f>IFERROR(IF(A51=B51,0,VLOOKUP(A51,Chiller_Summary!A:E,2,FALSE))*C51,0)</f>
        <v>0</v>
      </c>
      <c r="G51" s="114" t="b">
        <f t="shared" si="0"/>
        <v>0</v>
      </c>
    </row>
    <row r="52" spans="1:8" x14ac:dyDescent="0.4">
      <c r="A52" s="114" t="s">
        <v>678</v>
      </c>
      <c r="B52" s="114" t="s">
        <v>678</v>
      </c>
      <c r="C52" s="114" t="s">
        <v>639</v>
      </c>
      <c r="D52" s="114">
        <f>SUM(D53:D60)</f>
        <v>2</v>
      </c>
      <c r="E52" s="114">
        <f>SUM(E53:E60)</f>
        <v>553.25</v>
      </c>
      <c r="F52" s="114">
        <f>IFERROR(IF(A52=B52,0,VLOOKUP(A52,Chiller_Summary!A:E,2,FALSE))*C52,0)</f>
        <v>0</v>
      </c>
      <c r="G52" s="114" t="b">
        <f t="shared" si="0"/>
        <v>1</v>
      </c>
      <c r="H52" s="114" t="s">
        <v>1465</v>
      </c>
    </row>
    <row r="53" spans="1:8" hidden="1" x14ac:dyDescent="0.4">
      <c r="A53" s="114" t="s">
        <v>678</v>
      </c>
      <c r="B53" s="114" t="s">
        <v>253</v>
      </c>
      <c r="C53" s="114">
        <v>1</v>
      </c>
      <c r="D53" s="114">
        <f>VLOOKUP($B53,Parts!$A:$G,IF(D$1="t",4,3),FALSE)*$C53</f>
        <v>0</v>
      </c>
      <c r="E53" s="114">
        <f>VLOOKUP($B53,Parts!$A:$G,IF(E$1="t",4,3),FALSE)*$C53</f>
        <v>8.4499999999999993</v>
      </c>
      <c r="F53" s="114">
        <f>IFERROR(IF(A53=B53,0,VLOOKUP(A53,Chiller_Summary!A:E,2,FALSE))*C53,0)</f>
        <v>0</v>
      </c>
      <c r="G53" s="114" t="b">
        <f t="shared" si="0"/>
        <v>0</v>
      </c>
    </row>
    <row r="54" spans="1:8" hidden="1" x14ac:dyDescent="0.4">
      <c r="A54" s="114" t="s">
        <v>678</v>
      </c>
      <c r="B54" s="114" t="s">
        <v>998</v>
      </c>
      <c r="C54" s="114">
        <v>1</v>
      </c>
      <c r="D54" s="114">
        <f>VLOOKUP($B54,Parts!$A:$G,IF(D$1="t",4,3),FALSE)*$C54</f>
        <v>0</v>
      </c>
      <c r="E54" s="114">
        <f>VLOOKUP($B54,Parts!$A:$G,IF(E$1="t",4,3),FALSE)*$C54</f>
        <v>19.8</v>
      </c>
      <c r="F54" s="114">
        <f>IFERROR(IF(A54=B54,0,VLOOKUP(A54,Chiller_Summary!A:E,2,FALSE))*C54,0)</f>
        <v>0</v>
      </c>
      <c r="G54" s="114" t="b">
        <f t="shared" si="0"/>
        <v>0</v>
      </c>
    </row>
    <row r="55" spans="1:8" hidden="1" x14ac:dyDescent="0.4">
      <c r="A55" s="114" t="s">
        <v>678</v>
      </c>
      <c r="B55" s="114" t="s">
        <v>268</v>
      </c>
      <c r="D55" s="114">
        <f>VLOOKUP($B55,Parts!$A:$G,IF(D$1="t",4,3),FALSE)*$C55</f>
        <v>0</v>
      </c>
      <c r="E55" s="114">
        <f>VLOOKUP($B55,Parts!$A:$G,IF(E$1="t",4,3),FALSE)*$C55</f>
        <v>0</v>
      </c>
      <c r="F55" s="114">
        <f>IFERROR(IF(A55=B55,0,VLOOKUP(A55,Chiller_Summary!A:E,2,FALSE))*C55,0)</f>
        <v>0</v>
      </c>
      <c r="G55" s="114" t="b">
        <f t="shared" si="0"/>
        <v>0</v>
      </c>
    </row>
    <row r="56" spans="1:8" hidden="1" x14ac:dyDescent="0.4">
      <c r="A56" s="114" t="s">
        <v>678</v>
      </c>
      <c r="B56" s="114" t="s">
        <v>304</v>
      </c>
      <c r="C56" s="114">
        <v>1</v>
      </c>
      <c r="D56" s="114">
        <f>VLOOKUP($B56,Parts!$A:$G,IF(D$1="t",4,3),FALSE)*$C56</f>
        <v>1</v>
      </c>
      <c r="E56" s="114">
        <f>VLOOKUP($B56,Parts!$A:$G,IF(E$1="t",4,3),FALSE)*$C56</f>
        <v>57.95</v>
      </c>
      <c r="F56" s="114">
        <f>IFERROR(IF(A56=B56,0,VLOOKUP(A56,Chiller_Summary!A:E,2,FALSE))*C56,0)</f>
        <v>0</v>
      </c>
      <c r="G56" s="114" t="b">
        <f t="shared" si="0"/>
        <v>0</v>
      </c>
    </row>
    <row r="57" spans="1:8" hidden="1" x14ac:dyDescent="0.4">
      <c r="A57" s="114" t="s">
        <v>678</v>
      </c>
      <c r="B57" s="114" t="s">
        <v>1344</v>
      </c>
      <c r="C57" s="114">
        <v>1</v>
      </c>
      <c r="D57" s="114">
        <f>VLOOKUP($B57,Parts!$A:$G,IF(D$1="t",4,3),FALSE)*$C57</f>
        <v>0</v>
      </c>
      <c r="E57" s="114">
        <f>VLOOKUP($B57,Parts!$A:$G,IF(E$1="t",4,3),FALSE)*$C57</f>
        <v>91.05</v>
      </c>
      <c r="F57" s="114">
        <f>IFERROR(IF(A57=B57,0,VLOOKUP(A57,Chiller_Summary!A:E,2,FALSE))*C57,0)</f>
        <v>0</v>
      </c>
      <c r="G57" s="114" t="b">
        <f t="shared" si="0"/>
        <v>0</v>
      </c>
    </row>
    <row r="58" spans="1:8" hidden="1" x14ac:dyDescent="0.4">
      <c r="A58" s="114" t="s">
        <v>678</v>
      </c>
      <c r="B58" s="114" t="s">
        <v>1003</v>
      </c>
      <c r="C58" s="114">
        <v>1</v>
      </c>
      <c r="D58" s="114">
        <f>VLOOKUP($B58,Parts!$A:$G,IF(D$1="t",4,3),FALSE)*$C58</f>
        <v>0</v>
      </c>
      <c r="E58" s="114">
        <f>VLOOKUP($B58,Parts!$A:$G,IF(E$1="t",4,3),FALSE)*$C58</f>
        <v>16</v>
      </c>
      <c r="F58" s="114">
        <f>IFERROR(IF(A58=B58,0,VLOOKUP(A58,Chiller_Summary!A:E,2,FALSE))*C58,0)</f>
        <v>0</v>
      </c>
      <c r="G58" s="114" t="b">
        <f t="shared" si="0"/>
        <v>0</v>
      </c>
    </row>
    <row r="59" spans="1:8" hidden="1" x14ac:dyDescent="0.4">
      <c r="A59" s="114" t="s">
        <v>678</v>
      </c>
      <c r="B59" s="114" t="s">
        <v>1004</v>
      </c>
      <c r="C59" s="114">
        <v>1</v>
      </c>
      <c r="D59" s="114">
        <f>VLOOKUP($B59,Parts!$A:$G,IF(D$1="t",4,3),FALSE)*$C59</f>
        <v>0</v>
      </c>
      <c r="E59" s="114">
        <f>VLOOKUP($B59,Parts!$A:$G,IF(E$1="t",4,3),FALSE)*$C59</f>
        <v>360</v>
      </c>
      <c r="F59" s="114">
        <f>IFERROR(IF(A59=B59,0,VLOOKUP(A59,Chiller_Summary!A:E,2,FALSE))*C59,0)</f>
        <v>0</v>
      </c>
      <c r="G59" s="114" t="b">
        <f t="shared" si="0"/>
        <v>0</v>
      </c>
    </row>
    <row r="60" spans="1:8" hidden="1" x14ac:dyDescent="0.4">
      <c r="A60" s="114" t="s">
        <v>678</v>
      </c>
      <c r="B60" s="114" t="s">
        <v>1000</v>
      </c>
      <c r="C60" s="114">
        <v>1</v>
      </c>
      <c r="D60" s="114">
        <f>VLOOKUP($B60,Parts!$A:$G,IF(D$1="t",4,3),FALSE)*$C60</f>
        <v>1</v>
      </c>
      <c r="E60" s="114">
        <f>VLOOKUP($B60,Parts!$A:$G,IF(E$1="t",4,3),FALSE)*$C60</f>
        <v>0</v>
      </c>
      <c r="F60" s="114">
        <f>IFERROR(IF(A60=B60,0,VLOOKUP(A60,Chiller_Summary!A:E,2,FALSE))*C60,0)</f>
        <v>0</v>
      </c>
      <c r="G60" s="114" t="b">
        <f t="shared" si="0"/>
        <v>0</v>
      </c>
    </row>
    <row r="61" spans="1:8" x14ac:dyDescent="0.4">
      <c r="A61" s="114" t="s">
        <v>1419</v>
      </c>
      <c r="B61" s="114" t="s">
        <v>1419</v>
      </c>
      <c r="C61" s="114" t="s">
        <v>639</v>
      </c>
      <c r="D61" s="114">
        <f>SUM(D62:D64)</f>
        <v>0</v>
      </c>
      <c r="E61" s="114">
        <f>SUM(E62:E64)</f>
        <v>84.2</v>
      </c>
      <c r="F61" s="114">
        <f>IFERROR(IF(A61=B61,0,VLOOKUP(A61,Chiller_Summary!A:E,2,FALSE))*C61,0)</f>
        <v>0</v>
      </c>
      <c r="G61" s="114" t="b">
        <f t="shared" si="0"/>
        <v>1</v>
      </c>
      <c r="H61" s="114" t="s">
        <v>1443</v>
      </c>
    </row>
    <row r="62" spans="1:8" hidden="1" x14ac:dyDescent="0.4">
      <c r="A62" s="114" t="s">
        <v>1419</v>
      </c>
      <c r="B62" s="114" t="s">
        <v>669</v>
      </c>
      <c r="C62" s="114">
        <v>1</v>
      </c>
      <c r="D62" s="114">
        <f>VLOOKUP($B62,Parts!$A:$G,IF(D$1="t",4,3),FALSE)*$C62</f>
        <v>0</v>
      </c>
      <c r="E62" s="114">
        <f>VLOOKUP($B62,Parts!$A:$G,IF(E$1="t",4,3),FALSE)*$C62</f>
        <v>60</v>
      </c>
      <c r="F62" s="114">
        <f>IFERROR(IF(A62=B62,0,VLOOKUP(A62,Chiller_Summary!A:E,2,FALSE))*C62,0)</f>
        <v>0</v>
      </c>
      <c r="G62" s="114" t="b">
        <f t="shared" si="0"/>
        <v>0</v>
      </c>
    </row>
    <row r="63" spans="1:8" hidden="1" x14ac:dyDescent="0.4">
      <c r="A63" s="114" t="s">
        <v>1419</v>
      </c>
      <c r="B63" s="114" t="s">
        <v>418</v>
      </c>
      <c r="D63" s="114">
        <f>VLOOKUP($B63,Parts!$A:$G,IF(D$1="t",4,3),FALSE)*$C63</f>
        <v>0</v>
      </c>
      <c r="E63" s="114">
        <f>VLOOKUP($B63,Parts!$A:$G,IF(E$1="t",4,3),FALSE)*$C63</f>
        <v>0</v>
      </c>
      <c r="F63" s="114">
        <f>IFERROR(IF(A63=B63,0,VLOOKUP(A63,Chiller_Summary!A:E,2,FALSE))*C63,0)</f>
        <v>0</v>
      </c>
      <c r="G63" s="114" t="b">
        <f t="shared" si="0"/>
        <v>0</v>
      </c>
    </row>
    <row r="64" spans="1:8" hidden="1" x14ac:dyDescent="0.4">
      <c r="A64" s="114" t="s">
        <v>1419</v>
      </c>
      <c r="B64" s="114" t="s">
        <v>326</v>
      </c>
      <c r="C64" s="114">
        <v>1</v>
      </c>
      <c r="D64" s="114">
        <f>VLOOKUP($B64,Parts!$A:$G,IF(D$1="t",4,3),FALSE)*$C64</f>
        <v>0</v>
      </c>
      <c r="E64" s="114">
        <f>VLOOKUP($B64,Parts!$A:$G,IF(E$1="t",4,3),FALSE)*$C64</f>
        <v>24.2</v>
      </c>
      <c r="F64" s="114">
        <f>IFERROR(IF(A64=B64,0,VLOOKUP(A64,Chiller_Summary!A:E,2,FALSE))*C64,0)</f>
        <v>0</v>
      </c>
      <c r="G64" s="114" t="b">
        <f t="shared" si="0"/>
        <v>0</v>
      </c>
    </row>
    <row r="65" spans="1:8" x14ac:dyDescent="0.4">
      <c r="A65" s="114" t="s">
        <v>1412</v>
      </c>
      <c r="B65" s="114" t="s">
        <v>1412</v>
      </c>
      <c r="C65" s="114" t="s">
        <v>639</v>
      </c>
      <c r="D65" s="114">
        <f>SUM(D66:D68)</f>
        <v>0</v>
      </c>
      <c r="E65" s="114">
        <f>SUM(E66:E68)</f>
        <v>39.4</v>
      </c>
      <c r="F65" s="114">
        <f>IFERROR(IF(A65=B65,0,VLOOKUP(A65,Chiller_Summary!A:E,2,FALSE))*C65,0)</f>
        <v>0</v>
      </c>
      <c r="G65" s="114" t="b">
        <f t="shared" si="0"/>
        <v>1</v>
      </c>
      <c r="H65" s="114" t="s">
        <v>1450</v>
      </c>
    </row>
    <row r="66" spans="1:8" hidden="1" x14ac:dyDescent="0.4">
      <c r="A66" s="114" t="s">
        <v>1412</v>
      </c>
      <c r="B66" s="114" t="s">
        <v>269</v>
      </c>
      <c r="D66" s="114">
        <f>VLOOKUP($B66,Parts!$A:$G,IF(D$1="t",4,3),FALSE)*$C66</f>
        <v>0</v>
      </c>
      <c r="E66" s="114">
        <f>VLOOKUP($B66,Parts!$A:$G,IF(E$1="t",4,3),FALSE)*$C66</f>
        <v>0</v>
      </c>
      <c r="F66" s="114">
        <f>IFERROR(IF(A66=B66,0,VLOOKUP(A66,Chiller_Summary!A:E,2,FALSE))*C66,0)</f>
        <v>0</v>
      </c>
      <c r="G66" s="114" t="b">
        <f t="shared" si="0"/>
        <v>0</v>
      </c>
    </row>
    <row r="67" spans="1:8" hidden="1" x14ac:dyDescent="0.4">
      <c r="A67" s="114" t="s">
        <v>1412</v>
      </c>
      <c r="B67" s="114" t="s">
        <v>831</v>
      </c>
      <c r="C67" s="114">
        <v>1</v>
      </c>
      <c r="D67" s="114">
        <f>VLOOKUP($B67,Parts!$A:$G,IF(D$1="t",4,3),FALSE)*$C67</f>
        <v>0</v>
      </c>
      <c r="E67" s="114">
        <f>VLOOKUP($B67,Parts!$A:$G,IF(E$1="t",4,3),FALSE)*$C67</f>
        <v>23.4</v>
      </c>
      <c r="F67" s="114">
        <f>IFERROR(IF(A67=B67,0,VLOOKUP(A67,Chiller_Summary!A:E,2,FALSE))*C67,0)</f>
        <v>2</v>
      </c>
      <c r="G67" s="114" t="b">
        <f t="shared" ref="G67:G130" si="1">A67=B67</f>
        <v>0</v>
      </c>
    </row>
    <row r="68" spans="1:8" hidden="1" x14ac:dyDescent="0.4">
      <c r="A68" s="114" t="s">
        <v>1412</v>
      </c>
      <c r="B68" s="114" t="s">
        <v>1003</v>
      </c>
      <c r="C68" s="114">
        <v>1</v>
      </c>
      <c r="D68" s="114">
        <f>VLOOKUP($B68,Parts!$A:$G,IF(D$1="t",4,3),FALSE)*$C68</f>
        <v>0</v>
      </c>
      <c r="E68" s="114">
        <f>VLOOKUP($B68,Parts!$A:$G,IF(E$1="t",4,3),FALSE)*$C68</f>
        <v>16</v>
      </c>
      <c r="F68" s="114">
        <f>IFERROR(IF(A68=B68,0,VLOOKUP(A68,Chiller_Summary!A:E,2,FALSE))*C68,0)</f>
        <v>2</v>
      </c>
      <c r="G68" s="114" t="b">
        <f t="shared" si="1"/>
        <v>0</v>
      </c>
    </row>
    <row r="69" spans="1:8" x14ac:dyDescent="0.4">
      <c r="A69" s="114" t="s">
        <v>1414</v>
      </c>
      <c r="B69" s="114" t="s">
        <v>1414</v>
      </c>
      <c r="C69" s="114" t="s">
        <v>639</v>
      </c>
      <c r="D69" s="114">
        <f>SUM(D70:D71)</f>
        <v>0</v>
      </c>
      <c r="E69" s="114">
        <f>SUM(E70:E71)</f>
        <v>23.4</v>
      </c>
      <c r="F69" s="114">
        <f>IFERROR(IF(A69=B69,0,VLOOKUP(A69,Chiller_Summary!A:E,2,FALSE))*C69,0)</f>
        <v>0</v>
      </c>
      <c r="G69" s="114" t="b">
        <f t="shared" si="1"/>
        <v>1</v>
      </c>
      <c r="H69" s="114" t="s">
        <v>1448</v>
      </c>
    </row>
    <row r="70" spans="1:8" hidden="1" x14ac:dyDescent="0.4">
      <c r="A70" s="114" t="s">
        <v>1414</v>
      </c>
      <c r="B70" s="114" t="s">
        <v>269</v>
      </c>
      <c r="D70" s="114">
        <f>VLOOKUP($B70,Parts!$A:$G,IF(D$1="t",4,3),FALSE)*$C70</f>
        <v>0</v>
      </c>
      <c r="E70" s="114">
        <f>VLOOKUP($B70,Parts!$A:$G,IF(E$1="t",4,3),FALSE)*$C70</f>
        <v>0</v>
      </c>
      <c r="F70" s="114">
        <f>IFERROR(IF(A70=B70,0,VLOOKUP(A70,Chiller_Summary!A:E,2,FALSE))*C70,0)</f>
        <v>0</v>
      </c>
      <c r="G70" s="114" t="b">
        <f t="shared" si="1"/>
        <v>0</v>
      </c>
    </row>
    <row r="71" spans="1:8" hidden="1" x14ac:dyDescent="0.4">
      <c r="A71" s="114" t="s">
        <v>1414</v>
      </c>
      <c r="B71" s="114" t="s">
        <v>831</v>
      </c>
      <c r="C71" s="114">
        <v>1</v>
      </c>
      <c r="D71" s="114">
        <f>VLOOKUP($B71,Parts!$A:$G,IF(D$1="t",4,3),FALSE)*$C71</f>
        <v>0</v>
      </c>
      <c r="E71" s="114">
        <f>VLOOKUP($B71,Parts!$A:$G,IF(E$1="t",4,3),FALSE)*$C71</f>
        <v>23.4</v>
      </c>
      <c r="F71" s="114">
        <f>IFERROR(IF(A71=B71,0,VLOOKUP(A71,Chiller_Summary!A:E,2,FALSE))*C71,0)</f>
        <v>2</v>
      </c>
      <c r="G71" s="114" t="b">
        <f t="shared" si="1"/>
        <v>0</v>
      </c>
    </row>
    <row r="72" spans="1:8" x14ac:dyDescent="0.4">
      <c r="A72" s="114" t="s">
        <v>1417</v>
      </c>
      <c r="B72" s="114" t="s">
        <v>1417</v>
      </c>
      <c r="C72" s="114" t="s">
        <v>639</v>
      </c>
      <c r="D72" s="114">
        <f>SUM(D73)</f>
        <v>1</v>
      </c>
      <c r="E72" s="114">
        <f>SUM(E73)</f>
        <v>60</v>
      </c>
      <c r="F72" s="114">
        <f>IFERROR(IF(A72=B72,0,VLOOKUP(A72,Chiller_Summary!A:E,2,FALSE))*C72,0)</f>
        <v>0</v>
      </c>
      <c r="G72" s="114" t="b">
        <f t="shared" si="1"/>
        <v>1</v>
      </c>
      <c r="H72" s="114" t="s">
        <v>1445</v>
      </c>
    </row>
    <row r="73" spans="1:8" hidden="1" x14ac:dyDescent="0.4">
      <c r="A73" s="114" t="s">
        <v>1417</v>
      </c>
      <c r="B73" s="114" t="s">
        <v>986</v>
      </c>
      <c r="C73" s="114">
        <v>1</v>
      </c>
      <c r="D73" s="114">
        <f>VLOOKUP($B73,Parts!$A:$G,IF(D$1="t",4,3),FALSE)*$C73</f>
        <v>1</v>
      </c>
      <c r="E73" s="114">
        <f>VLOOKUP($B73,Parts!$A:$G,IF(E$1="t",4,3),FALSE)*$C73</f>
        <v>60</v>
      </c>
      <c r="F73" s="114">
        <f>IFERROR(IF(A73=B73,0,VLOOKUP(A73,Chiller_Summary!A:E,2,FALSE))*C73,0)</f>
        <v>2</v>
      </c>
      <c r="G73" s="114" t="b">
        <f t="shared" si="1"/>
        <v>0</v>
      </c>
    </row>
    <row r="74" spans="1:8" x14ac:dyDescent="0.4">
      <c r="A74" s="114" t="s">
        <v>1416</v>
      </c>
      <c r="B74" s="114" t="s">
        <v>1416</v>
      </c>
      <c r="C74" s="114" t="s">
        <v>639</v>
      </c>
      <c r="D74" s="114">
        <f>SUM(D75)</f>
        <v>2</v>
      </c>
      <c r="E74" s="114">
        <f>SUM(E75)</f>
        <v>80</v>
      </c>
      <c r="F74" s="114">
        <f>IFERROR(IF(A74=B74,0,VLOOKUP(A74,Chiller_Summary!A:E,2,FALSE))*C74,0)</f>
        <v>0</v>
      </c>
      <c r="G74" s="114" t="b">
        <f t="shared" si="1"/>
        <v>1</v>
      </c>
      <c r="H74" s="114" t="s">
        <v>1446</v>
      </c>
    </row>
    <row r="75" spans="1:8" hidden="1" x14ac:dyDescent="0.4">
      <c r="A75" s="114" t="s">
        <v>1416</v>
      </c>
      <c r="B75" s="114" t="s">
        <v>588</v>
      </c>
      <c r="C75" s="114">
        <v>1</v>
      </c>
      <c r="D75" s="114">
        <f>VLOOKUP($B75,Parts!$A:$G,IF(D$1="t",4,3),FALSE)*$C75</f>
        <v>2</v>
      </c>
      <c r="E75" s="114">
        <f>VLOOKUP($B75,Parts!$A:$G,IF(E$1="t",4,3),FALSE)*$C75</f>
        <v>80</v>
      </c>
      <c r="F75" s="114">
        <f>IFERROR(IF(A75=B75,0,VLOOKUP(A75,Chiller_Summary!A:E,2,FALSE))*C75,0)</f>
        <v>2</v>
      </c>
      <c r="G75" s="114" t="b">
        <f t="shared" si="1"/>
        <v>0</v>
      </c>
    </row>
    <row r="76" spans="1:8" x14ac:dyDescent="0.4">
      <c r="A76" s="114" t="s">
        <v>1430</v>
      </c>
      <c r="B76" s="114" t="s">
        <v>1430</v>
      </c>
      <c r="D76" s="114">
        <f>SUM(D77:D82)</f>
        <v>1.5</v>
      </c>
      <c r="E76" s="114">
        <f>SUM(E77:E82)</f>
        <v>28.25</v>
      </c>
      <c r="F76" s="114">
        <f>IFERROR(IF(A76=B76,0,VLOOKUP(A76,Chiller_Summary!A:E,2,FALSE))*C76,0)</f>
        <v>0</v>
      </c>
      <c r="G76" s="114" t="b">
        <f t="shared" si="1"/>
        <v>1</v>
      </c>
    </row>
    <row r="77" spans="1:8" hidden="1" x14ac:dyDescent="0.4">
      <c r="A77" s="114" t="s">
        <v>1430</v>
      </c>
      <c r="B77" s="114" t="s">
        <v>253</v>
      </c>
      <c r="C77" s="114">
        <v>1</v>
      </c>
      <c r="D77" s="114">
        <f>VLOOKUP($B77,Parts!$A:$G,IF(D$1="t",4,3),FALSE)*$C77</f>
        <v>0</v>
      </c>
      <c r="E77" s="114">
        <f>VLOOKUP($B77,Parts!$A:$G,IF(E$1="t",4,3),FALSE)*$C77</f>
        <v>8.4499999999999993</v>
      </c>
      <c r="F77" s="114">
        <f>IFERROR(IF(A77=B77,0,VLOOKUP(A77,Chiller_Summary!A:E,2,FALSE))*C77,0)</f>
        <v>0</v>
      </c>
      <c r="G77" s="114" t="b">
        <f t="shared" si="1"/>
        <v>0</v>
      </c>
    </row>
    <row r="78" spans="1:8" hidden="1" x14ac:dyDescent="0.4">
      <c r="A78" s="114" t="s">
        <v>1430</v>
      </c>
      <c r="B78" s="114" t="s">
        <v>998</v>
      </c>
      <c r="C78" s="114">
        <v>1</v>
      </c>
      <c r="D78" s="114">
        <f>VLOOKUP($B78,Parts!$A:$G,IF(D$1="t",4,3),FALSE)*$C78</f>
        <v>0</v>
      </c>
      <c r="E78" s="114">
        <f>VLOOKUP($B78,Parts!$A:$G,IF(E$1="t",4,3),FALSE)*$C78</f>
        <v>19.8</v>
      </c>
      <c r="F78" s="114">
        <f>IFERROR(IF(A78=B78,0,VLOOKUP(A78,Chiller_Summary!A:E,2,FALSE))*C78,0)</f>
        <v>0</v>
      </c>
      <c r="G78" s="114" t="b">
        <f t="shared" si="1"/>
        <v>0</v>
      </c>
    </row>
    <row r="79" spans="1:8" hidden="1" x14ac:dyDescent="0.4">
      <c r="A79" s="114" t="s">
        <v>1430</v>
      </c>
      <c r="B79" s="114" t="s">
        <v>268</v>
      </c>
      <c r="D79" s="114">
        <f>VLOOKUP($B79,Parts!$A:$G,IF(D$1="t",4,3),FALSE)*$C79</f>
        <v>0</v>
      </c>
      <c r="E79" s="114">
        <f>VLOOKUP($B79,Parts!$A:$G,IF(E$1="t",4,3),FALSE)*$C79</f>
        <v>0</v>
      </c>
      <c r="F79" s="114">
        <f>IFERROR(IF(A79=B79,0,VLOOKUP(A79,Chiller_Summary!A:E,2,FALSE))*C79,0)</f>
        <v>0</v>
      </c>
      <c r="G79" s="114" t="b">
        <f t="shared" si="1"/>
        <v>0</v>
      </c>
    </row>
    <row r="80" spans="1:8" hidden="1" x14ac:dyDescent="0.4">
      <c r="A80" s="114" t="s">
        <v>1430</v>
      </c>
      <c r="B80" s="114" t="s">
        <v>269</v>
      </c>
      <c r="D80" s="114">
        <f>VLOOKUP($B80,Parts!$A:$G,IF(D$1="t",4,3),FALSE)*$C80</f>
        <v>0</v>
      </c>
      <c r="E80" s="114">
        <f>VLOOKUP($B80,Parts!$A:$G,IF(E$1="t",4,3),FALSE)*$C80</f>
        <v>0</v>
      </c>
      <c r="F80" s="114">
        <f>IFERROR(IF(A80=B80,0,VLOOKUP(A80,Chiller_Summary!A:E,2,FALSE))*C80,0)</f>
        <v>0</v>
      </c>
      <c r="G80" s="114" t="b">
        <f t="shared" si="1"/>
        <v>0</v>
      </c>
    </row>
    <row r="81" spans="1:7" hidden="1" x14ac:dyDescent="0.4">
      <c r="A81" s="114" t="s">
        <v>1430</v>
      </c>
      <c r="B81" s="114" t="s">
        <v>1035</v>
      </c>
      <c r="C81" s="114">
        <v>1</v>
      </c>
      <c r="D81" s="114">
        <f>VLOOKUP($B81,Parts!$A:$G,IF(D$1="t",4,3),FALSE)*$C81</f>
        <v>0.5</v>
      </c>
      <c r="E81" s="114">
        <f>VLOOKUP($B81,Parts!$A:$G,IF(E$1="t",4,3),FALSE)*$C81</f>
        <v>0</v>
      </c>
      <c r="F81" s="114">
        <f>IFERROR(IF(A81=B81,0,VLOOKUP(A81,Chiller_Summary!A:E,2,FALSE))*C81,0)</f>
        <v>0</v>
      </c>
      <c r="G81" s="114" t="b">
        <f t="shared" si="1"/>
        <v>0</v>
      </c>
    </row>
    <row r="82" spans="1:7" hidden="1" x14ac:dyDescent="0.4">
      <c r="A82" s="114" t="s">
        <v>1430</v>
      </c>
      <c r="B82" s="114" t="s">
        <v>239</v>
      </c>
      <c r="C82" s="114">
        <v>1</v>
      </c>
      <c r="D82" s="114">
        <f>VLOOKUP($B82,Parts!$A:$G,IF(D$1="t",4,3),FALSE)*$C82</f>
        <v>1</v>
      </c>
      <c r="E82" s="114">
        <f>VLOOKUP($B82,Parts!$A:$G,IF(E$1="t",4,3),FALSE)*$C82</f>
        <v>0</v>
      </c>
      <c r="F82" s="114">
        <f>IFERROR(IF(A82=B82,0,VLOOKUP(A82,Chiller_Summary!A:E,2,FALSE))*C82,0)</f>
        <v>0</v>
      </c>
      <c r="G82" s="114" t="b">
        <f t="shared" si="1"/>
        <v>0</v>
      </c>
    </row>
    <row r="83" spans="1:7" x14ac:dyDescent="0.4">
      <c r="A83" s="114" t="s">
        <v>1431</v>
      </c>
      <c r="B83" s="114" t="s">
        <v>1431</v>
      </c>
      <c r="D83" s="114">
        <f>SUM(D84:D89)</f>
        <v>1.5</v>
      </c>
      <c r="E83" s="114">
        <f>SUM(E84:E89)</f>
        <v>8.4499999999999993</v>
      </c>
      <c r="F83" s="114">
        <f>IFERROR(IF(A83=B83,0,VLOOKUP(A83,Chiller_Summary!A:E,2,FALSE))*C83,0)</f>
        <v>0</v>
      </c>
      <c r="G83" s="114" t="b">
        <f t="shared" si="1"/>
        <v>1</v>
      </c>
    </row>
    <row r="84" spans="1:7" hidden="1" x14ac:dyDescent="0.4">
      <c r="A84" s="114" t="s">
        <v>1431</v>
      </c>
      <c r="B84" s="114" t="s">
        <v>253</v>
      </c>
      <c r="C84" s="114">
        <v>1</v>
      </c>
      <c r="D84" s="114">
        <f>VLOOKUP($B84,Parts!$A:$G,IF(D$1="t",4,3),FALSE)*$C84</f>
        <v>0</v>
      </c>
      <c r="E84" s="114">
        <f>VLOOKUP($B84,Parts!$A:$G,IF(E$1="t",4,3),FALSE)*$C84</f>
        <v>8.4499999999999993</v>
      </c>
      <c r="F84" s="114">
        <f>IFERROR(IF(A84=B84,0,VLOOKUP(A84,Chiller_Summary!A:E,2,FALSE))*C84,0)</f>
        <v>0</v>
      </c>
      <c r="G84" s="114" t="b">
        <f t="shared" si="1"/>
        <v>0</v>
      </c>
    </row>
    <row r="85" spans="1:7" hidden="1" x14ac:dyDescent="0.4">
      <c r="A85" s="114" t="s">
        <v>1431</v>
      </c>
      <c r="B85" s="114" t="s">
        <v>998</v>
      </c>
      <c r="D85" s="114">
        <f>VLOOKUP($B85,Parts!$A:$G,IF(D$1="t",4,3),FALSE)*$C85</f>
        <v>0</v>
      </c>
      <c r="E85" s="114">
        <f>VLOOKUP($B85,Parts!$A:$G,IF(E$1="t",4,3),FALSE)*$C85</f>
        <v>0</v>
      </c>
      <c r="F85" s="114">
        <f>IFERROR(IF(A85=B85,0,VLOOKUP(A85,Chiller_Summary!A:E,2,FALSE))*C85,0)</f>
        <v>0</v>
      </c>
      <c r="G85" s="114" t="b">
        <f t="shared" si="1"/>
        <v>0</v>
      </c>
    </row>
    <row r="86" spans="1:7" hidden="1" x14ac:dyDescent="0.4">
      <c r="A86" s="114" t="s">
        <v>1431</v>
      </c>
      <c r="B86" s="114" t="s">
        <v>268</v>
      </c>
      <c r="D86" s="114">
        <f>VLOOKUP($B86,Parts!$A:$G,IF(D$1="t",4,3),FALSE)*$C86</f>
        <v>0</v>
      </c>
      <c r="E86" s="114">
        <f>VLOOKUP($B86,Parts!$A:$G,IF(E$1="t",4,3),FALSE)*$C86</f>
        <v>0</v>
      </c>
      <c r="F86" s="114">
        <f>IFERROR(IF(A86=B86,0,VLOOKUP(A86,Chiller_Summary!A:E,2,FALSE))*C86,0)</f>
        <v>0</v>
      </c>
      <c r="G86" s="114" t="b">
        <f t="shared" si="1"/>
        <v>0</v>
      </c>
    </row>
    <row r="87" spans="1:7" hidden="1" x14ac:dyDescent="0.4">
      <c r="A87" s="114" t="s">
        <v>1431</v>
      </c>
      <c r="B87" s="114" t="s">
        <v>269</v>
      </c>
      <c r="D87" s="114">
        <f>VLOOKUP($B87,Parts!$A:$G,IF(D$1="t",4,3),FALSE)*$C87</f>
        <v>0</v>
      </c>
      <c r="E87" s="114">
        <f>VLOOKUP($B87,Parts!$A:$G,IF(E$1="t",4,3),FALSE)*$C87</f>
        <v>0</v>
      </c>
      <c r="F87" s="114">
        <f>IFERROR(IF(A87=B87,0,VLOOKUP(A87,Chiller_Summary!A:E,2,FALSE))*C87,0)</f>
        <v>0</v>
      </c>
      <c r="G87" s="114" t="b">
        <f t="shared" si="1"/>
        <v>0</v>
      </c>
    </row>
    <row r="88" spans="1:7" hidden="1" x14ac:dyDescent="0.4">
      <c r="A88" s="114" t="s">
        <v>1431</v>
      </c>
      <c r="B88" s="114" t="s">
        <v>1035</v>
      </c>
      <c r="C88" s="114">
        <v>1</v>
      </c>
      <c r="D88" s="114">
        <f>VLOOKUP($B88,Parts!$A:$G,IF(D$1="t",4,3),FALSE)*$C88</f>
        <v>0.5</v>
      </c>
      <c r="E88" s="114">
        <f>VLOOKUP($B88,Parts!$A:$G,IF(E$1="t",4,3),FALSE)*$C88</f>
        <v>0</v>
      </c>
      <c r="F88" s="114">
        <f>IFERROR(IF(A88=B88,0,VLOOKUP(A88,Chiller_Summary!A:E,2,FALSE))*C88,0)</f>
        <v>0</v>
      </c>
      <c r="G88" s="114" t="b">
        <f t="shared" si="1"/>
        <v>0</v>
      </c>
    </row>
    <row r="89" spans="1:7" hidden="1" x14ac:dyDescent="0.4">
      <c r="A89" s="114" t="s">
        <v>1431</v>
      </c>
      <c r="B89" s="114" t="s">
        <v>239</v>
      </c>
      <c r="C89" s="114">
        <v>1</v>
      </c>
      <c r="D89" s="114">
        <f>VLOOKUP($B89,Parts!$A:$G,IF(D$1="t",4,3),FALSE)*$C89</f>
        <v>1</v>
      </c>
      <c r="E89" s="114">
        <f>VLOOKUP($B89,Parts!$A:$G,IF(E$1="t",4,3),FALSE)*$C89</f>
        <v>0</v>
      </c>
      <c r="F89" s="114">
        <f>IFERROR(IF(A89=B89,0,VLOOKUP(A89,Chiller_Summary!A:E,2,FALSE))*C89,0)</f>
        <v>0</v>
      </c>
      <c r="G89" s="114" t="b">
        <f t="shared" si="1"/>
        <v>0</v>
      </c>
    </row>
    <row r="90" spans="1:7" x14ac:dyDescent="0.4">
      <c r="A90" s="114" t="s">
        <v>1036</v>
      </c>
      <c r="B90" s="114" t="s">
        <v>1036</v>
      </c>
      <c r="C90" s="114" t="s">
        <v>639</v>
      </c>
      <c r="D90" s="114">
        <f>SUM(D91)</f>
        <v>0</v>
      </c>
      <c r="E90" s="114">
        <f>SUM(E91)</f>
        <v>0</v>
      </c>
      <c r="F90" s="114">
        <f>IFERROR(IF(A90=B90,0,VLOOKUP(A90,Chiller_Summary!A:E,2,FALSE))*C90,0)</f>
        <v>0</v>
      </c>
      <c r="G90" s="114" t="b">
        <f t="shared" si="1"/>
        <v>1</v>
      </c>
    </row>
    <row r="91" spans="1:7" hidden="1" x14ac:dyDescent="0.4">
      <c r="A91" s="114" t="s">
        <v>1036</v>
      </c>
      <c r="B91" s="114" t="s">
        <v>267</v>
      </c>
      <c r="D91" s="114">
        <f>VLOOKUP($B91,Parts!$A:$G,IF(D$1="t",4,3),FALSE)*$C91</f>
        <v>0</v>
      </c>
      <c r="E91" s="114">
        <f>VLOOKUP($B91,Parts!$A:$G,IF(E$1="t",4,3),FALSE)*$C91</f>
        <v>0</v>
      </c>
      <c r="F91" s="114">
        <f>IFERROR(IF(A91=B91,0,VLOOKUP(A91,Chiller_Summary!A:E,2,FALSE))*C91,0)</f>
        <v>0</v>
      </c>
      <c r="G91" s="114" t="b">
        <f t="shared" si="1"/>
        <v>0</v>
      </c>
    </row>
    <row r="92" spans="1:7" x14ac:dyDescent="0.4">
      <c r="A92" s="114" t="s">
        <v>1029</v>
      </c>
      <c r="B92" s="114" t="s">
        <v>1029</v>
      </c>
      <c r="D92" s="114">
        <f>SUM(D93:D96)</f>
        <v>2</v>
      </c>
      <c r="E92" s="114">
        <f>SUM(E93:E96)</f>
        <v>28.25</v>
      </c>
      <c r="F92" s="114">
        <f>IFERROR(IF(A92=B92,0,VLOOKUP(A92,Chiller_Summary!A:E,2,FALSE))*C92,0)</f>
        <v>0</v>
      </c>
      <c r="G92" s="114" t="b">
        <f t="shared" si="1"/>
        <v>1</v>
      </c>
    </row>
    <row r="93" spans="1:7" hidden="1" x14ac:dyDescent="0.4">
      <c r="A93" s="114" t="s">
        <v>1029</v>
      </c>
      <c r="B93" s="114" t="s">
        <v>1038</v>
      </c>
      <c r="C93" s="114">
        <v>1</v>
      </c>
      <c r="D93" s="114">
        <f>VLOOKUP($B93,Parts!$A:$G,IF(D$1="t",4,3),FALSE)*$C93</f>
        <v>1</v>
      </c>
      <c r="E93" s="114">
        <f>VLOOKUP($B93,Parts!$A:$G,IF(E$1="t",4,3),FALSE)*$C93</f>
        <v>0</v>
      </c>
      <c r="F93" s="114">
        <f>IFERROR(IF(A93=B93,0,VLOOKUP(A93,Chiller_Summary!A:E,2,FALSE))*C93,0)</f>
        <v>0</v>
      </c>
      <c r="G93" s="114" t="b">
        <f t="shared" si="1"/>
        <v>0</v>
      </c>
    </row>
    <row r="94" spans="1:7" hidden="1" x14ac:dyDescent="0.4">
      <c r="A94" s="114" t="s">
        <v>1029</v>
      </c>
      <c r="B94" s="114" t="s">
        <v>1018</v>
      </c>
      <c r="C94" s="114">
        <v>1</v>
      </c>
      <c r="D94" s="114">
        <f>VLOOKUP($B94,Parts!$A:$G,IF(D$1="t",4,3),FALSE)*$C94</f>
        <v>1</v>
      </c>
      <c r="E94" s="114">
        <f>VLOOKUP($B94,Parts!$A:$G,IF(E$1="t",4,3),FALSE)*$C94</f>
        <v>0</v>
      </c>
      <c r="F94" s="114">
        <f>IFERROR(IF(A94=B94,0,VLOOKUP(A94,Chiller_Summary!A:E,2,FALSE))*C94,0)</f>
        <v>0</v>
      </c>
      <c r="G94" s="114" t="b">
        <f t="shared" si="1"/>
        <v>0</v>
      </c>
    </row>
    <row r="95" spans="1:7" hidden="1" x14ac:dyDescent="0.4">
      <c r="A95" s="114" t="s">
        <v>1029</v>
      </c>
      <c r="B95" s="114" t="s">
        <v>253</v>
      </c>
      <c r="C95" s="114">
        <v>1</v>
      </c>
      <c r="D95" s="114">
        <f>VLOOKUP($B95,Parts!$A:$G,IF(D$1="t",4,3),FALSE)*$C95</f>
        <v>0</v>
      </c>
      <c r="E95" s="114">
        <f>VLOOKUP($B95,Parts!$A:$G,IF(E$1="t",4,3),FALSE)*$C95</f>
        <v>8.4499999999999993</v>
      </c>
      <c r="F95" s="114">
        <f>IFERROR(IF(A95=B95,0,VLOOKUP(A95,Chiller_Summary!A:E,2,FALSE))*C95,0)</f>
        <v>0</v>
      </c>
      <c r="G95" s="114" t="b">
        <f t="shared" si="1"/>
        <v>0</v>
      </c>
    </row>
    <row r="96" spans="1:7" hidden="1" x14ac:dyDescent="0.4">
      <c r="A96" s="114" t="s">
        <v>1029</v>
      </c>
      <c r="B96" s="114" t="s">
        <v>998</v>
      </c>
      <c r="C96" s="114">
        <v>1</v>
      </c>
      <c r="D96" s="114">
        <f>VLOOKUP($B96,Parts!$A:$G,IF(D$1="t",4,3),FALSE)*$C96</f>
        <v>0</v>
      </c>
      <c r="E96" s="114">
        <f>VLOOKUP($B96,Parts!$A:$G,IF(E$1="t",4,3),FALSE)*$C96</f>
        <v>19.8</v>
      </c>
      <c r="F96" s="114">
        <f>IFERROR(IF(A96=B96,0,VLOOKUP(A96,Chiller_Summary!A:E,2,FALSE))*C96,0)</f>
        <v>0</v>
      </c>
      <c r="G96" s="114" t="b">
        <f t="shared" si="1"/>
        <v>0</v>
      </c>
    </row>
    <row r="97" spans="1:7" x14ac:dyDescent="0.4">
      <c r="A97" s="114" t="s">
        <v>1030</v>
      </c>
      <c r="B97" s="114" t="s">
        <v>1030</v>
      </c>
      <c r="D97" s="114">
        <f>SUM(D98:D102)</f>
        <v>1</v>
      </c>
      <c r="E97" s="114">
        <f>SUM(E98:E102)</f>
        <v>89.9</v>
      </c>
      <c r="F97" s="114">
        <f>IFERROR(IF(A97=B97,0,VLOOKUP(A97,Chiller_Summary!A:E,2,FALSE))*C97,0)</f>
        <v>0</v>
      </c>
      <c r="G97" s="114" t="b">
        <f t="shared" si="1"/>
        <v>1</v>
      </c>
    </row>
    <row r="98" spans="1:7" hidden="1" x14ac:dyDescent="0.4">
      <c r="A98" s="114" t="s">
        <v>1030</v>
      </c>
      <c r="B98" s="114" t="s">
        <v>266</v>
      </c>
      <c r="D98" s="114">
        <f>VLOOKUP($B98,Parts!$A:$G,IF(D$1="t",4,3),FALSE)*$C98</f>
        <v>0</v>
      </c>
      <c r="E98" s="114">
        <f>VLOOKUP($B98,Parts!$A:$G,IF(E$1="t",4,3),FALSE)*$C98</f>
        <v>0</v>
      </c>
      <c r="F98" s="114">
        <f>IFERROR(IF(A98=B98,0,VLOOKUP(A98,Chiller_Summary!A:E,2,FALSE))*C98,0)</f>
        <v>0</v>
      </c>
      <c r="G98" s="114" t="b">
        <f t="shared" si="1"/>
        <v>0</v>
      </c>
    </row>
    <row r="99" spans="1:7" hidden="1" x14ac:dyDescent="0.4">
      <c r="A99" s="114" t="s">
        <v>1030</v>
      </c>
      <c r="B99" s="114" t="s">
        <v>1039</v>
      </c>
      <c r="C99" s="114">
        <v>1</v>
      </c>
      <c r="D99" s="114">
        <f>VLOOKUP($B99,Parts!$A:$G,IF(D$1="t",4,3),FALSE)*$C99</f>
        <v>0</v>
      </c>
      <c r="E99" s="114">
        <f>VLOOKUP($B99,Parts!$A:$G,IF(E$1="t",4,3),FALSE)*$C99</f>
        <v>46.46</v>
      </c>
      <c r="F99" s="114">
        <f>IFERROR(IF(A99=B99,0,VLOOKUP(A99,Chiller_Summary!A:E,2,FALSE))*C99,0)</f>
        <v>0</v>
      </c>
      <c r="G99" s="114" t="b">
        <f t="shared" si="1"/>
        <v>0</v>
      </c>
    </row>
    <row r="100" spans="1:7" hidden="1" x14ac:dyDescent="0.4">
      <c r="A100" s="114" t="s">
        <v>1030</v>
      </c>
      <c r="B100" s="114" t="s">
        <v>1040</v>
      </c>
      <c r="C100" s="114">
        <v>1</v>
      </c>
      <c r="D100" s="114">
        <f>VLOOKUP($B100,Parts!$A:$G,IF(D$1="t",4,3),FALSE)*$C100</f>
        <v>0</v>
      </c>
      <c r="E100" s="114">
        <f>VLOOKUP($B100,Parts!$A:$G,IF(E$1="t",4,3),FALSE)*$C100</f>
        <v>43.44</v>
      </c>
      <c r="F100" s="114">
        <f>IFERROR(IF(A100=B100,0,VLOOKUP(A100,Chiller_Summary!A:E,2,FALSE))*C100,0)</f>
        <v>0</v>
      </c>
      <c r="G100" s="114" t="b">
        <f t="shared" si="1"/>
        <v>0</v>
      </c>
    </row>
    <row r="101" spans="1:7" hidden="1" x14ac:dyDescent="0.4">
      <c r="A101" s="114" t="s">
        <v>1030</v>
      </c>
      <c r="B101" s="114" t="s">
        <v>1018</v>
      </c>
      <c r="C101" s="114">
        <v>1</v>
      </c>
      <c r="D101" s="114">
        <f>VLOOKUP($B101,Parts!$A:$G,IF(D$1="t",4,3),FALSE)*$C101</f>
        <v>1</v>
      </c>
      <c r="E101" s="114">
        <f>VLOOKUP($B101,Parts!$A:$G,IF(E$1="t",4,3),FALSE)*$C101</f>
        <v>0</v>
      </c>
      <c r="F101" s="114">
        <f>IFERROR(IF(A101=B101,0,VLOOKUP(A101,Chiller_Summary!A:E,2,FALSE))*C101,0)</f>
        <v>0</v>
      </c>
      <c r="G101" s="114" t="b">
        <f t="shared" si="1"/>
        <v>0</v>
      </c>
    </row>
    <row r="102" spans="1:7" hidden="1" x14ac:dyDescent="0.4">
      <c r="A102" s="114" t="s">
        <v>1030</v>
      </c>
      <c r="B102" s="114" t="s">
        <v>269</v>
      </c>
      <c r="D102" s="114">
        <f>VLOOKUP($B102,Parts!$A:$G,IF(D$1="t",4,3),FALSE)*$C102</f>
        <v>0</v>
      </c>
      <c r="E102" s="114">
        <f>VLOOKUP($B102,Parts!$A:$G,IF(E$1="t",4,3),FALSE)*$C102</f>
        <v>0</v>
      </c>
      <c r="F102" s="114">
        <f>IFERROR(IF(A102=B102,0,VLOOKUP(A102,Chiller_Summary!A:E,2,FALSE))*C102,0)</f>
        <v>0</v>
      </c>
      <c r="G102" s="114" t="b">
        <f t="shared" si="1"/>
        <v>0</v>
      </c>
    </row>
    <row r="103" spans="1:7" x14ac:dyDescent="0.4">
      <c r="A103" s="114" t="s">
        <v>1026</v>
      </c>
      <c r="B103" s="114" t="s">
        <v>1026</v>
      </c>
      <c r="D103" s="114">
        <f>SUM(D104:D107)</f>
        <v>1</v>
      </c>
      <c r="E103" s="114">
        <f>SUM(E104:E107)</f>
        <v>8.4499999999999993</v>
      </c>
      <c r="F103" s="114">
        <f>IFERROR(IF(A103=B103,0,VLOOKUP(A103,Chiller_Summary!A:E,2,FALSE))*C103,0)</f>
        <v>0</v>
      </c>
      <c r="G103" s="114" t="b">
        <f t="shared" si="1"/>
        <v>1</v>
      </c>
    </row>
    <row r="104" spans="1:7" hidden="1" x14ac:dyDescent="0.4">
      <c r="A104" s="114" t="s">
        <v>1026</v>
      </c>
      <c r="B104" s="114" t="s">
        <v>350</v>
      </c>
      <c r="C104" s="114">
        <v>1</v>
      </c>
      <c r="D104" s="114">
        <f>VLOOKUP($B104,Parts!$A:$G,IF(D$1="t",4,3),FALSE)*$C104</f>
        <v>1</v>
      </c>
      <c r="E104" s="114">
        <f>VLOOKUP($B104,Parts!$A:$G,IF(E$1="t",4,3),FALSE)*$C104</f>
        <v>0</v>
      </c>
      <c r="F104" s="114">
        <f>IFERROR(IF(A104=B104,0,VLOOKUP(A104,Chiller_Summary!A:E,2,FALSE))*C104,0)</f>
        <v>0</v>
      </c>
      <c r="G104" s="114" t="b">
        <f t="shared" si="1"/>
        <v>0</v>
      </c>
    </row>
    <row r="105" spans="1:7" hidden="1" x14ac:dyDescent="0.4">
      <c r="A105" s="114" t="s">
        <v>1026</v>
      </c>
      <c r="B105" s="114" t="s">
        <v>253</v>
      </c>
      <c r="C105" s="114">
        <v>1</v>
      </c>
      <c r="D105" s="114">
        <f>VLOOKUP($B105,Parts!$A:$G,IF(D$1="t",4,3),FALSE)*$C105</f>
        <v>0</v>
      </c>
      <c r="E105" s="114">
        <f>VLOOKUP($B105,Parts!$A:$G,IF(E$1="t",4,3),FALSE)*$C105</f>
        <v>8.4499999999999993</v>
      </c>
      <c r="F105" s="114">
        <f>IFERROR(IF(A105=B105,0,VLOOKUP(A105,Chiller_Summary!A:E,2,FALSE))*C105,0)</f>
        <v>0</v>
      </c>
      <c r="G105" s="114" t="b">
        <f t="shared" si="1"/>
        <v>0</v>
      </c>
    </row>
    <row r="106" spans="1:7" hidden="1" x14ac:dyDescent="0.4">
      <c r="A106" s="114" t="s">
        <v>1026</v>
      </c>
      <c r="B106" s="114" t="s">
        <v>360</v>
      </c>
      <c r="D106" s="114">
        <f>VLOOKUP($B106,Parts!$A:$G,IF(D$1="t",4,3),FALSE)*$C106</f>
        <v>0</v>
      </c>
      <c r="E106" s="114">
        <f>VLOOKUP($B106,Parts!$A:$G,IF(E$1="t",4,3),FALSE)*$C106</f>
        <v>0</v>
      </c>
      <c r="F106" s="114">
        <f>IFERROR(IF(A106=B106,0,VLOOKUP(A106,Chiller_Summary!A:E,2,FALSE))*C106,0)</f>
        <v>0</v>
      </c>
      <c r="G106" s="114" t="b">
        <f t="shared" si="1"/>
        <v>0</v>
      </c>
    </row>
    <row r="107" spans="1:7" hidden="1" x14ac:dyDescent="0.4">
      <c r="A107" s="114" t="s">
        <v>1026</v>
      </c>
      <c r="B107" s="114" t="s">
        <v>268</v>
      </c>
      <c r="D107" s="114">
        <f>VLOOKUP($B107,Parts!$A:$G,IF(D$1="t",4,3),FALSE)*$C107</f>
        <v>0</v>
      </c>
      <c r="E107" s="114">
        <f>VLOOKUP($B107,Parts!$A:$G,IF(E$1="t",4,3),FALSE)*$C107</f>
        <v>0</v>
      </c>
      <c r="F107" s="114">
        <f>IFERROR(IF(A107=B107,0,VLOOKUP(A107,Chiller_Summary!A:E,2,FALSE))*C107,0)</f>
        <v>0</v>
      </c>
      <c r="G107" s="114" t="b">
        <f t="shared" si="1"/>
        <v>0</v>
      </c>
    </row>
    <row r="108" spans="1:7" x14ac:dyDescent="0.4">
      <c r="A108" s="114" t="s">
        <v>1031</v>
      </c>
      <c r="B108" s="114" t="s">
        <v>1031</v>
      </c>
      <c r="D108" s="114">
        <f>SUM(D109:D115)</f>
        <v>1.75</v>
      </c>
      <c r="E108" s="114">
        <f>SUM(E109:E115)</f>
        <v>28.25</v>
      </c>
      <c r="F108" s="114">
        <f>IFERROR(IF(A108=B108,0,VLOOKUP(A108,Chiller_Summary!A:E,2,FALSE))*C108,0)</f>
        <v>0</v>
      </c>
      <c r="G108" s="114" t="b">
        <f t="shared" si="1"/>
        <v>1</v>
      </c>
    </row>
    <row r="109" spans="1:7" hidden="1" x14ac:dyDescent="0.4">
      <c r="A109" s="114" t="s">
        <v>1031</v>
      </c>
      <c r="B109" s="114" t="s">
        <v>253</v>
      </c>
      <c r="C109" s="114">
        <v>1</v>
      </c>
      <c r="D109" s="114">
        <f>VLOOKUP($B109,Parts!$A:$G,IF(D$1="t",4,3),FALSE)*$C109</f>
        <v>0</v>
      </c>
      <c r="E109" s="114">
        <f>VLOOKUP($B109,Parts!$A:$G,IF(E$1="t",4,3),FALSE)*$C109</f>
        <v>8.4499999999999993</v>
      </c>
      <c r="F109" s="114">
        <f>IFERROR(IF(A109=B109,0,VLOOKUP(A109,Chiller_Summary!A:E,2,FALSE))*C109,0)</f>
        <v>0</v>
      </c>
      <c r="G109" s="114" t="b">
        <f t="shared" si="1"/>
        <v>0</v>
      </c>
    </row>
    <row r="110" spans="1:7" hidden="1" x14ac:dyDescent="0.4">
      <c r="A110" s="114" t="s">
        <v>1031</v>
      </c>
      <c r="B110" s="114" t="s">
        <v>998</v>
      </c>
      <c r="C110" s="114">
        <v>1</v>
      </c>
      <c r="D110" s="114">
        <f>VLOOKUP($B110,Parts!$A:$G,IF(D$1="t",4,3),FALSE)*$C110</f>
        <v>0</v>
      </c>
      <c r="E110" s="114">
        <f>VLOOKUP($B110,Parts!$A:$G,IF(E$1="t",4,3),FALSE)*$C110</f>
        <v>19.8</v>
      </c>
      <c r="F110" s="114">
        <f>IFERROR(IF(A110=B110,0,VLOOKUP(A110,Chiller_Summary!A:E,2,FALSE))*C110,0)</f>
        <v>0</v>
      </c>
      <c r="G110" s="114" t="b">
        <f t="shared" si="1"/>
        <v>0</v>
      </c>
    </row>
    <row r="111" spans="1:7" hidden="1" x14ac:dyDescent="0.4">
      <c r="A111" s="114" t="s">
        <v>1031</v>
      </c>
      <c r="B111" s="114" t="s">
        <v>268</v>
      </c>
      <c r="D111" s="114">
        <f>VLOOKUP($B111,Parts!$A:$G,IF(D$1="t",4,3),FALSE)*$C111</f>
        <v>0</v>
      </c>
      <c r="E111" s="114">
        <f>VLOOKUP($B111,Parts!$A:$G,IF(E$1="t",4,3),FALSE)*$C111</f>
        <v>0</v>
      </c>
      <c r="F111" s="114">
        <f>IFERROR(IF(A111=B111,0,VLOOKUP(A111,Chiller_Summary!A:E,2,FALSE))*C111,0)</f>
        <v>0</v>
      </c>
      <c r="G111" s="114" t="b">
        <f t="shared" si="1"/>
        <v>0</v>
      </c>
    </row>
    <row r="112" spans="1:7" hidden="1" x14ac:dyDescent="0.4">
      <c r="A112" s="114" t="s">
        <v>1031</v>
      </c>
      <c r="B112" s="114" t="s">
        <v>269</v>
      </c>
      <c r="D112" s="114">
        <f>VLOOKUP($B112,Parts!$A:$G,IF(D$1="t",4,3),FALSE)*$C112</f>
        <v>0</v>
      </c>
      <c r="E112" s="114">
        <f>VLOOKUP($B112,Parts!$A:$G,IF(E$1="t",4,3),FALSE)*$C112</f>
        <v>0</v>
      </c>
      <c r="F112" s="114">
        <f>IFERROR(IF(A112=B112,0,VLOOKUP(A112,Chiller_Summary!A:E,2,FALSE))*C112,0)</f>
        <v>0</v>
      </c>
      <c r="G112" s="114" t="b">
        <f t="shared" si="1"/>
        <v>0</v>
      </c>
    </row>
    <row r="113" spans="1:8" hidden="1" x14ac:dyDescent="0.4">
      <c r="A113" s="114" t="s">
        <v>1031</v>
      </c>
      <c r="B113" s="114" t="s">
        <v>1035</v>
      </c>
      <c r="C113" s="114">
        <v>1</v>
      </c>
      <c r="D113" s="114">
        <f>VLOOKUP($B113,Parts!$A:$G,IF(D$1="t",4,3),FALSE)*$C113</f>
        <v>0.5</v>
      </c>
      <c r="E113" s="114">
        <f>VLOOKUP($B113,Parts!$A:$G,IF(E$1="t",4,3),FALSE)*$C113</f>
        <v>0</v>
      </c>
      <c r="F113" s="114">
        <f>IFERROR(IF(A113=B113,0,VLOOKUP(A113,Chiller_Summary!A:E,2,FALSE))*C113,0)</f>
        <v>0</v>
      </c>
      <c r="G113" s="114" t="b">
        <f t="shared" si="1"/>
        <v>0</v>
      </c>
    </row>
    <row r="114" spans="1:8" hidden="1" x14ac:dyDescent="0.4">
      <c r="A114" s="114" t="s">
        <v>1031</v>
      </c>
      <c r="B114" s="114" t="s">
        <v>239</v>
      </c>
      <c r="C114" s="114">
        <v>1</v>
      </c>
      <c r="D114" s="114">
        <f>VLOOKUP($B114,Parts!$A:$G,IF(D$1="t",4,3),FALSE)*$C114</f>
        <v>1</v>
      </c>
      <c r="E114" s="114">
        <f>VLOOKUP($B114,Parts!$A:$G,IF(E$1="t",4,3),FALSE)*$C114</f>
        <v>0</v>
      </c>
      <c r="F114" s="114">
        <f>IFERROR(IF(A114=B114,0,VLOOKUP(A114,Chiller_Summary!A:E,2,FALSE))*C114,0)</f>
        <v>0</v>
      </c>
      <c r="G114" s="114" t="b">
        <f t="shared" si="1"/>
        <v>0</v>
      </c>
    </row>
    <row r="115" spans="1:8" hidden="1" x14ac:dyDescent="0.4">
      <c r="A115" s="114" t="s">
        <v>1031</v>
      </c>
      <c r="B115" s="114" t="s">
        <v>301</v>
      </c>
      <c r="C115" s="114">
        <v>1</v>
      </c>
      <c r="D115" s="114">
        <f>VLOOKUP($B115,Parts!$A:$G,IF(D$1="t",4,3),FALSE)*$C115</f>
        <v>0.25</v>
      </c>
      <c r="E115" s="114">
        <f>VLOOKUP($B115,Parts!$A:$G,IF(E$1="t",4,3),FALSE)*$C115</f>
        <v>0</v>
      </c>
      <c r="F115" s="114">
        <f>IFERROR(IF(A115=B115,0,VLOOKUP(A115,Chiller_Summary!A:E,2,FALSE))*C115,0)</f>
        <v>0</v>
      </c>
      <c r="G115" s="114" t="b">
        <f t="shared" si="1"/>
        <v>0</v>
      </c>
    </row>
    <row r="116" spans="1:8" x14ac:dyDescent="0.4">
      <c r="A116" s="114" t="s">
        <v>1432</v>
      </c>
      <c r="B116" s="114" t="s">
        <v>1432</v>
      </c>
      <c r="D116" s="114">
        <f>SUM(D117:D118)</f>
        <v>0</v>
      </c>
      <c r="E116" s="114">
        <f>SUM(E117:E118)</f>
        <v>11.46</v>
      </c>
      <c r="F116" s="114">
        <f>IFERROR(IF(A116=B116,0,VLOOKUP(A116,Chiller_Summary!A:E,2,FALSE))*C116,0)</f>
        <v>0</v>
      </c>
      <c r="G116" s="114" t="b">
        <f t="shared" si="1"/>
        <v>1</v>
      </c>
      <c r="H116" s="114" t="s">
        <v>1464</v>
      </c>
    </row>
    <row r="117" spans="1:8" hidden="1" x14ac:dyDescent="0.4">
      <c r="A117" s="114" t="s">
        <v>1432</v>
      </c>
      <c r="B117" s="114" t="s">
        <v>268</v>
      </c>
      <c r="D117" s="114">
        <f>VLOOKUP($B117,Parts!$A:$G,IF(D$1="t",4,3),FALSE)*$C117</f>
        <v>0</v>
      </c>
      <c r="E117" s="114">
        <f>VLOOKUP($B117,Parts!$A:$G,IF(E$1="t",4,3),FALSE)*$C117</f>
        <v>0</v>
      </c>
      <c r="F117" s="114">
        <f>IFERROR(IF(A117=B117,0,VLOOKUP(A117,Chiller_Summary!A:E,2,FALSE))*C117,0)</f>
        <v>0</v>
      </c>
      <c r="G117" s="114" t="b">
        <f t="shared" si="1"/>
        <v>0</v>
      </c>
    </row>
    <row r="118" spans="1:8" hidden="1" x14ac:dyDescent="0.4">
      <c r="A118" s="114" t="s">
        <v>1432</v>
      </c>
      <c r="B118" s="114" t="s">
        <v>1023</v>
      </c>
      <c r="C118" s="114">
        <v>1</v>
      </c>
      <c r="D118" s="114">
        <f>VLOOKUP($B118,Parts!$A:$G,IF(D$1="t",4,3),FALSE)*$C118</f>
        <v>0</v>
      </c>
      <c r="E118" s="114">
        <f>VLOOKUP($B118,Parts!$A:$G,IF(E$1="t",4,3),FALSE)*$C118</f>
        <v>11.46</v>
      </c>
      <c r="F118" s="114">
        <f>IFERROR(IF(A118=B118,0,VLOOKUP(A118,Chiller_Summary!A:E,2,FALSE))*C118,0)</f>
        <v>2</v>
      </c>
      <c r="G118" s="114" t="b">
        <f t="shared" si="1"/>
        <v>0</v>
      </c>
    </row>
    <row r="119" spans="1:8" x14ac:dyDescent="0.4">
      <c r="A119" s="114" t="s">
        <v>1048</v>
      </c>
      <c r="B119" s="114" t="s">
        <v>1048</v>
      </c>
      <c r="D119" s="114">
        <f>SUM(D120:D123)</f>
        <v>0</v>
      </c>
      <c r="E119" s="114">
        <f>SUM(E120:E123)</f>
        <v>89.9</v>
      </c>
      <c r="F119" s="114">
        <f>IFERROR(IF(A119=B119,0,VLOOKUP(A119,Chiller_Summary!A:E,2,FALSE))*C119,0)</f>
        <v>0</v>
      </c>
      <c r="G119" s="114" t="b">
        <f t="shared" si="1"/>
        <v>1</v>
      </c>
    </row>
    <row r="120" spans="1:8" hidden="1" x14ac:dyDescent="0.4">
      <c r="A120" s="114" t="s">
        <v>1048</v>
      </c>
      <c r="B120" s="114" t="s">
        <v>267</v>
      </c>
      <c r="D120" s="114">
        <f>VLOOKUP($B120,Parts!$A:$G,IF(D$1="t",4,3),FALSE)*$C120</f>
        <v>0</v>
      </c>
      <c r="E120" s="114">
        <f>VLOOKUP($B120,Parts!$A:$G,IF(E$1="t",4,3),FALSE)*$C120</f>
        <v>0</v>
      </c>
      <c r="F120" s="114">
        <f>IFERROR(IF(A120=B120,0,VLOOKUP(A120,Chiller_Summary!A:E,2,FALSE))*C120,0)</f>
        <v>0</v>
      </c>
      <c r="G120" s="114" t="b">
        <f t="shared" si="1"/>
        <v>0</v>
      </c>
    </row>
    <row r="121" spans="1:8" hidden="1" x14ac:dyDescent="0.4">
      <c r="A121" s="114" t="s">
        <v>1048</v>
      </c>
      <c r="B121" s="114" t="s">
        <v>1039</v>
      </c>
      <c r="C121" s="114">
        <v>1</v>
      </c>
      <c r="D121" s="114">
        <f>VLOOKUP($B121,Parts!$A:$G,IF(D$1="t",4,3),FALSE)*$C121</f>
        <v>0</v>
      </c>
      <c r="E121" s="114">
        <f>VLOOKUP($B121,Parts!$A:$G,IF(E$1="t",4,3),FALSE)*$C121</f>
        <v>46.46</v>
      </c>
      <c r="F121" s="114">
        <f>IFERROR(IF(A121=B121,0,VLOOKUP(A121,Chiller_Summary!A:E,2,FALSE))*C121,0)</f>
        <v>0</v>
      </c>
      <c r="G121" s="114" t="b">
        <f t="shared" si="1"/>
        <v>0</v>
      </c>
    </row>
    <row r="122" spans="1:8" hidden="1" x14ac:dyDescent="0.4">
      <c r="A122" s="114" t="s">
        <v>1048</v>
      </c>
      <c r="B122" s="114" t="s">
        <v>1040</v>
      </c>
      <c r="C122" s="114">
        <v>1</v>
      </c>
      <c r="D122" s="114">
        <f>VLOOKUP($B122,Parts!$A:$G,IF(D$1="t",4,3),FALSE)*$C122</f>
        <v>0</v>
      </c>
      <c r="E122" s="114">
        <f>VLOOKUP($B122,Parts!$A:$G,IF(E$1="t",4,3),FALSE)*$C122</f>
        <v>43.44</v>
      </c>
      <c r="F122" s="114">
        <f>IFERROR(IF(A122=B122,0,VLOOKUP(A122,Chiller_Summary!A:E,2,FALSE))*C122,0)</f>
        <v>0</v>
      </c>
      <c r="G122" s="114" t="b">
        <f t="shared" si="1"/>
        <v>0</v>
      </c>
    </row>
    <row r="123" spans="1:8" x14ac:dyDescent="0.4">
      <c r="A123" s="114" t="s">
        <v>886</v>
      </c>
      <c r="B123" s="114" t="s">
        <v>886</v>
      </c>
      <c r="C123" s="114">
        <v>0</v>
      </c>
      <c r="D123" s="114">
        <v>0</v>
      </c>
      <c r="E123" s="114">
        <v>0</v>
      </c>
      <c r="F123" s="114">
        <f>IFERROR(IF(A123=B123,0,VLOOKUP(A123,Chiller_Summary!A:E,2,FALSE))*C123,0)</f>
        <v>0</v>
      </c>
      <c r="G123" s="114" t="b">
        <f t="shared" si="1"/>
        <v>1</v>
      </c>
      <c r="H123" s="114" t="str">
        <f>_xlfn.CONCAT(", ", B123)</f>
        <v>, No</v>
      </c>
    </row>
    <row r="124" spans="1:8" x14ac:dyDescent="0.4">
      <c r="A124" s="114" t="s">
        <v>1299</v>
      </c>
      <c r="B124" s="114" t="s">
        <v>1299</v>
      </c>
      <c r="D124" s="114">
        <f>SUM(D125:D134)</f>
        <v>1</v>
      </c>
      <c r="E124" s="114">
        <f>SUM(E125:E134)</f>
        <v>726.90000000000009</v>
      </c>
      <c r="F124" s="114">
        <f>IFERROR(IF(A124=B124,0,VLOOKUP(A124,Chiller_Summary!A:E,2,FALSE))*C124,0)</f>
        <v>0</v>
      </c>
      <c r="G124" s="114" t="b">
        <f t="shared" si="1"/>
        <v>1</v>
      </c>
      <c r="H124" s="114" t="str">
        <f>B124</f>
        <v>Chilled Water FCU</v>
      </c>
    </row>
    <row r="125" spans="1:8" hidden="1" x14ac:dyDescent="0.4">
      <c r="A125" s="114" t="s">
        <v>1299</v>
      </c>
      <c r="B125" s="114" t="s">
        <v>1039</v>
      </c>
      <c r="C125" s="114">
        <v>1</v>
      </c>
      <c r="D125" s="114">
        <f>VLOOKUP($B125,Parts!$A:$G,IF(D$1="t",4,3),FALSE)*$C125</f>
        <v>0</v>
      </c>
      <c r="E125" s="114">
        <f>VLOOKUP($B125,Parts!$A:$G,IF(E$1="t",4,3),FALSE)*$C125</f>
        <v>46.46</v>
      </c>
      <c r="F125" s="114">
        <f>IFERROR(IF(A125=B125,0,VLOOKUP(A125,Chiller_Summary!A:E,2,FALSE))*C125,0)</f>
        <v>2</v>
      </c>
      <c r="G125" s="114" t="b">
        <f t="shared" si="1"/>
        <v>0</v>
      </c>
    </row>
    <row r="126" spans="1:8" hidden="1" x14ac:dyDescent="0.4">
      <c r="A126" s="114" t="s">
        <v>1299</v>
      </c>
      <c r="B126" s="114" t="s">
        <v>1040</v>
      </c>
      <c r="C126" s="114">
        <v>1</v>
      </c>
      <c r="D126" s="114">
        <f>VLOOKUP($B126,Parts!$A:$G,IF(D$1="t",4,3),FALSE)*$C126</f>
        <v>0</v>
      </c>
      <c r="E126" s="114">
        <f>VLOOKUP($B126,Parts!$A:$G,IF(E$1="t",4,3),FALSE)*$C126</f>
        <v>43.44</v>
      </c>
      <c r="F126" s="114">
        <f>IFERROR(IF(A126=B126,0,VLOOKUP(A126,Chiller_Summary!A:E,2,FALSE))*C126,0)</f>
        <v>2</v>
      </c>
      <c r="G126" s="114" t="b">
        <f t="shared" si="1"/>
        <v>0</v>
      </c>
    </row>
    <row r="127" spans="1:8" hidden="1" x14ac:dyDescent="0.4">
      <c r="A127" s="114" t="s">
        <v>1299</v>
      </c>
      <c r="B127" s="114" t="s">
        <v>304</v>
      </c>
      <c r="C127" s="114">
        <v>1</v>
      </c>
      <c r="D127" s="114">
        <f>VLOOKUP($B127,Parts!$A:$G,IF(D$1="t",4,3),FALSE)*$C127</f>
        <v>1</v>
      </c>
      <c r="E127" s="114">
        <f>VLOOKUP($B127,Parts!$A:$G,IF(E$1="t",4,3),FALSE)*$C127</f>
        <v>57.95</v>
      </c>
      <c r="F127" s="114">
        <f>IFERROR(IF(A127=B127,0,VLOOKUP(A127,Chiller_Summary!A:E,2,FALSE))*C127,0)</f>
        <v>2</v>
      </c>
      <c r="G127" s="114" t="b">
        <f t="shared" si="1"/>
        <v>0</v>
      </c>
    </row>
    <row r="128" spans="1:8" hidden="1" x14ac:dyDescent="0.4">
      <c r="A128" s="114" t="s">
        <v>1299</v>
      </c>
      <c r="B128" s="114" t="s">
        <v>1344</v>
      </c>
      <c r="C128" s="114">
        <v>1</v>
      </c>
      <c r="D128" s="114">
        <f>VLOOKUP($B128,Parts!$A:$G,IF(D$1="t",4,3),FALSE)*$C128</f>
        <v>0</v>
      </c>
      <c r="E128" s="114">
        <f>VLOOKUP($B128,Parts!$A:$G,IF(E$1="t",4,3),FALSE)*$C128</f>
        <v>91.05</v>
      </c>
      <c r="F128" s="114">
        <f>IFERROR(IF(A128=B128,0,VLOOKUP(A128,Chiller_Summary!A:E,2,FALSE))*C128,0)</f>
        <v>2</v>
      </c>
      <c r="G128" s="114" t="b">
        <f t="shared" si="1"/>
        <v>0</v>
      </c>
    </row>
    <row r="129" spans="1:8" hidden="1" x14ac:dyDescent="0.4">
      <c r="A129" s="114" t="s">
        <v>1299</v>
      </c>
      <c r="B129" s="114" t="s">
        <v>1003</v>
      </c>
      <c r="C129" s="114">
        <v>2</v>
      </c>
      <c r="D129" s="114">
        <f>VLOOKUP($B129,Parts!$A:$G,IF(D$1="t",4,3),FALSE)*$C129</f>
        <v>0</v>
      </c>
      <c r="E129" s="114">
        <f>VLOOKUP($B129,Parts!$A:$G,IF(E$1="t",4,3),FALSE)*$C129</f>
        <v>32</v>
      </c>
      <c r="F129" s="114">
        <f>IFERROR(IF(A129=B129,0,VLOOKUP(A129,Chiller_Summary!A:E,2,FALSE))*C129,0)</f>
        <v>4</v>
      </c>
      <c r="G129" s="114" t="b">
        <f t="shared" si="1"/>
        <v>0</v>
      </c>
    </row>
    <row r="130" spans="1:8" hidden="1" x14ac:dyDescent="0.4">
      <c r="A130" s="114" t="s">
        <v>1299</v>
      </c>
      <c r="B130" s="114" t="s">
        <v>1004</v>
      </c>
      <c r="C130" s="114">
        <v>1</v>
      </c>
      <c r="D130" s="114">
        <f>VLOOKUP($B130,Parts!$A:$G,IF(D$1="t",4,3),FALSE)*$C130</f>
        <v>0</v>
      </c>
      <c r="E130" s="114">
        <f>VLOOKUP($B130,Parts!$A:$G,IF(E$1="t",4,3),FALSE)*$C130</f>
        <v>360</v>
      </c>
      <c r="F130" s="114">
        <f>IFERROR(IF(A130=B130,0,VLOOKUP(A130,Chiller_Summary!A:E,2,FALSE))*C130,0)</f>
        <v>2</v>
      </c>
      <c r="G130" s="114" t="b">
        <f t="shared" si="1"/>
        <v>0</v>
      </c>
    </row>
    <row r="131" spans="1:8" hidden="1" x14ac:dyDescent="0.4">
      <c r="A131" s="114" t="s">
        <v>1299</v>
      </c>
      <c r="B131" s="114" t="s">
        <v>1253</v>
      </c>
      <c r="C131" s="114">
        <v>1</v>
      </c>
      <c r="D131" s="114">
        <f>VLOOKUP($B131,Parts!$A:$G,IF(D$1="t",4,3),FALSE)*$C131</f>
        <v>0</v>
      </c>
      <c r="E131" s="114">
        <f>VLOOKUP($B131,Parts!$A:$G,IF(E$1="t",4,3),FALSE)*$C131</f>
        <v>60</v>
      </c>
      <c r="F131" s="114">
        <f>IFERROR(IF(A131=B131,0,VLOOKUP(A131,Chiller_Summary!A:E,2,FALSE))*C131,0)</f>
        <v>2</v>
      </c>
      <c r="G131" s="114" t="b">
        <f t="shared" ref="G131:G177" si="2">A131=B131</f>
        <v>0</v>
      </c>
    </row>
    <row r="132" spans="1:8" hidden="1" x14ac:dyDescent="0.4">
      <c r="A132" s="114" t="s">
        <v>1299</v>
      </c>
      <c r="B132" s="114" t="s">
        <v>322</v>
      </c>
      <c r="C132" s="114">
        <v>1</v>
      </c>
      <c r="D132" s="114">
        <f>VLOOKUP($B132,Parts!$A:$G,IF(D$1="t",4,3),FALSE)*$C132</f>
        <v>0</v>
      </c>
      <c r="E132" s="114">
        <f>VLOOKUP($B132,Parts!$A:$G,IF(E$1="t",4,3),FALSE)*$C132</f>
        <v>0</v>
      </c>
      <c r="F132" s="114">
        <f>IFERROR(IF(A132=B132,0,VLOOKUP(A132,Chiller_Summary!A:E,2,FALSE))*C132,0)</f>
        <v>2</v>
      </c>
      <c r="G132" s="114" t="b">
        <f t="shared" si="2"/>
        <v>0</v>
      </c>
    </row>
    <row r="133" spans="1:8" hidden="1" x14ac:dyDescent="0.4">
      <c r="A133" s="114" t="s">
        <v>1299</v>
      </c>
      <c r="B133" s="114" t="s">
        <v>278</v>
      </c>
      <c r="C133" s="114">
        <v>1</v>
      </c>
      <c r="D133" s="114">
        <f>VLOOKUP($B133,Parts!$A:$G,IF(D$1="t",4,3),FALSE)*$C133</f>
        <v>0</v>
      </c>
      <c r="E133" s="114">
        <f>VLOOKUP($B133,Parts!$A:$G,IF(E$1="t",4,3),FALSE)*$C133</f>
        <v>36</v>
      </c>
      <c r="F133" s="114">
        <f>IFERROR(IF(A133=B133,0,VLOOKUP(A133,Chiller_Summary!A:E,2,FALSE))*C133,0)</f>
        <v>2</v>
      </c>
      <c r="G133" s="114" t="b">
        <f t="shared" si="2"/>
        <v>0</v>
      </c>
    </row>
    <row r="134" spans="1:8" hidden="1" x14ac:dyDescent="0.4">
      <c r="A134" s="114" t="s">
        <v>1299</v>
      </c>
      <c r="B134" s="114" t="s">
        <v>267</v>
      </c>
      <c r="D134" s="114">
        <f>VLOOKUP($B134,Parts!$A:$G,IF(D$1="t",4,3),FALSE)*$C134</f>
        <v>0</v>
      </c>
      <c r="E134" s="114">
        <f>VLOOKUP($B134,Parts!$A:$G,IF(E$1="t",4,3),FALSE)*$C134</f>
        <v>0</v>
      </c>
      <c r="F134" s="114">
        <f>IFERROR(IF(A134=B134,0,VLOOKUP(A134,Chiller_Summary!A:E,2,FALSE))*C134,0)</f>
        <v>0</v>
      </c>
      <c r="G134" s="114" t="b">
        <f t="shared" si="2"/>
        <v>0</v>
      </c>
    </row>
    <row r="135" spans="1:8" x14ac:dyDescent="0.4">
      <c r="A135" s="114" t="s">
        <v>1298</v>
      </c>
      <c r="B135" s="114" t="s">
        <v>1298</v>
      </c>
      <c r="D135" s="114">
        <f>SUM(D137:D145)</f>
        <v>1</v>
      </c>
      <c r="E135" s="114">
        <f>SUM(E137:E145)</f>
        <v>644.44000000000005</v>
      </c>
      <c r="F135" s="114">
        <f>IFERROR(IF(A135=B135,0,VLOOKUP(A135,Chiller_Summary!A:E,2,FALSE))*C135,0)</f>
        <v>0</v>
      </c>
      <c r="G135" s="114" t="b">
        <f t="shared" si="2"/>
        <v>1</v>
      </c>
      <c r="H135" s="114" t="str">
        <f>B135</f>
        <v>Chilled Water AHU</v>
      </c>
    </row>
    <row r="136" spans="1:8" hidden="1" x14ac:dyDescent="0.4">
      <c r="A136" s="114" t="s">
        <v>1298</v>
      </c>
      <c r="B136" s="114" t="s">
        <v>1309</v>
      </c>
      <c r="F136" s="114">
        <f>IFERROR(IF(A136=B136,0,VLOOKUP(A136,Chiller_Summary!A:E,2,FALSE))*C136,0)</f>
        <v>0</v>
      </c>
      <c r="G136" s="114" t="b">
        <f t="shared" si="2"/>
        <v>0</v>
      </c>
    </row>
    <row r="137" spans="1:8" hidden="1" x14ac:dyDescent="0.4">
      <c r="A137" s="114" t="s">
        <v>1298</v>
      </c>
      <c r="B137" s="114" t="s">
        <v>1040</v>
      </c>
      <c r="C137" s="114">
        <v>1</v>
      </c>
      <c r="D137" s="114">
        <f>VLOOKUP($B137,Parts!$A:$G,IF(D$1="t",4,3),FALSE)*$C137</f>
        <v>0</v>
      </c>
      <c r="E137" s="114">
        <f>VLOOKUP($B137,Parts!$A:$G,IF(E$1="t",4,3),FALSE)*$C137</f>
        <v>43.44</v>
      </c>
      <c r="F137" s="114">
        <f>IFERROR(IF(A137=B137,0,VLOOKUP(A137,Chiller_Summary!A:E,2,FALSE))*C137,0)</f>
        <v>0</v>
      </c>
      <c r="G137" s="114" t="b">
        <f t="shared" si="2"/>
        <v>0</v>
      </c>
    </row>
    <row r="138" spans="1:8" hidden="1" x14ac:dyDescent="0.4">
      <c r="A138" s="114" t="s">
        <v>1298</v>
      </c>
      <c r="B138" s="114" t="s">
        <v>304</v>
      </c>
      <c r="C138" s="114">
        <v>1</v>
      </c>
      <c r="D138" s="114">
        <f>VLOOKUP($B138,Parts!$A:$G,IF(D$1="t",4,3),FALSE)*$C138</f>
        <v>1</v>
      </c>
      <c r="E138" s="114">
        <f>VLOOKUP($B138,Parts!$A:$G,IF(E$1="t",4,3),FALSE)*$C138</f>
        <v>57.95</v>
      </c>
      <c r="F138" s="114">
        <f>IFERROR(IF(A138=B138,0,VLOOKUP(A138,Chiller_Summary!A:E,2,FALSE))*C138,0)</f>
        <v>0</v>
      </c>
      <c r="G138" s="114" t="b">
        <f t="shared" si="2"/>
        <v>0</v>
      </c>
    </row>
    <row r="139" spans="1:8" hidden="1" x14ac:dyDescent="0.4">
      <c r="A139" s="114" t="s">
        <v>1298</v>
      </c>
      <c r="B139" s="114" t="s">
        <v>1344</v>
      </c>
      <c r="C139" s="114">
        <v>1</v>
      </c>
      <c r="D139" s="114">
        <f>VLOOKUP($B139,Parts!$A:$G,IF(D$1="t",4,3),FALSE)*$C139</f>
        <v>0</v>
      </c>
      <c r="E139" s="114">
        <f>VLOOKUP($B139,Parts!$A:$G,IF(E$1="t",4,3),FALSE)*$C139</f>
        <v>91.05</v>
      </c>
      <c r="F139" s="114">
        <f>IFERROR(IF(A139=B139,0,VLOOKUP(A139,Chiller_Summary!A:E,2,FALSE))*C139,0)</f>
        <v>0</v>
      </c>
      <c r="G139" s="114" t="b">
        <f t="shared" si="2"/>
        <v>0</v>
      </c>
    </row>
    <row r="140" spans="1:8" hidden="1" x14ac:dyDescent="0.4">
      <c r="A140" s="114" t="s">
        <v>1298</v>
      </c>
      <c r="B140" s="114" t="s">
        <v>1003</v>
      </c>
      <c r="C140" s="114">
        <v>2</v>
      </c>
      <c r="D140" s="114">
        <f>VLOOKUP($B140,Parts!$A:$G,IF(D$1="t",4,3),FALSE)*$C140</f>
        <v>0</v>
      </c>
      <c r="E140" s="114">
        <f>VLOOKUP($B140,Parts!$A:$G,IF(E$1="t",4,3),FALSE)*$C140</f>
        <v>32</v>
      </c>
      <c r="F140" s="114">
        <f>IFERROR(IF(A140=B140,0,VLOOKUP(A140,Chiller_Summary!A:E,2,FALSE))*C140,0)</f>
        <v>0</v>
      </c>
      <c r="G140" s="114" t="b">
        <f t="shared" si="2"/>
        <v>0</v>
      </c>
    </row>
    <row r="141" spans="1:8" hidden="1" x14ac:dyDescent="0.4">
      <c r="A141" s="114" t="s">
        <v>1298</v>
      </c>
      <c r="B141" s="114" t="s">
        <v>1004</v>
      </c>
      <c r="C141" s="114">
        <v>1</v>
      </c>
      <c r="D141" s="114">
        <f>VLOOKUP($B141,Parts!$A:$G,IF(D$1="t",4,3),FALSE)*$C141</f>
        <v>0</v>
      </c>
      <c r="E141" s="114">
        <f>VLOOKUP($B141,Parts!$A:$G,IF(E$1="t",4,3),FALSE)*$C141</f>
        <v>360</v>
      </c>
      <c r="F141" s="114">
        <f>IFERROR(IF(A141=B141,0,VLOOKUP(A141,Chiller_Summary!A:E,2,FALSE))*C141,0)</f>
        <v>0</v>
      </c>
      <c r="G141" s="114" t="b">
        <f t="shared" si="2"/>
        <v>0</v>
      </c>
    </row>
    <row r="142" spans="1:8" hidden="1" x14ac:dyDescent="0.4">
      <c r="A142" s="114" t="s">
        <v>1298</v>
      </c>
      <c r="B142" s="114" t="s">
        <v>1253</v>
      </c>
      <c r="C142" s="114">
        <v>1</v>
      </c>
      <c r="D142" s="114">
        <f>VLOOKUP($B142,Parts!$A:$G,IF(D$1="t",4,3),FALSE)*$C142</f>
        <v>0</v>
      </c>
      <c r="E142" s="114">
        <f>VLOOKUP($B142,Parts!$A:$G,IF(E$1="t",4,3),FALSE)*$C142</f>
        <v>60</v>
      </c>
      <c r="F142" s="114">
        <f>IFERROR(IF(A142=B142,0,VLOOKUP(A142,Chiller_Summary!A:E,2,FALSE))*C142,0)</f>
        <v>0</v>
      </c>
      <c r="G142" s="114" t="b">
        <f t="shared" si="2"/>
        <v>0</v>
      </c>
    </row>
    <row r="143" spans="1:8" hidden="1" x14ac:dyDescent="0.4">
      <c r="A143" s="114" t="s">
        <v>1298</v>
      </c>
      <c r="B143" s="114" t="s">
        <v>322</v>
      </c>
      <c r="C143" s="114">
        <v>1</v>
      </c>
      <c r="D143" s="114">
        <f>VLOOKUP($B143,Parts!$A:$G,IF(D$1="t",4,3),FALSE)*$C143</f>
        <v>0</v>
      </c>
      <c r="E143" s="114">
        <f>VLOOKUP($B143,Parts!$A:$G,IF(E$1="t",4,3),FALSE)*$C143</f>
        <v>0</v>
      </c>
      <c r="F143" s="114">
        <f>IFERROR(IF(A143=B143,0,VLOOKUP(A143,Chiller_Summary!A:E,2,FALSE))*C143,0)</f>
        <v>0</v>
      </c>
      <c r="G143" s="114" t="b">
        <f t="shared" si="2"/>
        <v>0</v>
      </c>
    </row>
    <row r="144" spans="1:8" hidden="1" x14ac:dyDescent="0.4">
      <c r="A144" s="114" t="s">
        <v>1298</v>
      </c>
      <c r="B144" s="441" t="s">
        <v>269</v>
      </c>
      <c r="D144" s="114">
        <f>VLOOKUP($B144,Parts!$A:$G,IF(D$1="t",4,3),FALSE)*$C144</f>
        <v>0</v>
      </c>
      <c r="E144" s="114">
        <f>VLOOKUP($B144,Parts!$A:$G,IF(E$1="t",4,3),FALSE)*$C144</f>
        <v>0</v>
      </c>
      <c r="F144" s="114">
        <f>IFERROR(IF(A144=B144,0,VLOOKUP(A144,Chiller_Summary!A:E,2,FALSE))*C144,0)</f>
        <v>0</v>
      </c>
      <c r="G144" s="114" t="b">
        <f t="shared" si="2"/>
        <v>0</v>
      </c>
    </row>
    <row r="145" spans="1:8" hidden="1" x14ac:dyDescent="0.4">
      <c r="A145" s="114" t="s">
        <v>1298</v>
      </c>
      <c r="B145" s="114" t="s">
        <v>267</v>
      </c>
      <c r="D145" s="114">
        <f>VLOOKUP($B145,Parts!$A:$G,IF(D$1="t",4,3),FALSE)*$C145</f>
        <v>0</v>
      </c>
      <c r="E145" s="114">
        <f>VLOOKUP($B145,Parts!$A:$G,IF(E$1="t",4,3),FALSE)*$C145</f>
        <v>0</v>
      </c>
      <c r="F145" s="114">
        <f>IFERROR(IF(A145=B145,0,VLOOKUP(A145,Chiller_Summary!A:E,2,FALSE))*C145,0)</f>
        <v>0</v>
      </c>
      <c r="G145" s="114" t="b">
        <f t="shared" si="2"/>
        <v>0</v>
      </c>
    </row>
    <row r="146" spans="1:8" x14ac:dyDescent="0.4">
      <c r="A146" s="114" t="s">
        <v>1300</v>
      </c>
      <c r="B146" s="114" t="s">
        <v>1300</v>
      </c>
      <c r="D146" s="114">
        <v>9999</v>
      </c>
      <c r="E146" s="114">
        <v>9999</v>
      </c>
      <c r="F146" s="114">
        <f>IFERROR(IF(A146=B146,0,VLOOKUP(A146,Chiller_Summary!A:E,2,FALSE))*C146,0)</f>
        <v>0</v>
      </c>
      <c r="G146" s="114" t="b">
        <f t="shared" si="2"/>
        <v>1</v>
      </c>
      <c r="H146" s="114" t="str">
        <f>B146</f>
        <v>Air Cooled Chiller</v>
      </c>
    </row>
    <row r="147" spans="1:8" x14ac:dyDescent="0.4">
      <c r="A147" s="114" t="s">
        <v>1301</v>
      </c>
      <c r="B147" s="114" t="s">
        <v>1301</v>
      </c>
      <c r="D147" s="114">
        <f>SUM(D148:D152)</f>
        <v>1</v>
      </c>
      <c r="E147" s="114">
        <f>SUM(E148:E152)</f>
        <v>584.44000000000005</v>
      </c>
      <c r="F147" s="114">
        <f>IFERROR(IF(A147=B147,0,VLOOKUP(A147,Chiller_Summary!A:E,2,FALSE))*C147,0)</f>
        <v>0</v>
      </c>
      <c r="G147" s="114" t="b">
        <f t="shared" si="2"/>
        <v>1</v>
      </c>
      <c r="H147" s="114" t="str">
        <f>B147</f>
        <v>Pump</v>
      </c>
    </row>
    <row r="148" spans="1:8" hidden="1" x14ac:dyDescent="0.4">
      <c r="A148" s="114" t="s">
        <v>1301</v>
      </c>
      <c r="B148" s="114" t="s">
        <v>1040</v>
      </c>
      <c r="C148" s="114">
        <v>1</v>
      </c>
      <c r="D148" s="114">
        <f>VLOOKUP($B148,Parts!$A:$G,IF(D$1="t",4,3),FALSE)*$C148</f>
        <v>0</v>
      </c>
      <c r="E148" s="114">
        <f>VLOOKUP($B148,Parts!$A:$G,IF(E$1="t",4,3),FALSE)*$C148</f>
        <v>43.44</v>
      </c>
      <c r="F148" s="114">
        <f>IFERROR(IF(A148=B148,0,VLOOKUP(A148,Chiller_Summary!A:E,2,FALSE))*C148,0)</f>
        <v>2</v>
      </c>
      <c r="G148" s="114" t="b">
        <f t="shared" si="2"/>
        <v>0</v>
      </c>
    </row>
    <row r="149" spans="1:8" hidden="1" x14ac:dyDescent="0.4">
      <c r="A149" s="114" t="s">
        <v>1301</v>
      </c>
      <c r="B149" s="114" t="s">
        <v>304</v>
      </c>
      <c r="C149" s="114">
        <v>1</v>
      </c>
      <c r="D149" s="114">
        <f>VLOOKUP($B149,Parts!$A:$G,IF(D$1="t",4,3),FALSE)*$C149</f>
        <v>1</v>
      </c>
      <c r="E149" s="114">
        <f>VLOOKUP($B149,Parts!$A:$G,IF(E$1="t",4,3),FALSE)*$C149</f>
        <v>57.95</v>
      </c>
      <c r="F149" s="114">
        <f>IFERROR(IF(A149=B149,0,VLOOKUP(A149,Chiller_Summary!A:E,2,FALSE))*C149,0)</f>
        <v>2</v>
      </c>
      <c r="G149" s="114" t="b">
        <f t="shared" si="2"/>
        <v>0</v>
      </c>
    </row>
    <row r="150" spans="1:8" hidden="1" x14ac:dyDescent="0.4">
      <c r="A150" s="114" t="s">
        <v>1301</v>
      </c>
      <c r="B150" s="114" t="s">
        <v>1344</v>
      </c>
      <c r="C150" s="114">
        <v>1</v>
      </c>
      <c r="D150" s="114">
        <f>VLOOKUP($B150,Parts!$A:$G,IF(D$1="t",4,3),FALSE)*$C150</f>
        <v>0</v>
      </c>
      <c r="E150" s="114">
        <f>VLOOKUP($B150,Parts!$A:$G,IF(E$1="t",4,3),FALSE)*$C150</f>
        <v>91.05</v>
      </c>
      <c r="F150" s="114">
        <f>IFERROR(IF(A150=B150,0,VLOOKUP(A150,Chiller_Summary!A:E,2,FALSE))*C150,0)</f>
        <v>2</v>
      </c>
      <c r="G150" s="114" t="b">
        <f t="shared" si="2"/>
        <v>0</v>
      </c>
    </row>
    <row r="151" spans="1:8" hidden="1" x14ac:dyDescent="0.4">
      <c r="A151" s="114" t="s">
        <v>1301</v>
      </c>
      <c r="B151" s="114" t="s">
        <v>1003</v>
      </c>
      <c r="C151" s="114">
        <v>2</v>
      </c>
      <c r="D151" s="114">
        <f>VLOOKUP($B151,Parts!$A:$G,IF(D$1="t",4,3),FALSE)*$C151</f>
        <v>0</v>
      </c>
      <c r="E151" s="114">
        <f>VLOOKUP($B151,Parts!$A:$G,IF(E$1="t",4,3),FALSE)*$C151</f>
        <v>32</v>
      </c>
      <c r="F151" s="114">
        <f>IFERROR(IF(A151=B151,0,VLOOKUP(A151,Chiller_Summary!A:E,2,FALSE))*C151,0)</f>
        <v>4</v>
      </c>
      <c r="G151" s="114" t="b">
        <f t="shared" si="2"/>
        <v>0</v>
      </c>
    </row>
    <row r="152" spans="1:8" hidden="1" x14ac:dyDescent="0.4">
      <c r="A152" s="114" t="s">
        <v>1301</v>
      </c>
      <c r="B152" s="114" t="s">
        <v>1004</v>
      </c>
      <c r="C152" s="114">
        <v>1</v>
      </c>
      <c r="D152" s="114">
        <f>VLOOKUP($B152,Parts!$A:$G,IF(D$1="t",4,3),FALSE)*$C152</f>
        <v>0</v>
      </c>
      <c r="E152" s="114">
        <f>VLOOKUP($B152,Parts!$A:$G,IF(E$1="t",4,3),FALSE)*$C152</f>
        <v>360</v>
      </c>
      <c r="F152" s="114">
        <f>IFERROR(IF(A152=B152,0,VLOOKUP(A152,Chiller_Summary!A:E,2,FALSE))*C152,0)</f>
        <v>2</v>
      </c>
      <c r="G152" s="114" t="b">
        <f t="shared" si="2"/>
        <v>0</v>
      </c>
    </row>
    <row r="153" spans="1:8" hidden="1" x14ac:dyDescent="0.4">
      <c r="A153" s="114" t="s">
        <v>1301</v>
      </c>
      <c r="B153" s="114" t="s">
        <v>268</v>
      </c>
      <c r="D153" s="114">
        <f>VLOOKUP($B153,Parts!$A:$G,IF(D$1="t",4,3),FALSE)*$C153</f>
        <v>0</v>
      </c>
      <c r="E153" s="114">
        <f>VLOOKUP($B153,Parts!$A:$G,IF(E$1="t",4,3),FALSE)*$C153</f>
        <v>0</v>
      </c>
      <c r="F153" s="114">
        <f>IFERROR(IF(A153=B153,0,VLOOKUP(A153,Chiller_Summary!A:E,2,FALSE))*C153,0)</f>
        <v>0</v>
      </c>
      <c r="G153" s="114" t="b">
        <f t="shared" si="2"/>
        <v>0</v>
      </c>
    </row>
    <row r="154" spans="1:8" hidden="1" x14ac:dyDescent="0.4">
      <c r="A154" s="114" t="s">
        <v>1301</v>
      </c>
      <c r="B154" s="114" t="s">
        <v>418</v>
      </c>
      <c r="D154" s="114">
        <f>VLOOKUP($B154,Parts!$A:$G,IF(D$1="t",4,3),FALSE)*$C154</f>
        <v>0</v>
      </c>
      <c r="E154" s="114">
        <f>VLOOKUP($B154,Parts!$A:$G,IF(E$1="t",4,3),FALSE)*$C154</f>
        <v>0</v>
      </c>
      <c r="F154" s="114">
        <f>IFERROR(IF(A154=B154,0,VLOOKUP(A154,Chiller_Summary!A:E,2,FALSE))*C154,0)</f>
        <v>0</v>
      </c>
      <c r="G154" s="114" t="b">
        <f t="shared" si="2"/>
        <v>0</v>
      </c>
    </row>
    <row r="155" spans="1:8" x14ac:dyDescent="0.4">
      <c r="A155" s="114" t="s">
        <v>1296</v>
      </c>
      <c r="B155" s="114" t="s">
        <v>1296</v>
      </c>
      <c r="D155" s="114">
        <f>SUM(D156:D157)</f>
        <v>1</v>
      </c>
      <c r="E155" s="114">
        <f>SUM(E156:E157)</f>
        <v>276</v>
      </c>
      <c r="F155" s="114">
        <f>IFERROR(IF(A155=B155,0,VLOOKUP(A155,Chiller_Summary!A:E,2,FALSE))*C155,0)</f>
        <v>0</v>
      </c>
      <c r="G155" s="114" t="b">
        <f t="shared" si="2"/>
        <v>1</v>
      </c>
      <c r="H155" s="114" t="s">
        <v>1477</v>
      </c>
    </row>
    <row r="156" spans="1:8" hidden="1" x14ac:dyDescent="0.4">
      <c r="A156" s="114" t="s">
        <v>1296</v>
      </c>
      <c r="B156" s="114" t="s">
        <v>325</v>
      </c>
      <c r="C156" s="114">
        <v>1</v>
      </c>
      <c r="D156" s="114">
        <f>VLOOKUP($B156,Parts!$A:$G,IF(D$1="t",4,3),FALSE)*$C156</f>
        <v>1</v>
      </c>
      <c r="E156" s="114">
        <f>VLOOKUP($B156,Parts!$A:$G,IF(E$1="t",4,3),FALSE)*$C156</f>
        <v>240</v>
      </c>
      <c r="F156" s="114">
        <f>IFERROR(IF(A156=B156,0,VLOOKUP(A156,Chiller_Summary!A:E,2,FALSE))*C156,0)</f>
        <v>2</v>
      </c>
      <c r="G156" s="114" t="b">
        <f t="shared" si="2"/>
        <v>0</v>
      </c>
    </row>
    <row r="157" spans="1:8" hidden="1" x14ac:dyDescent="0.4">
      <c r="A157" s="114" t="s">
        <v>1296</v>
      </c>
      <c r="B157" s="114" t="s">
        <v>278</v>
      </c>
      <c r="C157" s="114">
        <v>1</v>
      </c>
      <c r="D157" s="114">
        <f>VLOOKUP($B157,Parts!$A:$G,IF(D$1="t",4,3),FALSE)*$C157</f>
        <v>0</v>
      </c>
      <c r="E157" s="114">
        <f>VLOOKUP($B157,Parts!$A:$G,IF(E$1="t",4,3),FALSE)*$C157</f>
        <v>36</v>
      </c>
      <c r="F157" s="114">
        <f>IFERROR(IF(A157=B157,0,VLOOKUP(A157,Chiller_Summary!A:E,2,FALSE))*C157,0)</f>
        <v>2</v>
      </c>
      <c r="G157" s="114" t="b">
        <f t="shared" si="2"/>
        <v>0</v>
      </c>
    </row>
    <row r="158" spans="1:8" x14ac:dyDescent="0.4">
      <c r="A158" s="114" t="s">
        <v>1434</v>
      </c>
      <c r="B158" s="114" t="s">
        <v>1434</v>
      </c>
      <c r="D158" s="114">
        <f>SUM(D159:D160)</f>
        <v>2</v>
      </c>
      <c r="E158" s="114">
        <f>SUM(E159:E160)</f>
        <v>587.66000000000008</v>
      </c>
      <c r="F158" s="114">
        <f>IFERROR(IF(A158=B158,0,VLOOKUP(A158,Chiller_Summary!A:E,2,FALSE))*C158,0)</f>
        <v>0</v>
      </c>
      <c r="G158" s="114" t="b">
        <f t="shared" si="2"/>
        <v>1</v>
      </c>
      <c r="H158" s="114" t="s">
        <v>1474</v>
      </c>
    </row>
    <row r="159" spans="1:8" hidden="1" x14ac:dyDescent="0.4">
      <c r="A159" s="114" t="s">
        <v>1434</v>
      </c>
      <c r="B159" s="114" t="s">
        <v>1306</v>
      </c>
      <c r="C159" s="114">
        <v>1</v>
      </c>
      <c r="D159" s="114">
        <f>VLOOKUP($B159,Parts!$A:$G,IF(D$1="t",4,3),FALSE)*$C159</f>
        <v>2</v>
      </c>
      <c r="E159" s="114">
        <f>VLOOKUP($B159,Parts!$A:$G,IF(E$1="t",4,3),FALSE)*$C159</f>
        <v>541.20000000000005</v>
      </c>
      <c r="F159" s="114">
        <f>IFERROR(IF(A159=B159,0,VLOOKUP(A159,Chiller_Summary!A:E,2,FALSE))*C159,0)</f>
        <v>2</v>
      </c>
      <c r="G159" s="114" t="b">
        <f t="shared" si="2"/>
        <v>0</v>
      </c>
    </row>
    <row r="160" spans="1:8" hidden="1" x14ac:dyDescent="0.4">
      <c r="A160" s="114" t="s">
        <v>1434</v>
      </c>
      <c r="B160" s="114" t="s">
        <v>1039</v>
      </c>
      <c r="C160" s="114">
        <v>1</v>
      </c>
      <c r="D160" s="114">
        <f>VLOOKUP($B160,Parts!$A:$G,IF(D$1="t",4,3),FALSE)*$C160</f>
        <v>0</v>
      </c>
      <c r="E160" s="114">
        <f>VLOOKUP($B160,Parts!$A:$G,IF(E$1="t",4,3),FALSE)*$C160</f>
        <v>46.46</v>
      </c>
      <c r="F160" s="114">
        <f>IFERROR(IF(A160=B160,0,VLOOKUP(A160,Chiller_Summary!A:E,2,FALSE))*C160,0)</f>
        <v>2</v>
      </c>
      <c r="G160" s="114" t="b">
        <f t="shared" si="2"/>
        <v>0</v>
      </c>
    </row>
    <row r="161" spans="1:12" x14ac:dyDescent="0.4">
      <c r="A161" s="114" t="s">
        <v>1435</v>
      </c>
      <c r="B161" s="114" t="s">
        <v>1435</v>
      </c>
      <c r="D161" s="114">
        <f>SUM(D162:D163)</f>
        <v>2</v>
      </c>
      <c r="E161" s="114">
        <f>SUM(E162:E163)</f>
        <v>768.06000000000006</v>
      </c>
      <c r="F161" s="114">
        <f>IFERROR(IF(A161=B161,0,VLOOKUP(A161,Chiller_Summary!A:E,2,FALSE))*C161,0)</f>
        <v>0</v>
      </c>
      <c r="G161" s="114" t="b">
        <f t="shared" si="2"/>
        <v>1</v>
      </c>
      <c r="H161" s="114" t="s">
        <v>1475</v>
      </c>
    </row>
    <row r="162" spans="1:12" hidden="1" x14ac:dyDescent="0.4">
      <c r="A162" s="114" t="s">
        <v>1435</v>
      </c>
      <c r="B162" s="114" t="s">
        <v>1307</v>
      </c>
      <c r="C162" s="114">
        <v>1</v>
      </c>
      <c r="D162" s="114">
        <f>VLOOKUP($B162,Parts!$A:$G,IF(D$1="t",4,3),FALSE)*$C162</f>
        <v>2</v>
      </c>
      <c r="E162" s="114">
        <f>VLOOKUP($B162,Parts!$A:$G,IF(E$1="t",4,3),FALSE)*$C162</f>
        <v>721.6</v>
      </c>
      <c r="F162" s="114">
        <f>IFERROR(IF(A162=B162,0,VLOOKUP(A162,Chiller_Summary!A:E,2,FALSE))*C162,0)</f>
        <v>0</v>
      </c>
      <c r="G162" s="114" t="b">
        <f t="shared" si="2"/>
        <v>0</v>
      </c>
    </row>
    <row r="163" spans="1:12" hidden="1" x14ac:dyDescent="0.4">
      <c r="A163" s="114" t="s">
        <v>1435</v>
      </c>
      <c r="B163" s="114" t="s">
        <v>1039</v>
      </c>
      <c r="C163" s="114">
        <v>1</v>
      </c>
      <c r="D163" s="114">
        <f>VLOOKUP($B163,Parts!$A:$G,IF(D$1="t",4,3),FALSE)*$C163</f>
        <v>0</v>
      </c>
      <c r="E163" s="114">
        <f>VLOOKUP($B163,Parts!$A:$G,IF(E$1="t",4,3),FALSE)*$C163</f>
        <v>46.46</v>
      </c>
      <c r="F163" s="114">
        <f>IFERROR(IF(A163=B163,0,VLOOKUP(A163,Chiller_Summary!A:E,2,FALSE))*C163,0)</f>
        <v>0</v>
      </c>
      <c r="G163" s="114" t="b">
        <f t="shared" si="2"/>
        <v>0</v>
      </c>
    </row>
    <row r="164" spans="1:12" x14ac:dyDescent="0.4">
      <c r="A164" s="114" t="s">
        <v>1436</v>
      </c>
      <c r="B164" s="114" t="s">
        <v>1436</v>
      </c>
      <c r="D164" s="114">
        <f>SUM(D165:D166)</f>
        <v>2</v>
      </c>
      <c r="E164" s="114">
        <f>SUM(E165:E166)</f>
        <v>1068.3599999999999</v>
      </c>
      <c r="F164" s="114">
        <f>IFERROR(IF(A164=B164,0,VLOOKUP(A164,Chiller_Summary!A:E,2,FALSE))*C164,0)</f>
        <v>0</v>
      </c>
      <c r="G164" s="114" t="b">
        <f t="shared" si="2"/>
        <v>1</v>
      </c>
      <c r="H164" s="114" t="s">
        <v>1476</v>
      </c>
      <c r="L164" s="114" t="s">
        <v>1436</v>
      </c>
    </row>
    <row r="165" spans="1:12" hidden="1" x14ac:dyDescent="0.4">
      <c r="A165" s="114" t="s">
        <v>1436</v>
      </c>
      <c r="B165" s="114" t="s">
        <v>1308</v>
      </c>
      <c r="C165" s="114">
        <v>1</v>
      </c>
      <c r="D165" s="114">
        <f>VLOOKUP($B165,Parts!$A:$G,IF(D$1="t",4,3),FALSE)*$C165</f>
        <v>2</v>
      </c>
      <c r="E165" s="114">
        <f>VLOOKUP($B165,Parts!$A:$G,IF(E$1="t",4,3),FALSE)*$C165</f>
        <v>1021.9</v>
      </c>
      <c r="F165" s="114">
        <f>IFERROR(IF(A165=B165,0,VLOOKUP(A165,Chiller_Summary!A:E,2,FALSE))*C165,0)</f>
        <v>0</v>
      </c>
      <c r="G165" s="114" t="b">
        <f t="shared" si="2"/>
        <v>0</v>
      </c>
      <c r="L165" s="114" t="s">
        <v>1435</v>
      </c>
    </row>
    <row r="166" spans="1:12" hidden="1" x14ac:dyDescent="0.4">
      <c r="A166" s="114" t="s">
        <v>1436</v>
      </c>
      <c r="B166" s="114" t="s">
        <v>1039</v>
      </c>
      <c r="C166" s="114">
        <v>1</v>
      </c>
      <c r="D166" s="114">
        <f>VLOOKUP($B166,Parts!$A:$G,IF(D$1="t",4,3),FALSE)*$C166</f>
        <v>0</v>
      </c>
      <c r="E166" s="114">
        <f>VLOOKUP($B166,Parts!$A:$G,IF(E$1="t",4,3),FALSE)*$C166</f>
        <v>46.46</v>
      </c>
      <c r="F166" s="114">
        <f>IFERROR(IF(A166=B166,0,VLOOKUP(A166,Chiller_Summary!A:E,2,FALSE))*C166,0)</f>
        <v>0</v>
      </c>
      <c r="G166" s="114" t="b">
        <f t="shared" si="2"/>
        <v>0</v>
      </c>
      <c r="L166" s="114" t="s">
        <v>1434</v>
      </c>
    </row>
    <row r="167" spans="1:12" x14ac:dyDescent="0.4">
      <c r="A167" s="114" t="s">
        <v>1302</v>
      </c>
      <c r="B167" s="114" t="s">
        <v>1302</v>
      </c>
      <c r="D167" s="114">
        <f>SUM(D168:D177)+2</f>
        <v>2</v>
      </c>
      <c r="E167" s="114">
        <f>SUM(E168:E177)</f>
        <v>1076.95</v>
      </c>
      <c r="G167" s="114" t="b">
        <f t="shared" si="2"/>
        <v>1</v>
      </c>
      <c r="H167" s="114" t="str">
        <f>_xlfn.CONCAT(B167)</f>
        <v>EDH</v>
      </c>
    </row>
    <row r="168" spans="1:12" hidden="1" x14ac:dyDescent="0.4">
      <c r="A168" s="114" t="s">
        <v>1302</v>
      </c>
      <c r="B168" s="114" t="s">
        <v>1039</v>
      </c>
      <c r="C168" s="114">
        <v>1</v>
      </c>
      <c r="D168" s="114">
        <f>VLOOKUP($B168,Parts!$A:$G,IF(D$1="t",4,3),FALSE)*$C168</f>
        <v>0</v>
      </c>
      <c r="E168" s="114">
        <f>VLOOKUP($B168,Parts!$A:$G,IF(E$1="t",4,3),FALSE)*$C168</f>
        <v>46.46</v>
      </c>
      <c r="F168" s="114">
        <f>IFERROR(IF(A168=B168,0,VLOOKUP(A168,Chiller_Summary!A:E,2,FALSE))*C168,0)</f>
        <v>0</v>
      </c>
      <c r="G168" s="114" t="b">
        <f t="shared" si="2"/>
        <v>0</v>
      </c>
    </row>
    <row r="169" spans="1:12" hidden="1" x14ac:dyDescent="0.4">
      <c r="A169" s="114" t="s">
        <v>1302</v>
      </c>
      <c r="B169" s="114" t="s">
        <v>1040</v>
      </c>
      <c r="C169" s="114">
        <v>1</v>
      </c>
      <c r="D169" s="114">
        <f>VLOOKUP($B169,Parts!$A:$G,IF(D$1="t",4,3),FALSE)*$C169</f>
        <v>0</v>
      </c>
      <c r="E169" s="114">
        <f>VLOOKUP($B169,Parts!$A:$G,IF(E$1="t",4,3),FALSE)*$C169</f>
        <v>43.44</v>
      </c>
      <c r="F169" s="114">
        <f>IFERROR(IF(A169=B169,0,VLOOKUP(A169,Chiller_Summary!A:E,2,FALSE))*C169,0)</f>
        <v>0</v>
      </c>
      <c r="G169" s="114" t="b">
        <f t="shared" si="2"/>
        <v>0</v>
      </c>
    </row>
    <row r="170" spans="1:12" hidden="1" x14ac:dyDescent="0.4">
      <c r="A170" s="114" t="s">
        <v>1302</v>
      </c>
      <c r="B170" s="114" t="s">
        <v>1004</v>
      </c>
      <c r="C170" s="114">
        <v>1</v>
      </c>
      <c r="D170" s="114">
        <f>VLOOKUP($B170,Parts!$A:$G,IF(D$1="t",4,3),FALSE)*$C170</f>
        <v>0</v>
      </c>
      <c r="E170" s="114">
        <f>VLOOKUP($B170,Parts!$A:$G,IF(E$1="t",4,3),FALSE)*$C170</f>
        <v>360</v>
      </c>
      <c r="F170" s="114">
        <f>IFERROR(IF(A170=B170,0,VLOOKUP(A170,Chiller_Summary!A:E,2,FALSE))*C170,0)</f>
        <v>0</v>
      </c>
      <c r="G170" s="114" t="b">
        <f t="shared" si="2"/>
        <v>0</v>
      </c>
    </row>
    <row r="171" spans="1:12" hidden="1" x14ac:dyDescent="0.4">
      <c r="A171" s="114" t="s">
        <v>1302</v>
      </c>
      <c r="B171" s="114" t="s">
        <v>476</v>
      </c>
      <c r="C171" s="114">
        <v>1</v>
      </c>
      <c r="D171" s="114">
        <f>VLOOKUP($B171,Parts!$A:$G,IF(D$1="t",4,3),FALSE)*$C171</f>
        <v>0</v>
      </c>
      <c r="E171" s="114">
        <f>VLOOKUP($B171,Parts!$A:$G,IF(E$1="t",4,3),FALSE)*$C171</f>
        <v>324</v>
      </c>
      <c r="F171" s="114">
        <f>IFERROR(IF(A171=B171,0,VLOOKUP(A171,Chiller_Summary!A:E,2,FALSE))*C171,0)</f>
        <v>0</v>
      </c>
      <c r="G171" s="114" t="b">
        <f t="shared" si="2"/>
        <v>0</v>
      </c>
    </row>
    <row r="172" spans="1:12" hidden="1" x14ac:dyDescent="0.4">
      <c r="A172" s="114" t="s">
        <v>1302</v>
      </c>
      <c r="B172" s="114" t="s">
        <v>477</v>
      </c>
      <c r="C172" s="114">
        <v>1</v>
      </c>
      <c r="D172" s="114">
        <f>VLOOKUP($B172,Parts!$A:$G,IF(D$1="t",4,3),FALSE)*$C172</f>
        <v>0</v>
      </c>
      <c r="E172" s="114">
        <f>VLOOKUP($B172,Parts!$A:$G,IF(E$1="t",4,3),FALSE)*$C172</f>
        <v>180</v>
      </c>
      <c r="F172" s="114">
        <f>IFERROR(IF(A172=B172,0,VLOOKUP(A172,Chiller_Summary!A:E,2,FALSE))*C172,0)</f>
        <v>0</v>
      </c>
      <c r="G172" s="114" t="b">
        <f t="shared" si="2"/>
        <v>0</v>
      </c>
    </row>
    <row r="173" spans="1:12" hidden="1" x14ac:dyDescent="0.4">
      <c r="A173" s="114" t="s">
        <v>1302</v>
      </c>
      <c r="B173" s="114" t="s">
        <v>1344</v>
      </c>
      <c r="C173" s="114">
        <v>1</v>
      </c>
      <c r="D173" s="114">
        <f>VLOOKUP($B173,Parts!$A:$G,IF(D$1="t",4,3),FALSE)*$C173</f>
        <v>0</v>
      </c>
      <c r="E173" s="114">
        <f>VLOOKUP($B173,Parts!$A:$G,IF(E$1="t",4,3),FALSE)*$C173</f>
        <v>91.05</v>
      </c>
      <c r="F173" s="114">
        <f>IFERROR(IF(A173=B173,0,VLOOKUP(A173,Chiller_Summary!A:E,2,FALSE))*C173,0)</f>
        <v>0</v>
      </c>
      <c r="G173" s="114" t="b">
        <f t="shared" si="2"/>
        <v>0</v>
      </c>
    </row>
    <row r="174" spans="1:12" hidden="1" x14ac:dyDescent="0.4">
      <c r="A174" s="114" t="s">
        <v>1302</v>
      </c>
      <c r="B174" s="114" t="s">
        <v>1003</v>
      </c>
      <c r="C174" s="114">
        <v>2</v>
      </c>
      <c r="D174" s="114">
        <f>VLOOKUP($B174,Parts!$A:$G,IF(D$1="t",4,3),FALSE)*$C174</f>
        <v>0</v>
      </c>
      <c r="E174" s="114">
        <f>VLOOKUP($B174,Parts!$A:$G,IF(E$1="t",4,3),FALSE)*$C174</f>
        <v>32</v>
      </c>
      <c r="F174" s="114">
        <f>IFERROR(IF(A174=B174,0,VLOOKUP(A174,Chiller_Summary!A:E,2,FALSE))*C174,0)</f>
        <v>0</v>
      </c>
      <c r="G174" s="114" t="b">
        <f t="shared" si="2"/>
        <v>0</v>
      </c>
    </row>
    <row r="175" spans="1:12" hidden="1" x14ac:dyDescent="0.4">
      <c r="A175" s="114" t="s">
        <v>1302</v>
      </c>
      <c r="B175" s="114" t="s">
        <v>322</v>
      </c>
      <c r="C175" s="114">
        <v>1</v>
      </c>
      <c r="D175" s="114">
        <f>VLOOKUP($B175,Parts!$A:$G,IF(D$1="t",4,3),FALSE)*$C175</f>
        <v>0</v>
      </c>
      <c r="E175" s="114">
        <f>VLOOKUP($B175,Parts!$A:$G,IF(E$1="t",4,3),FALSE)*$C175</f>
        <v>0</v>
      </c>
      <c r="F175" s="114">
        <f>IFERROR(IF(A175=B175,0,VLOOKUP(A175,Chiller_Summary!A:E,2,FALSE))*C175,0)</f>
        <v>0</v>
      </c>
      <c r="G175" s="114" t="b">
        <f t="shared" si="2"/>
        <v>0</v>
      </c>
    </row>
    <row r="176" spans="1:12" hidden="1" x14ac:dyDescent="0.4">
      <c r="A176" s="114" t="s">
        <v>1302</v>
      </c>
      <c r="B176" s="441" t="s">
        <v>269</v>
      </c>
      <c r="D176" s="114">
        <f>VLOOKUP($B176,Parts!$A:$G,IF(D$1="t",4,3),FALSE)*$C176</f>
        <v>0</v>
      </c>
      <c r="E176" s="114">
        <f>VLOOKUP($B176,Parts!$A:$G,IF(E$1="t",4,3),FALSE)*$C176</f>
        <v>0</v>
      </c>
      <c r="F176" s="114">
        <f>IFERROR(IF(A176=B176,0,VLOOKUP(A176,Chiller_Summary!A:E,2,FALSE))*C176,0)</f>
        <v>0</v>
      </c>
      <c r="G176" s="114" t="b">
        <f t="shared" si="2"/>
        <v>0</v>
      </c>
    </row>
    <row r="177" spans="1:8" hidden="1" x14ac:dyDescent="0.4">
      <c r="A177" s="114" t="s">
        <v>1302</v>
      </c>
      <c r="B177" s="114" t="s">
        <v>267</v>
      </c>
      <c r="D177" s="114">
        <f>VLOOKUP($B177,Parts!$A:$G,IF(D$1="t",4,3),FALSE)*$C177</f>
        <v>0</v>
      </c>
      <c r="E177" s="114">
        <f>VLOOKUP($B177,Parts!$A:$G,IF(E$1="t",4,3),FALSE)*$C177</f>
        <v>0</v>
      </c>
      <c r="F177" s="114">
        <f>IFERROR(IF(A177=B177,0,VLOOKUP(A177,Chiller_Summary!A:E,2,FALSE))*C177,0)</f>
        <v>0</v>
      </c>
      <c r="G177" s="114" t="b">
        <f t="shared" si="2"/>
        <v>0</v>
      </c>
    </row>
    <row r="178" spans="1:8" x14ac:dyDescent="0.4">
      <c r="H178" s="114" t="str">
        <f>_xlfn.CONCAT(", ", B178)</f>
        <v xml:space="preserve">, </v>
      </c>
    </row>
    <row r="179" spans="1:8" x14ac:dyDescent="0.4">
      <c r="H179" s="114" t="str">
        <f>_xlfn.CONCAT(", ", B179)</f>
        <v xml:space="preserve">, </v>
      </c>
    </row>
    <row r="180" spans="1:8" x14ac:dyDescent="0.4">
      <c r="H180" s="114" t="str">
        <f>_xlfn.CONCAT(", ", B180)</f>
        <v xml:space="preserve">, </v>
      </c>
    </row>
  </sheetData>
  <autoFilter ref="G1:G180" xr:uid="{0763B477-688F-48AF-91A5-4BB6C86C0A17}">
    <filterColumn colId="0">
      <filters blank="1">
        <filter val="TRUE"/>
      </filters>
    </filterColumn>
  </autoFilter>
  <conditionalFormatting sqref="F1 B1:E75 B77:E82 C76:E76 B84:E89 C83:E83 B90:B91 B93:C96 C92:E92 B98:C98 B97:E97 B99:B115 A119:A122 B117:B122 C103:E122 C124:E124 C145 C135:E135 C146:E147 C157 C155:E155 C149:C154 B178:E1048576 C158:E158 C168:C177 C167:E167">
    <cfRule type="cellIs" dxfId="227" priority="45" operator="equal">
      <formula>""</formula>
    </cfRule>
  </conditionalFormatting>
  <conditionalFormatting sqref="A57:A68">
    <cfRule type="cellIs" dxfId="226" priority="26" operator="equal">
      <formula>""</formula>
    </cfRule>
  </conditionalFormatting>
  <conditionalFormatting sqref="A69:A72">
    <cfRule type="cellIs" dxfId="225" priority="25" operator="equal">
      <formula>""</formula>
    </cfRule>
  </conditionalFormatting>
  <conditionalFormatting sqref="A73:A75">
    <cfRule type="cellIs" dxfId="224" priority="24" operator="equal">
      <formula>""</formula>
    </cfRule>
  </conditionalFormatting>
  <conditionalFormatting sqref="A34:A36">
    <cfRule type="cellIs" dxfId="223" priority="34" operator="equal">
      <formula>""</formula>
    </cfRule>
  </conditionalFormatting>
  <conditionalFormatting sqref="A48:A49">
    <cfRule type="cellIs" dxfId="222" priority="30" operator="equal">
      <formula>""</formula>
    </cfRule>
  </conditionalFormatting>
  <conditionalFormatting sqref="A8:A13">
    <cfRule type="cellIs" dxfId="221" priority="44" operator="equal">
      <formula>""</formula>
    </cfRule>
  </conditionalFormatting>
  <conditionalFormatting sqref="A2:A7">
    <cfRule type="cellIs" dxfId="220" priority="43" operator="equal">
      <formula>""</formula>
    </cfRule>
  </conditionalFormatting>
  <conditionalFormatting sqref="A14:A15">
    <cfRule type="cellIs" dxfId="219" priority="42" operator="equal">
      <formula>""</formula>
    </cfRule>
  </conditionalFormatting>
  <conditionalFormatting sqref="A16:A17">
    <cfRule type="cellIs" dxfId="218" priority="41" operator="equal">
      <formula>""</formula>
    </cfRule>
  </conditionalFormatting>
  <conditionalFormatting sqref="A18:A19">
    <cfRule type="cellIs" dxfId="217" priority="40" operator="equal">
      <formula>""</formula>
    </cfRule>
  </conditionalFormatting>
  <conditionalFormatting sqref="A20:A21">
    <cfRule type="cellIs" dxfId="216" priority="39" operator="equal">
      <formula>""</formula>
    </cfRule>
  </conditionalFormatting>
  <conditionalFormatting sqref="A22:A23">
    <cfRule type="cellIs" dxfId="215" priority="38" operator="equal">
      <formula>""</formula>
    </cfRule>
  </conditionalFormatting>
  <conditionalFormatting sqref="A24:A25">
    <cfRule type="cellIs" dxfId="214" priority="37" operator="equal">
      <formula>""</formula>
    </cfRule>
  </conditionalFormatting>
  <conditionalFormatting sqref="A26:A27">
    <cfRule type="cellIs" dxfId="213" priority="36" operator="equal">
      <formula>""</formula>
    </cfRule>
  </conditionalFormatting>
  <conditionalFormatting sqref="A28:A33">
    <cfRule type="cellIs" dxfId="212" priority="35" operator="equal">
      <formula>""</formula>
    </cfRule>
  </conditionalFormatting>
  <conditionalFormatting sqref="A37:A39">
    <cfRule type="cellIs" dxfId="211" priority="33" operator="equal">
      <formula>""</formula>
    </cfRule>
  </conditionalFormatting>
  <conditionalFormatting sqref="A40:A43">
    <cfRule type="cellIs" dxfId="210" priority="32" operator="equal">
      <formula>""</formula>
    </cfRule>
  </conditionalFormatting>
  <conditionalFormatting sqref="A44:A47">
    <cfRule type="cellIs" dxfId="209" priority="31" operator="equal">
      <formula>""</formula>
    </cfRule>
  </conditionalFormatting>
  <conditionalFormatting sqref="A50:A51">
    <cfRule type="cellIs" dxfId="208" priority="29" operator="equal">
      <formula>""</formula>
    </cfRule>
  </conditionalFormatting>
  <conditionalFormatting sqref="A52:A53">
    <cfRule type="cellIs" dxfId="207" priority="28" operator="equal">
      <formula>""</formula>
    </cfRule>
  </conditionalFormatting>
  <conditionalFormatting sqref="A54:A56">
    <cfRule type="cellIs" dxfId="206" priority="27" operator="equal">
      <formula>""</formula>
    </cfRule>
  </conditionalFormatting>
  <conditionalFormatting sqref="C90:E91">
    <cfRule type="cellIs" dxfId="205" priority="23" operator="equal">
      <formula>""</formula>
    </cfRule>
  </conditionalFormatting>
  <conditionalFormatting sqref="D93:E96">
    <cfRule type="cellIs" dxfId="204" priority="22" operator="equal">
      <formula>""</formula>
    </cfRule>
  </conditionalFormatting>
  <conditionalFormatting sqref="C99:C102">
    <cfRule type="cellIs" dxfId="203" priority="21" operator="equal">
      <formula>""</formula>
    </cfRule>
  </conditionalFormatting>
  <conditionalFormatting sqref="D99:E102">
    <cfRule type="cellIs" dxfId="202" priority="20" operator="equal">
      <formula>""</formula>
    </cfRule>
  </conditionalFormatting>
  <conditionalFormatting sqref="D98:E98">
    <cfRule type="cellIs" dxfId="201" priority="19" operator="equal">
      <formula>""</formula>
    </cfRule>
  </conditionalFormatting>
  <conditionalFormatting sqref="B123:E123">
    <cfRule type="cellIs" dxfId="200" priority="18" operator="equal">
      <formula>""</formula>
    </cfRule>
  </conditionalFormatting>
  <conditionalFormatting sqref="C125:E134">
    <cfRule type="cellIs" dxfId="199" priority="17" operator="equal">
      <formula>""</formula>
    </cfRule>
  </conditionalFormatting>
  <conditionalFormatting sqref="D145:E145 C136:E144">
    <cfRule type="cellIs" dxfId="198" priority="16" operator="equal">
      <formula>""</formula>
    </cfRule>
  </conditionalFormatting>
  <conditionalFormatting sqref="C148:E148 D149:E154">
    <cfRule type="cellIs" dxfId="197" priority="15" operator="equal">
      <formula>""</formula>
    </cfRule>
  </conditionalFormatting>
  <conditionalFormatting sqref="C156">
    <cfRule type="cellIs" dxfId="196" priority="14" operator="equal">
      <formula>""</formula>
    </cfRule>
  </conditionalFormatting>
  <conditionalFormatting sqref="D156:E157">
    <cfRule type="cellIs" dxfId="195" priority="13" operator="equal">
      <formula>""</formula>
    </cfRule>
  </conditionalFormatting>
  <conditionalFormatting sqref="C160">
    <cfRule type="cellIs" dxfId="194" priority="12" operator="equal">
      <formula>""</formula>
    </cfRule>
  </conditionalFormatting>
  <conditionalFormatting sqref="C159">
    <cfRule type="cellIs" dxfId="193" priority="11" operator="equal">
      <formula>""</formula>
    </cfRule>
  </conditionalFormatting>
  <conditionalFormatting sqref="D159:E160">
    <cfRule type="cellIs" dxfId="192" priority="10" operator="equal">
      <formula>""</formula>
    </cfRule>
  </conditionalFormatting>
  <conditionalFormatting sqref="C161:E161">
    <cfRule type="cellIs" dxfId="191" priority="9" operator="equal">
      <formula>""</formula>
    </cfRule>
  </conditionalFormatting>
  <conditionalFormatting sqref="C163">
    <cfRule type="cellIs" dxfId="190" priority="8" operator="equal">
      <formula>""</formula>
    </cfRule>
  </conditionalFormatting>
  <conditionalFormatting sqref="C162">
    <cfRule type="cellIs" dxfId="189" priority="7" operator="equal">
      <formula>""</formula>
    </cfRule>
  </conditionalFormatting>
  <conditionalFormatting sqref="D162:E163">
    <cfRule type="cellIs" dxfId="188" priority="6" operator="equal">
      <formula>""</formula>
    </cfRule>
  </conditionalFormatting>
  <conditionalFormatting sqref="C164:E164">
    <cfRule type="cellIs" dxfId="187" priority="5" operator="equal">
      <formula>""</formula>
    </cfRule>
  </conditionalFormatting>
  <conditionalFormatting sqref="C166">
    <cfRule type="cellIs" dxfId="186" priority="4" operator="equal">
      <formula>""</formula>
    </cfRule>
  </conditionalFormatting>
  <conditionalFormatting sqref="C165">
    <cfRule type="cellIs" dxfId="185" priority="3" operator="equal">
      <formula>""</formula>
    </cfRule>
  </conditionalFormatting>
  <conditionalFormatting sqref="D165:E166">
    <cfRule type="cellIs" dxfId="184" priority="2" operator="equal">
      <formula>""</formula>
    </cfRule>
  </conditionalFormatting>
  <conditionalFormatting sqref="D168:E177">
    <cfRule type="cellIs" dxfId="183" priority="1" operator="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D594BB8-1D7B-4AAE-B0BE-57089D7D337E}">
          <x14:formula1>
            <xm:f>'D:\Github\IGOC-Workspace\Mech Elec Template\[AAA-MechElec - 1.0_SS.xlsx]Part List'!#REF!</xm:f>
          </x14:formula1>
          <xm:sqref>B101</xm:sqref>
        </x14:dataValidation>
        <x14:dataValidation type="list" allowBlank="1" showInputMessage="1" showErrorMessage="1" xr:uid="{49108820-57B2-4664-8030-6B11A7FA67CB}">
          <x14:formula1>
            <xm:f>'D:\Github\IGOC-Workspace\Mech Elec Template\[AAA-MechElec - 1.0_SS.xlsx]Part List'!#REF!</xm:f>
          </x14:formula1>
          <xm:sqref>B35:B36 B38:B39 B41:B43 B45:B47 B49 B51 B53 B125 B160 B163 B166 B168</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7AA0-425D-447F-AA83-1F4C41DAECE4}">
  <dimension ref="A1:O24"/>
  <sheetViews>
    <sheetView topLeftCell="B1" workbookViewId="0">
      <selection activeCell="M12" sqref="M12:M17"/>
    </sheetView>
  </sheetViews>
  <sheetFormatPr defaultRowHeight="14.6" x14ac:dyDescent="0.4"/>
  <cols>
    <col min="1" max="1" width="21.07421875" style="114" bestFit="1" customWidth="1"/>
    <col min="2" max="8" width="24.921875" style="114" customWidth="1"/>
    <col min="9" max="16384" width="9.23046875" style="114"/>
  </cols>
  <sheetData>
    <row r="1" spans="1:15" x14ac:dyDescent="0.4">
      <c r="A1" s="318" t="s">
        <v>676</v>
      </c>
      <c r="B1" s="114" t="s">
        <v>1032</v>
      </c>
      <c r="C1" s="318" t="s">
        <v>1294</v>
      </c>
      <c r="D1" s="318" t="s">
        <v>1296</v>
      </c>
      <c r="E1" s="318" t="s">
        <v>1295</v>
      </c>
      <c r="F1" s="318" t="s">
        <v>1297</v>
      </c>
      <c r="G1" s="318" t="s">
        <v>1417</v>
      </c>
      <c r="H1" s="318" t="s">
        <v>1416</v>
      </c>
      <c r="I1" s="318" t="s">
        <v>1415</v>
      </c>
      <c r="J1" s="318" t="s">
        <v>1414</v>
      </c>
      <c r="K1" s="318" t="s">
        <v>1412</v>
      </c>
      <c r="L1" s="114" t="s">
        <v>1432</v>
      </c>
      <c r="M1" s="418">
        <f>'[5]@Chiller'!X1</f>
        <v>0</v>
      </c>
      <c r="O1" s="114" t="s">
        <v>1018</v>
      </c>
    </row>
    <row r="2" spans="1:15" x14ac:dyDescent="0.4">
      <c r="A2" s="318" t="s">
        <v>1401</v>
      </c>
      <c r="B2" s="114" t="s">
        <v>1299</v>
      </c>
      <c r="C2" s="114" t="s">
        <v>885</v>
      </c>
      <c r="D2" s="114" t="s">
        <v>885</v>
      </c>
      <c r="E2" s="114" t="s">
        <v>885</v>
      </c>
      <c r="F2" s="114" t="s">
        <v>885</v>
      </c>
      <c r="G2" s="114" t="s">
        <v>885</v>
      </c>
      <c r="H2" s="114" t="s">
        <v>885</v>
      </c>
      <c r="I2" s="114" t="s">
        <v>885</v>
      </c>
      <c r="J2" s="114" t="s">
        <v>885</v>
      </c>
      <c r="K2" s="114" t="s">
        <v>885</v>
      </c>
      <c r="L2" s="114" t="s">
        <v>885</v>
      </c>
      <c r="M2" s="114" t="s">
        <v>1436</v>
      </c>
      <c r="O2" s="117" t="s">
        <v>1403</v>
      </c>
    </row>
    <row r="3" spans="1:15" x14ac:dyDescent="0.4">
      <c r="A3" s="318" t="s">
        <v>678</v>
      </c>
      <c r="B3" s="114" t="s">
        <v>1298</v>
      </c>
      <c r="C3" s="114" t="s">
        <v>886</v>
      </c>
      <c r="D3" s="114" t="s">
        <v>886</v>
      </c>
      <c r="E3" s="114" t="s">
        <v>886</v>
      </c>
      <c r="F3" s="114" t="s">
        <v>886</v>
      </c>
      <c r="G3" s="114" t="s">
        <v>886</v>
      </c>
      <c r="H3" s="114" t="s">
        <v>886</v>
      </c>
      <c r="I3" s="114" t="s">
        <v>886</v>
      </c>
      <c r="J3" s="114" t="s">
        <v>886</v>
      </c>
      <c r="K3" s="114" t="s">
        <v>886</v>
      </c>
      <c r="L3" s="114" t="s">
        <v>886</v>
      </c>
      <c r="M3" s="114" t="s">
        <v>1435</v>
      </c>
      <c r="O3" s="117" t="s">
        <v>1404</v>
      </c>
    </row>
    <row r="4" spans="1:15" x14ac:dyDescent="0.4">
      <c r="A4" s="318" t="s">
        <v>1402</v>
      </c>
      <c r="B4" s="114" t="s">
        <v>1300</v>
      </c>
      <c r="M4" s="114" t="s">
        <v>1434</v>
      </c>
      <c r="O4" s="117" t="s">
        <v>1405</v>
      </c>
    </row>
    <row r="5" spans="1:15" x14ac:dyDescent="0.4">
      <c r="A5" s="318"/>
      <c r="B5" s="114" t="s">
        <v>1301</v>
      </c>
      <c r="M5" s="480" t="s">
        <v>886</v>
      </c>
      <c r="O5" s="117" t="s">
        <v>1406</v>
      </c>
    </row>
    <row r="6" spans="1:15" x14ac:dyDescent="0.4">
      <c r="A6" s="318"/>
      <c r="B6" s="114" t="s">
        <v>1302</v>
      </c>
      <c r="O6" s="117" t="s">
        <v>1407</v>
      </c>
    </row>
    <row r="7" spans="1:15" x14ac:dyDescent="0.4">
      <c r="O7" s="117" t="s">
        <v>1408</v>
      </c>
    </row>
    <row r="8" spans="1:15" x14ac:dyDescent="0.4">
      <c r="O8" s="117" t="s">
        <v>1409</v>
      </c>
    </row>
    <row r="10" spans="1:15" x14ac:dyDescent="0.4">
      <c r="C10" s="318"/>
      <c r="D10" s="318"/>
      <c r="E10" s="318"/>
      <c r="F10" s="318"/>
      <c r="G10" s="318"/>
      <c r="H10" s="318"/>
      <c r="I10" s="318"/>
      <c r="J10" s="318"/>
      <c r="K10" s="318"/>
      <c r="L10" s="318"/>
      <c r="M10" s="318"/>
    </row>
    <row r="19" spans="1:8" x14ac:dyDescent="0.4">
      <c r="B19" s="117" t="s">
        <v>1403</v>
      </c>
      <c r="C19" s="117" t="s">
        <v>1404</v>
      </c>
      <c r="D19" s="117" t="s">
        <v>1405</v>
      </c>
      <c r="E19" s="117" t="s">
        <v>1406</v>
      </c>
      <c r="F19" s="117" t="s">
        <v>1407</v>
      </c>
      <c r="G19" s="117" t="s">
        <v>1408</v>
      </c>
      <c r="H19" s="117" t="s">
        <v>1409</v>
      </c>
    </row>
    <row r="20" spans="1:8" x14ac:dyDescent="0.4">
      <c r="A20" s="114" t="s">
        <v>1299</v>
      </c>
      <c r="E20" s="114">
        <v>10</v>
      </c>
    </row>
    <row r="21" spans="1:8" x14ac:dyDescent="0.4">
      <c r="A21" s="114" t="s">
        <v>1298</v>
      </c>
      <c r="D21" s="114">
        <v>10</v>
      </c>
      <c r="E21" s="114">
        <v>10</v>
      </c>
    </row>
    <row r="22" spans="1:8" x14ac:dyDescent="0.4">
      <c r="A22" s="114" t="s">
        <v>1300</v>
      </c>
    </row>
    <row r="23" spans="1:8" x14ac:dyDescent="0.4">
      <c r="A23" s="114" t="s">
        <v>1301</v>
      </c>
      <c r="B23" s="114">
        <v>10</v>
      </c>
      <c r="C23" s="114">
        <v>10</v>
      </c>
      <c r="D23" s="446"/>
    </row>
    <row r="24" spans="1:8" x14ac:dyDescent="0.4">
      <c r="A24" s="114" t="s">
        <v>1302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CFE5-D5D2-442D-A201-5738112DC6BC}">
  <dimension ref="A1:AA24"/>
  <sheetViews>
    <sheetView workbookViewId="0">
      <selection activeCell="L15" sqref="L15"/>
    </sheetView>
  </sheetViews>
  <sheetFormatPr defaultRowHeight="14.6" outlineLevelCol="1" x14ac:dyDescent="0.4"/>
  <cols>
    <col min="1" max="1" width="10.921875" style="549" bestFit="1" customWidth="1"/>
    <col min="2" max="2" width="26.921875" style="318" bestFit="1" customWidth="1"/>
    <col min="3" max="3" width="12.69140625" style="543" bestFit="1" customWidth="1"/>
    <col min="4" max="4" width="12.69140625" style="318" bestFit="1" customWidth="1"/>
    <col min="5" max="11" width="13.07421875" style="542" customWidth="1" outlineLevel="1"/>
    <col min="12" max="12" width="12.69140625" style="318" bestFit="1" customWidth="1"/>
    <col min="13" max="13" width="12.69140625" style="534" bestFit="1" customWidth="1"/>
    <col min="14" max="14" width="12.69140625" style="318" bestFit="1" customWidth="1"/>
    <col min="15" max="16" width="12.69140625" style="534" bestFit="1" customWidth="1"/>
    <col min="17" max="19" width="1.921875" style="542" customWidth="1" outlineLevel="1"/>
    <col min="20" max="20" width="9.23046875" style="542" customWidth="1" outlineLevel="1"/>
    <col min="21" max="21" width="1.921875" style="542" customWidth="1" outlineLevel="1"/>
    <col min="22" max="22" width="9.23046875" style="318" customWidth="1" outlineLevel="1"/>
    <col min="23" max="23" width="64.921875" style="318" customWidth="1" outlineLevel="1"/>
    <col min="24" max="26" width="9.23046875" style="318" customWidth="1" outlineLevel="1"/>
    <col min="27" max="16384" width="9.23046875" style="318"/>
  </cols>
  <sheetData>
    <row r="1" spans="1:27" x14ac:dyDescent="0.4">
      <c r="A1" s="548" t="s">
        <v>1427</v>
      </c>
      <c r="C1" s="318"/>
      <c r="N1" s="318" t="s">
        <v>1421</v>
      </c>
      <c r="Q1" s="541"/>
      <c r="R1" s="541"/>
      <c r="S1" s="541"/>
    </row>
    <row r="2" spans="1:27" x14ac:dyDescent="0.4">
      <c r="A2" s="549" t="s">
        <v>1427</v>
      </c>
      <c r="C2" s="318"/>
      <c r="N2" s="533" t="s">
        <v>716</v>
      </c>
      <c r="O2" s="535" t="s">
        <v>717</v>
      </c>
      <c r="P2" s="536" t="s">
        <v>353</v>
      </c>
      <c r="Q2" s="541"/>
      <c r="R2" s="541"/>
      <c r="S2" s="541"/>
    </row>
    <row r="3" spans="1:27" x14ac:dyDescent="0.4">
      <c r="A3" s="549" t="s">
        <v>1427</v>
      </c>
      <c r="C3" s="318"/>
      <c r="N3" s="545" t="e">
        <f>SUM(Q:Q)</f>
        <v>#N/A</v>
      </c>
      <c r="O3" s="534" t="e">
        <f>SUM(R:R)</f>
        <v>#N/A</v>
      </c>
      <c r="P3" s="534" t="e">
        <f>SUM(S:S)</f>
        <v>#N/A</v>
      </c>
      <c r="Q3" s="541"/>
      <c r="R3" s="589" t="s">
        <v>1426</v>
      </c>
      <c r="S3" s="590"/>
      <c r="T3" s="591"/>
    </row>
    <row r="4" spans="1:27" x14ac:dyDescent="0.4">
      <c r="A4" s="549" t="str">
        <f>$C5</f>
        <v>[Unit Name]</v>
      </c>
      <c r="B4" s="547" t="str">
        <f>A4</f>
        <v>[Unit Name]</v>
      </c>
      <c r="C4" s="547" t="str">
        <f t="shared" ref="C4:P4" si="0">B4</f>
        <v>[Unit Name]</v>
      </c>
      <c r="D4" s="547" t="str">
        <f t="shared" si="0"/>
        <v>[Unit Name]</v>
      </c>
      <c r="E4" s="547" t="str">
        <f t="shared" si="0"/>
        <v>[Unit Name]</v>
      </c>
      <c r="F4" s="547" t="str">
        <f t="shared" si="0"/>
        <v>[Unit Name]</v>
      </c>
      <c r="G4" s="547" t="str">
        <f t="shared" si="0"/>
        <v>[Unit Name]</v>
      </c>
      <c r="H4" s="547" t="str">
        <f t="shared" si="0"/>
        <v>[Unit Name]</v>
      </c>
      <c r="I4" s="547" t="str">
        <f t="shared" si="0"/>
        <v>[Unit Name]</v>
      </c>
      <c r="J4" s="547" t="str">
        <f t="shared" si="0"/>
        <v>[Unit Name]</v>
      </c>
      <c r="K4" s="547" t="str">
        <f t="shared" si="0"/>
        <v>[Unit Name]</v>
      </c>
      <c r="L4" s="547" t="str">
        <f t="shared" si="0"/>
        <v>[Unit Name]</v>
      </c>
      <c r="M4" s="547" t="str">
        <f t="shared" si="0"/>
        <v>[Unit Name]</v>
      </c>
      <c r="N4" s="547" t="str">
        <f t="shared" si="0"/>
        <v>[Unit Name]</v>
      </c>
      <c r="O4" s="547" t="str">
        <f t="shared" si="0"/>
        <v>[Unit Name]</v>
      </c>
      <c r="P4" s="547" t="str">
        <f t="shared" si="0"/>
        <v>[Unit Name]</v>
      </c>
      <c r="Q4" s="541"/>
      <c r="R4" s="589"/>
      <c r="S4" s="590"/>
      <c r="T4" s="591"/>
    </row>
    <row r="5" spans="1:27" x14ac:dyDescent="0.4">
      <c r="A5" s="549" t="str">
        <f>$C5</f>
        <v>[Unit Name]</v>
      </c>
      <c r="B5" s="539" t="s">
        <v>1394</v>
      </c>
      <c r="C5" s="543" t="s">
        <v>1428</v>
      </c>
      <c r="D5" s="318" t="s">
        <v>1441</v>
      </c>
      <c r="L5" s="318" t="str">
        <f>_xlfn.CONCAT(W:W)</f>
        <v xml:space="preserve">Commissioning and Install for 1 Motorised Damper
Commissioning and Install for 1 Smoke Damper
Labour associated with make safe &amp; disconnect for 1 three phase unit
Labour associated with make safe &amp; disconnect for 1 single phase unit
</v>
      </c>
      <c r="Q5" s="541"/>
      <c r="R5" s="541"/>
      <c r="S5" s="541"/>
      <c r="AA5" s="318" t="str">
        <f>IF(D5="Header",IF(C8&gt;0,L5,""),"")</f>
        <v xml:space="preserve">Commissioning and Install for 1 Motorised Damper
Commissioning and Install for 1 Smoke Damper
Labour associated with make safe &amp; disconnect for 1 three phase unit
Labour associated with make safe &amp; disconnect for 1 single phase unit
</v>
      </c>
    </row>
    <row r="6" spans="1:27" s="537" customFormat="1" x14ac:dyDescent="0.4">
      <c r="A6" s="549" t="str">
        <f>$C5</f>
        <v>[Unit Name]</v>
      </c>
      <c r="B6" s="539" t="s">
        <v>1399</v>
      </c>
      <c r="C6" s="543"/>
      <c r="E6" s="541"/>
      <c r="F6" s="583" t="s">
        <v>1420</v>
      </c>
      <c r="G6" s="584"/>
      <c r="H6" s="584"/>
      <c r="I6" s="584"/>
      <c r="J6" s="585"/>
      <c r="K6" s="541"/>
      <c r="M6" s="538"/>
      <c r="O6" s="538"/>
      <c r="P6" s="538"/>
      <c r="Q6" s="541"/>
      <c r="R6" s="541"/>
      <c r="S6" s="541"/>
      <c r="T6" s="542"/>
      <c r="U6" s="541"/>
    </row>
    <row r="7" spans="1:27" s="537" customFormat="1" x14ac:dyDescent="0.4">
      <c r="A7" s="549" t="str">
        <f>$C5</f>
        <v>[Unit Name]</v>
      </c>
      <c r="B7" s="539" t="s">
        <v>742</v>
      </c>
      <c r="C7" s="543"/>
      <c r="E7" s="541"/>
      <c r="F7" s="586"/>
      <c r="G7" s="587"/>
      <c r="H7" s="587"/>
      <c r="I7" s="587"/>
      <c r="J7" s="588"/>
      <c r="K7" s="541"/>
      <c r="M7" s="540"/>
      <c r="N7" s="533" t="s">
        <v>716</v>
      </c>
      <c r="O7" s="535" t="s">
        <v>717</v>
      </c>
      <c r="P7" s="536" t="s">
        <v>353</v>
      </c>
      <c r="Q7" s="541">
        <f t="shared" ref="Q7:S14" si="1">IF(N5=N$2,N7,0)</f>
        <v>0</v>
      </c>
      <c r="R7" s="541">
        <f t="shared" si="1"/>
        <v>0</v>
      </c>
      <c r="S7" s="541">
        <f t="shared" si="1"/>
        <v>0</v>
      </c>
      <c r="T7" s="542"/>
      <c r="U7" s="541"/>
    </row>
    <row r="8" spans="1:27" s="537" customFormat="1" x14ac:dyDescent="0.4">
      <c r="A8" s="549" t="str">
        <f>$C5</f>
        <v>[Unit Name]</v>
      </c>
      <c r="B8" s="539" t="s">
        <v>843</v>
      </c>
      <c r="C8" s="420">
        <v>1</v>
      </c>
      <c r="D8" s="539"/>
      <c r="E8" s="541"/>
      <c r="F8" s="541"/>
      <c r="G8" s="541"/>
      <c r="H8" s="541"/>
      <c r="I8" s="541"/>
      <c r="J8" s="541"/>
      <c r="K8" s="541"/>
      <c r="M8" s="538" t="s">
        <v>1394</v>
      </c>
      <c r="N8" s="423" t="e">
        <f>SUM(N11:N24)</f>
        <v>#N/A</v>
      </c>
      <c r="O8" s="423" t="e">
        <f>SUM(O11:O24)</f>
        <v>#N/A</v>
      </c>
      <c r="P8" s="423" t="e">
        <f>SUM(P11:P24)</f>
        <v>#N/A</v>
      </c>
      <c r="Q8" s="541">
        <f t="shared" si="1"/>
        <v>0</v>
      </c>
      <c r="R8" s="541">
        <f t="shared" si="1"/>
        <v>0</v>
      </c>
      <c r="S8" s="541">
        <f t="shared" si="1"/>
        <v>0</v>
      </c>
      <c r="T8" s="542"/>
      <c r="U8" s="541"/>
    </row>
    <row r="9" spans="1:27" s="537" customFormat="1" x14ac:dyDescent="0.4">
      <c r="A9" s="549" t="str">
        <f>$C5</f>
        <v>[Unit Name]</v>
      </c>
      <c r="B9" s="539" t="s">
        <v>929</v>
      </c>
      <c r="C9" s="543"/>
      <c r="D9" s="539"/>
      <c r="E9" s="305" t="s">
        <v>1403</v>
      </c>
      <c r="F9" s="305" t="s">
        <v>1404</v>
      </c>
      <c r="G9" s="305" t="s">
        <v>1405</v>
      </c>
      <c r="H9" s="305" t="s">
        <v>1406</v>
      </c>
      <c r="I9" s="305" t="s">
        <v>1407</v>
      </c>
      <c r="J9" s="305" t="s">
        <v>1408</v>
      </c>
      <c r="K9" s="305" t="s">
        <v>1409</v>
      </c>
      <c r="M9" s="538" t="s">
        <v>893</v>
      </c>
      <c r="N9" s="114" t="e">
        <f>N8*$C8</f>
        <v>#N/A</v>
      </c>
      <c r="O9" s="423" t="e">
        <f>O8*$C8</f>
        <v>#N/A</v>
      </c>
      <c r="P9" s="423" t="e">
        <f>P8*$C8</f>
        <v>#N/A</v>
      </c>
      <c r="Q9" s="541" t="e">
        <f t="shared" si="1"/>
        <v>#N/A</v>
      </c>
      <c r="R9" s="541" t="e">
        <f t="shared" si="1"/>
        <v>#N/A</v>
      </c>
      <c r="S9" s="541" t="e">
        <f t="shared" si="1"/>
        <v>#N/A</v>
      </c>
      <c r="T9" s="542"/>
      <c r="U9" s="541"/>
    </row>
    <row r="10" spans="1:27" s="539" customFormat="1" x14ac:dyDescent="0.4">
      <c r="A10" s="549" t="str">
        <f>$C5</f>
        <v>[Unit Name]</v>
      </c>
      <c r="B10" s="539" t="s">
        <v>994</v>
      </c>
      <c r="C10" s="544" t="s">
        <v>1400</v>
      </c>
      <c r="D10" s="539" t="s">
        <v>843</v>
      </c>
      <c r="E10" s="305">
        <f t="shared" ref="E10:K10" si="2">SUM(E11:E16)</f>
        <v>10</v>
      </c>
      <c r="F10" s="305">
        <f t="shared" si="2"/>
        <v>0</v>
      </c>
      <c r="G10" s="305">
        <f t="shared" si="2"/>
        <v>10</v>
      </c>
      <c r="H10" s="305">
        <f t="shared" si="2"/>
        <v>0</v>
      </c>
      <c r="I10" s="305">
        <f t="shared" si="2"/>
        <v>0</v>
      </c>
      <c r="J10" s="305">
        <f t="shared" si="2"/>
        <v>0</v>
      </c>
      <c r="K10" s="305">
        <f t="shared" si="2"/>
        <v>0</v>
      </c>
      <c r="L10" s="539" t="s">
        <v>1395</v>
      </c>
      <c r="M10" s="540" t="s">
        <v>1396</v>
      </c>
      <c r="N10" s="539" t="s">
        <v>996</v>
      </c>
      <c r="O10" s="540" t="s">
        <v>995</v>
      </c>
      <c r="P10" s="540" t="s">
        <v>1397</v>
      </c>
      <c r="Q10" s="541" t="e">
        <f t="shared" si="1"/>
        <v>#N/A</v>
      </c>
      <c r="R10" s="541" t="e">
        <f t="shared" si="1"/>
        <v>#N/A</v>
      </c>
      <c r="S10" s="541" t="e">
        <f t="shared" si="1"/>
        <v>#N/A</v>
      </c>
      <c r="T10" s="542"/>
      <c r="U10" s="541"/>
    </row>
    <row r="11" spans="1:27" x14ac:dyDescent="0.4">
      <c r="A11" s="549" t="str">
        <f>$C5</f>
        <v>[Unit Name]</v>
      </c>
      <c r="B11" s="114" t="s">
        <v>1330</v>
      </c>
      <c r="C11" s="543" t="b">
        <v>1</v>
      </c>
      <c r="D11" s="318">
        <v>1</v>
      </c>
      <c r="L11" s="318">
        <f>IF(C11,VLOOKUP(B11,Other_Pricing!B:E,IF(L$10="t [U]",3,4),FALSE),0)</f>
        <v>9999</v>
      </c>
      <c r="M11" s="318">
        <f>IF(C11,VLOOKUP(B11,Other_Pricing!B:E,IF(M$10="t [U]",3,4),FALSE),0)</f>
        <v>9999</v>
      </c>
      <c r="N11" s="318">
        <f t="shared" ref="N11:N14" si="3">D11*L11</f>
        <v>9999</v>
      </c>
      <c r="O11" s="534">
        <f t="shared" ref="O11:O14" si="4">M11*D11</f>
        <v>9999</v>
      </c>
      <c r="P11" s="534">
        <f>N11*Takeoff_Backend!$B$1+O11</f>
        <v>809919</v>
      </c>
      <c r="Q11" s="541" t="e">
        <f t="shared" si="1"/>
        <v>#N/A</v>
      </c>
      <c r="R11" s="541" t="e">
        <f t="shared" ref="R11:R12" si="5">IF(O9=O$2,O11,0)</f>
        <v>#N/A</v>
      </c>
      <c r="S11" s="541" t="e">
        <f t="shared" ref="S11:S12" si="6">IF(P9=P$2,P11,0)</f>
        <v>#N/A</v>
      </c>
      <c r="U11" s="542">
        <f>D11*C8</f>
        <v>1</v>
      </c>
      <c r="W11" s="318" t="str">
        <f>IF(D11&gt;0,_xlfn.CONCAT("Commissioning and Install for ",D11, " ", X11, IF(D11&gt;1,"s",""),"
"),"")</f>
        <v xml:space="preserve">Commissioning and Install for 1 Motorised Damper
</v>
      </c>
      <c r="X11" s="318" t="str">
        <f>B11</f>
        <v>Motorised Damper</v>
      </c>
    </row>
    <row r="12" spans="1:27" x14ac:dyDescent="0.4">
      <c r="A12" s="549" t="str">
        <f>$C5</f>
        <v>[Unit Name]</v>
      </c>
      <c r="B12" s="114" t="s">
        <v>1331</v>
      </c>
      <c r="C12" s="543" t="b">
        <v>1</v>
      </c>
      <c r="D12" s="318">
        <v>1</v>
      </c>
      <c r="L12" s="318">
        <f>IF(C12,VLOOKUP(B12,Other_Pricing!B:E,IF(L$10="t [U]",3,4),FALSE),0)</f>
        <v>9999</v>
      </c>
      <c r="M12" s="318">
        <f>IF(C12,VLOOKUP(B12,Other_Pricing!B:E,IF(M$10="t [U]",3,4),FALSE),0)</f>
        <v>9999</v>
      </c>
      <c r="N12" s="318">
        <f t="shared" si="3"/>
        <v>9999</v>
      </c>
      <c r="O12" s="534">
        <f t="shared" si="4"/>
        <v>9999</v>
      </c>
      <c r="P12" s="534">
        <f>N12*Takeoff_Backend!$B$1+O12</f>
        <v>809919</v>
      </c>
      <c r="Q12" s="541">
        <f t="shared" si="1"/>
        <v>0</v>
      </c>
      <c r="R12" s="541">
        <f t="shared" si="5"/>
        <v>0</v>
      </c>
      <c r="S12" s="541">
        <f t="shared" si="6"/>
        <v>0</v>
      </c>
      <c r="U12" s="542">
        <f>D12*C8</f>
        <v>1</v>
      </c>
      <c r="W12" s="318" t="str">
        <f>IF(D11&gt;0,_xlfn.CONCAT("Commissioning and Install for ",D12, " ", X12,IF(D12&gt;1,"s",""), "
"),"")</f>
        <v xml:space="preserve">Commissioning and Install for 1 Smoke Damper
</v>
      </c>
      <c r="X12" s="318" t="str">
        <f>B12</f>
        <v>Smoke Damper</v>
      </c>
    </row>
    <row r="13" spans="1:27" x14ac:dyDescent="0.4">
      <c r="A13" s="549" t="str">
        <f>$C5</f>
        <v>[Unit Name]</v>
      </c>
      <c r="B13" s="114" t="s">
        <v>1438</v>
      </c>
      <c r="C13" s="543" t="b">
        <v>1</v>
      </c>
      <c r="D13" s="446">
        <v>1</v>
      </c>
      <c r="L13" s="318">
        <f>IF(C13,VLOOKUP(B13,Other_Pricing!B:E,IF(L$10="t [U]",3,4),FALSE),0)</f>
        <v>0.5</v>
      </c>
      <c r="M13" s="318">
        <f>IF(C13,VLOOKUP(B13,Other_Pricing!B:E,IF(M$10="t [U]",3,4),FALSE),0)</f>
        <v>0</v>
      </c>
      <c r="N13" s="318">
        <f t="shared" si="3"/>
        <v>0.5</v>
      </c>
      <c r="O13" s="534">
        <f t="shared" si="4"/>
        <v>0</v>
      </c>
      <c r="P13" s="534">
        <f>N13*Takeoff_Backend!$B$1+O13</f>
        <v>40</v>
      </c>
      <c r="Q13" s="541">
        <f t="shared" si="1"/>
        <v>0</v>
      </c>
      <c r="R13" s="541">
        <f t="shared" si="1"/>
        <v>0</v>
      </c>
      <c r="S13" s="541">
        <f t="shared" si="1"/>
        <v>0</v>
      </c>
      <c r="U13" s="542">
        <f>D13*C8</f>
        <v>1</v>
      </c>
      <c r="W13" s="318" t="str">
        <f>IF(D11&gt;0,_xlfn.CONCAT("Labour associated with ", X13, " for ", D13, " ",Y13," phase unit", IF(D13&gt;1,"s",""), "
"),"")</f>
        <v xml:space="preserve">Labour associated with make safe &amp; disconnect for 1 three phase unit
</v>
      </c>
      <c r="X13" s="318" t="s">
        <v>1479</v>
      </c>
      <c r="Y13" s="318" t="s">
        <v>8</v>
      </c>
    </row>
    <row r="14" spans="1:27" x14ac:dyDescent="0.4">
      <c r="A14" s="549" t="str">
        <f>$C5</f>
        <v>[Unit Name]</v>
      </c>
      <c r="B14" s="114" t="s">
        <v>1439</v>
      </c>
      <c r="C14" s="543" t="b">
        <v>1</v>
      </c>
      <c r="D14" s="446">
        <v>1</v>
      </c>
      <c r="L14" s="318">
        <f>IF(C14,VLOOKUP(B14,Other_Pricing!B:E,IF(L$10="t [U]",3,4),FALSE),0)</f>
        <v>0.25</v>
      </c>
      <c r="M14" s="318">
        <f>IF(C14,VLOOKUP(B14,Other_Pricing!B:E,IF(M$10="t [U]",3,4),FALSE),0)</f>
        <v>0</v>
      </c>
      <c r="N14" s="318">
        <f t="shared" si="3"/>
        <v>0.25</v>
      </c>
      <c r="O14" s="534">
        <f t="shared" si="4"/>
        <v>0</v>
      </c>
      <c r="P14" s="534">
        <f>N14*Takeoff_Backend!$B$1+O14</f>
        <v>20</v>
      </c>
      <c r="Q14" s="541">
        <f t="shared" si="1"/>
        <v>0</v>
      </c>
      <c r="R14" s="541">
        <f t="shared" si="1"/>
        <v>0</v>
      </c>
      <c r="S14" s="541">
        <f t="shared" si="1"/>
        <v>0</v>
      </c>
      <c r="U14" s="542">
        <f>D14*C8</f>
        <v>1</v>
      </c>
      <c r="W14" s="318" t="str">
        <f>IF(D11&gt;0,_xlfn.CONCAT("Labour associated with ", X14, " for ", D14, " ",Y14," phase unit", IF(D14&gt;1,"s",""), "
"),"")</f>
        <v xml:space="preserve">Labour associated with make safe &amp; disconnect for 1 single phase unit
</v>
      </c>
      <c r="X14" s="318" t="s">
        <v>1479</v>
      </c>
      <c r="Y14" s="318" t="s">
        <v>1480</v>
      </c>
    </row>
    <row r="15" spans="1:27" x14ac:dyDescent="0.4">
      <c r="A15" s="549" t="str">
        <f>$C5</f>
        <v>[Unit Name]</v>
      </c>
      <c r="B15" s="114" t="s">
        <v>1482</v>
      </c>
      <c r="C15" s="543" t="b">
        <v>1</v>
      </c>
      <c r="D15" s="446">
        <v>1</v>
      </c>
      <c r="E15" s="542">
        <f>IFERROR($D15*VLOOKUP($B15,Other_Backend!$A$20:$H$29,2,FALSE),0)</f>
        <v>10</v>
      </c>
      <c r="F15" s="542">
        <f>IFERROR($D15*VLOOKUP($B15,Other_Backend!$A$20:$H$29,3,FALSE),0)</f>
        <v>0</v>
      </c>
      <c r="G15" s="542">
        <f>IFERROR($D15*VLOOKUP($B15,Other_Backend!$A$20:$H$29,4,FALSE),0)</f>
        <v>10</v>
      </c>
      <c r="H15" s="542">
        <f>IFERROR($D15*VLOOKUP($B15,Other_Backend!$A$20:$H$29,5,FALSE),0)</f>
        <v>0</v>
      </c>
      <c r="I15" s="542">
        <f>IFERROR($D15*VLOOKUP($B15,Other_Backend!$A$20:$H$29,6,FALSE),0)</f>
        <v>0</v>
      </c>
      <c r="J15" s="542">
        <f>IFERROR($D15*VLOOKUP($B15,Other_Backend!$A$20:$H$29,7,FALSE),0)</f>
        <v>0</v>
      </c>
      <c r="K15" s="542">
        <f>IFERROR($D15*VLOOKUP($B15,Other_Backend!$A$20:$H$29,8,FALSE),0)</f>
        <v>0</v>
      </c>
      <c r="L15" s="318" t="e">
        <f>IF(C15,VLOOKUP(B15,Other_Pricing!B:E,IF(L$10="t [U]",3,4),FALSE),0)</f>
        <v>#N/A</v>
      </c>
      <c r="M15" s="318" t="e">
        <f>IF(C15,VLOOKUP(B15,Other_Pricing!B:E,IF(M$10="t [U]",3,4),FALSE),0)</f>
        <v>#N/A</v>
      </c>
      <c r="N15" s="318" t="e">
        <f t="shared" ref="N15" si="7">D15*L15</f>
        <v>#N/A</v>
      </c>
      <c r="O15" s="534" t="e">
        <f t="shared" ref="O15" si="8">M15*D15</f>
        <v>#N/A</v>
      </c>
      <c r="P15" s="534" t="e">
        <f>N15*Takeoff_Backend!$B$1+O15</f>
        <v>#N/A</v>
      </c>
      <c r="Q15" s="541">
        <f t="shared" ref="Q15" si="9">IF(N13=N$2,N15,0)</f>
        <v>0</v>
      </c>
      <c r="R15" s="541">
        <f t="shared" ref="R15" si="10">IF(O13=O$2,O15,0)</f>
        <v>0</v>
      </c>
      <c r="S15" s="541">
        <f t="shared" ref="S15" si="11">IF(P13=P$2,P15,0)</f>
        <v>0</v>
      </c>
      <c r="U15" s="542">
        <f>D15*C8</f>
        <v>1</v>
      </c>
    </row>
    <row r="16" spans="1:27" x14ac:dyDescent="0.4">
      <c r="A16" s="549" t="str">
        <f>$C5</f>
        <v>[Unit Name]</v>
      </c>
      <c r="B16" s="532" t="s">
        <v>1018</v>
      </c>
      <c r="D16" s="446"/>
      <c r="Q16" s="541"/>
      <c r="R16" s="541"/>
      <c r="S16" s="541"/>
    </row>
    <row r="17" spans="1:22" x14ac:dyDescent="0.4">
      <c r="A17" s="549" t="str">
        <f>$C5</f>
        <v>[Unit Name]</v>
      </c>
      <c r="B17" s="318" t="s">
        <v>1403</v>
      </c>
      <c r="D17" s="318">
        <f>HLOOKUP($B17,$E9:$K10,2,FALSE)</f>
        <v>10</v>
      </c>
      <c r="L17" s="318">
        <f>VLOOKUP(B17,Other_Pricing!B:E,3,FALSE)</f>
        <v>0.1</v>
      </c>
      <c r="M17" s="534">
        <f>VLOOKUP(B17,Other_Pricing!B:E,4,FALSE)</f>
        <v>0.85</v>
      </c>
      <c r="N17" s="318">
        <f>D17*L17</f>
        <v>1</v>
      </c>
      <c r="O17" s="534">
        <f>M17*D17</f>
        <v>8.5</v>
      </c>
      <c r="P17" s="534">
        <f>N17*Takeoff_Backend!$B$1+O17</f>
        <v>88.5</v>
      </c>
      <c r="Q17" s="541" t="e">
        <f t="shared" ref="Q17:S23" si="12">IF(N15=N$2,N17,0)</f>
        <v>#N/A</v>
      </c>
      <c r="R17" s="541" t="e">
        <f t="shared" si="12"/>
        <v>#N/A</v>
      </c>
      <c r="S17" s="541" t="e">
        <f t="shared" si="12"/>
        <v>#N/A</v>
      </c>
      <c r="U17" s="542">
        <f>D17*C8</f>
        <v>10</v>
      </c>
    </row>
    <row r="18" spans="1:22" x14ac:dyDescent="0.4">
      <c r="A18" s="549" t="str">
        <f>$C5</f>
        <v>[Unit Name]</v>
      </c>
      <c r="B18" s="318" t="s">
        <v>1404</v>
      </c>
      <c r="D18" s="318">
        <f>HLOOKUP($B18,$E9:$K10,2,FALSE)</f>
        <v>0</v>
      </c>
      <c r="L18" s="318">
        <f>VLOOKUP(B18,Other_Pricing!B:E,3,FALSE)</f>
        <v>0.1</v>
      </c>
      <c r="M18" s="534">
        <f>VLOOKUP(B18,Other_Pricing!B:E,4,FALSE)</f>
        <v>0.28000000000000003</v>
      </c>
      <c r="N18" s="318">
        <f t="shared" ref="N18:N23" si="13">D18*L18</f>
        <v>0</v>
      </c>
      <c r="O18" s="534">
        <f t="shared" ref="O18:O23" si="14">M18*D18</f>
        <v>0</v>
      </c>
      <c r="P18" s="534">
        <f>N18*Takeoff_Backend!$B$1+O18</f>
        <v>0</v>
      </c>
      <c r="Q18" s="541">
        <f t="shared" si="12"/>
        <v>0</v>
      </c>
      <c r="R18" s="541">
        <f t="shared" si="12"/>
        <v>0</v>
      </c>
      <c r="S18" s="541">
        <f t="shared" si="12"/>
        <v>0</v>
      </c>
      <c r="U18" s="542">
        <f>D18*C8</f>
        <v>0</v>
      </c>
    </row>
    <row r="19" spans="1:22" x14ac:dyDescent="0.4">
      <c r="A19" s="549" t="str">
        <f>$C5</f>
        <v>[Unit Name]</v>
      </c>
      <c r="B19" s="318" t="s">
        <v>1405</v>
      </c>
      <c r="D19" s="318">
        <f>HLOOKUP($B19,$E9:$K10,2,FALSE)</f>
        <v>10</v>
      </c>
      <c r="L19" s="318">
        <f>VLOOKUP(B19,Other_Pricing!B:E,3,FALSE)</f>
        <v>0.1</v>
      </c>
      <c r="M19" s="534">
        <f>VLOOKUP(B19,Other_Pricing!B:E,4,FALSE)</f>
        <v>1.056</v>
      </c>
      <c r="N19" s="318">
        <f t="shared" si="13"/>
        <v>1</v>
      </c>
      <c r="O19" s="534">
        <f t="shared" si="14"/>
        <v>10.56</v>
      </c>
      <c r="P19" s="534">
        <f>N19*Takeoff_Backend!$B$1+O19</f>
        <v>90.56</v>
      </c>
      <c r="Q19" s="541">
        <f t="shared" si="12"/>
        <v>0</v>
      </c>
      <c r="R19" s="541">
        <f t="shared" si="12"/>
        <v>0</v>
      </c>
      <c r="S19" s="541">
        <f t="shared" si="12"/>
        <v>0</v>
      </c>
      <c r="U19" s="542">
        <f>D19*C8</f>
        <v>10</v>
      </c>
    </row>
    <row r="20" spans="1:22" x14ac:dyDescent="0.4">
      <c r="A20" s="549" t="str">
        <f>$C5</f>
        <v>[Unit Name]</v>
      </c>
      <c r="B20" s="318" t="s">
        <v>1406</v>
      </c>
      <c r="D20" s="318">
        <f>HLOOKUP($B20,$E9:$K10,2,FALSE)</f>
        <v>0</v>
      </c>
      <c r="L20" s="318">
        <f>VLOOKUP(B20,Other_Pricing!B:E,3,FALSE)</f>
        <v>0.1</v>
      </c>
      <c r="M20" s="534">
        <f>VLOOKUP(B20,Other_Pricing!B:E,4,FALSE)</f>
        <v>3.48</v>
      </c>
      <c r="N20" s="318">
        <f t="shared" si="13"/>
        <v>0</v>
      </c>
      <c r="O20" s="534">
        <f t="shared" si="14"/>
        <v>0</v>
      </c>
      <c r="P20" s="534">
        <f>N20*Takeoff_Backend!$B$1+O20</f>
        <v>0</v>
      </c>
      <c r="Q20" s="541">
        <f t="shared" si="12"/>
        <v>0</v>
      </c>
      <c r="R20" s="541">
        <f t="shared" si="12"/>
        <v>0</v>
      </c>
      <c r="S20" s="541">
        <f t="shared" si="12"/>
        <v>0</v>
      </c>
      <c r="U20" s="542">
        <f>D20*C8</f>
        <v>0</v>
      </c>
    </row>
    <row r="21" spans="1:22" x14ac:dyDescent="0.4">
      <c r="A21" s="549" t="str">
        <f>$C5</f>
        <v>[Unit Name]</v>
      </c>
      <c r="B21" s="318" t="s">
        <v>1407</v>
      </c>
      <c r="D21" s="318">
        <f>HLOOKUP($B21,$E9:$K10,2,FALSE)</f>
        <v>0</v>
      </c>
      <c r="L21" s="318">
        <f>VLOOKUP(B21,Other_Pricing!B:E,3,FALSE)</f>
        <v>0.1</v>
      </c>
      <c r="M21" s="534">
        <f>VLOOKUP(B21,Other_Pricing!B:E,4,FALSE)</f>
        <v>4.5599999999999996</v>
      </c>
      <c r="N21" s="318">
        <f t="shared" si="13"/>
        <v>0</v>
      </c>
      <c r="O21" s="534">
        <f t="shared" si="14"/>
        <v>0</v>
      </c>
      <c r="P21" s="534">
        <f>N21*Takeoff_Backend!$B$1+O21</f>
        <v>0</v>
      </c>
      <c r="Q21" s="541">
        <f t="shared" si="12"/>
        <v>0</v>
      </c>
      <c r="R21" s="541">
        <f t="shared" si="12"/>
        <v>0</v>
      </c>
      <c r="S21" s="541">
        <f t="shared" si="12"/>
        <v>0</v>
      </c>
      <c r="U21" s="542">
        <f>D21*C8</f>
        <v>0</v>
      </c>
    </row>
    <row r="22" spans="1:22" x14ac:dyDescent="0.4">
      <c r="A22" s="549" t="str">
        <f>$C5</f>
        <v>[Unit Name]</v>
      </c>
      <c r="B22" s="318" t="s">
        <v>1408</v>
      </c>
      <c r="D22" s="318">
        <f>HLOOKUP($B22,$E9:$K10,2,FALSE)</f>
        <v>0</v>
      </c>
      <c r="L22" s="318">
        <f>VLOOKUP(B22,Other_Pricing!B:E,3,FALSE)</f>
        <v>0.1</v>
      </c>
      <c r="M22" s="534">
        <f>VLOOKUP(B22,Other_Pricing!B:E,4,FALSE)</f>
        <v>2.4</v>
      </c>
      <c r="N22" s="318">
        <f t="shared" si="13"/>
        <v>0</v>
      </c>
      <c r="O22" s="534">
        <f t="shared" si="14"/>
        <v>0</v>
      </c>
      <c r="P22" s="534">
        <f>N22*Takeoff_Backend!$B$1+O22</f>
        <v>0</v>
      </c>
      <c r="Q22" s="541">
        <f t="shared" si="12"/>
        <v>0</v>
      </c>
      <c r="R22" s="541">
        <f t="shared" si="12"/>
        <v>0</v>
      </c>
      <c r="S22" s="541">
        <f t="shared" si="12"/>
        <v>0</v>
      </c>
      <c r="U22" s="542">
        <f>D22*C8</f>
        <v>0</v>
      </c>
    </row>
    <row r="23" spans="1:22" x14ac:dyDescent="0.4">
      <c r="A23" s="549" t="str">
        <f>$C5</f>
        <v>[Unit Name]</v>
      </c>
      <c r="B23" s="318" t="s">
        <v>1409</v>
      </c>
      <c r="D23" s="318">
        <f>HLOOKUP($B23,$E9:$K10,2,FALSE)</f>
        <v>0</v>
      </c>
      <c r="L23" s="318">
        <f>VLOOKUP(B23,Other_Pricing!B:E,3,FALSE)</f>
        <v>0.1</v>
      </c>
      <c r="M23" s="534">
        <f>VLOOKUP(B23,Other_Pricing!B:E,4,FALSE)</f>
        <v>5.8</v>
      </c>
      <c r="N23" s="318">
        <f t="shared" si="13"/>
        <v>0</v>
      </c>
      <c r="O23" s="534">
        <f t="shared" si="14"/>
        <v>0</v>
      </c>
      <c r="P23" s="534">
        <f>N23*Takeoff_Backend!$B$1+O23</f>
        <v>0</v>
      </c>
      <c r="Q23" s="541">
        <f t="shared" si="12"/>
        <v>0</v>
      </c>
      <c r="R23" s="541">
        <f t="shared" si="12"/>
        <v>0</v>
      </c>
      <c r="S23" s="541">
        <f t="shared" si="12"/>
        <v>0</v>
      </c>
      <c r="U23" s="542">
        <f>D23*C8</f>
        <v>0</v>
      </c>
    </row>
    <row r="24" spans="1:22" s="542" customFormat="1" x14ac:dyDescent="0.4">
      <c r="A24" s="549" t="str">
        <f>$C5</f>
        <v>[Unit Name]</v>
      </c>
      <c r="B24" s="547" t="str">
        <f>A24</f>
        <v>[Unit Name]</v>
      </c>
      <c r="C24" s="547" t="str">
        <f t="shared" ref="C24:P24" si="15">B24</f>
        <v>[Unit Name]</v>
      </c>
      <c r="D24" s="547" t="str">
        <f t="shared" si="15"/>
        <v>[Unit Name]</v>
      </c>
      <c r="E24" s="547" t="str">
        <f t="shared" si="15"/>
        <v>[Unit Name]</v>
      </c>
      <c r="F24" s="547" t="str">
        <f t="shared" si="15"/>
        <v>[Unit Name]</v>
      </c>
      <c r="G24" s="547" t="str">
        <f t="shared" si="15"/>
        <v>[Unit Name]</v>
      </c>
      <c r="H24" s="547" t="str">
        <f t="shared" si="15"/>
        <v>[Unit Name]</v>
      </c>
      <c r="I24" s="547" t="str">
        <f t="shared" si="15"/>
        <v>[Unit Name]</v>
      </c>
      <c r="J24" s="547" t="str">
        <f t="shared" si="15"/>
        <v>[Unit Name]</v>
      </c>
      <c r="K24" s="547" t="str">
        <f t="shared" si="15"/>
        <v>[Unit Name]</v>
      </c>
      <c r="L24" s="547" t="str">
        <f t="shared" si="15"/>
        <v>[Unit Name]</v>
      </c>
      <c r="M24" s="547" t="str">
        <f t="shared" si="15"/>
        <v>[Unit Name]</v>
      </c>
      <c r="N24" s="547" t="str">
        <f t="shared" si="15"/>
        <v>[Unit Name]</v>
      </c>
      <c r="O24" s="547" t="str">
        <f t="shared" si="15"/>
        <v>[Unit Name]</v>
      </c>
      <c r="P24" s="547" t="str">
        <f t="shared" si="15"/>
        <v>[Unit Name]</v>
      </c>
      <c r="Q24" s="541"/>
      <c r="R24" s="541"/>
      <c r="S24" s="541"/>
      <c r="V24" s="318"/>
    </row>
  </sheetData>
  <autoFilter ref="A1:A24" xr:uid="{ED50C970-49AC-4EAF-B236-0528B70288D8}"/>
  <mergeCells count="2">
    <mergeCell ref="R3:T4"/>
    <mergeCell ref="F6:J7"/>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Q89"/>
  <sheetViews>
    <sheetView zoomScale="85" zoomScaleNormal="85" workbookViewId="0">
      <selection activeCell="F21" sqref="F21"/>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84375" style="114"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19" width="9.3046875" style="114" hidden="1" customWidth="1"/>
    <col min="20" max="24" width="9.3046875" style="114" customWidth="1"/>
    <col min="25" max="25" width="58.4609375" style="114" customWidth="1"/>
    <col min="26" max="42" width="9.3046875" style="114" customWidth="1"/>
    <col min="43" max="43" width="34.3046875" style="114" customWidth="1"/>
    <col min="44" max="16384" width="9.3046875" style="114"/>
  </cols>
  <sheetData>
    <row r="1" spans="1:43" ht="20.149999999999999" x14ac:dyDescent="0.5">
      <c r="A1" s="342">
        <f>ROUNDUP(C1/6,0)</f>
        <v>0</v>
      </c>
      <c r="B1" s="341" t="s">
        <v>795</v>
      </c>
      <c r="C1" s="306">
        <v>0</v>
      </c>
      <c r="H1" s="310" t="s">
        <v>847</v>
      </c>
      <c r="I1" s="114" t="str">
        <f>_xlfn.CONCAT(VLOOKUP(C1,[7]Sheet2!D:E,2,TRUE)," (",C1,")",IF(C1=1,L12,M12))</f>
        <v>Zero (0) CO Detectors</v>
      </c>
      <c r="J1" s="330" t="s">
        <v>863</v>
      </c>
      <c r="L1" s="307" t="s">
        <v>880</v>
      </c>
      <c r="M1" s="307"/>
      <c r="N1" s="307"/>
      <c r="O1" s="307"/>
      <c r="AE1" s="114" t="b">
        <f>NOT((AG1+1)=AG14)</f>
        <v>0</v>
      </c>
      <c r="AF1" s="114" t="s">
        <v>1257</v>
      </c>
      <c r="AG1" s="114">
        <f>MAX('@Other'!O:O)</f>
        <v>0</v>
      </c>
      <c r="AH1" s="114" t="s">
        <v>1265</v>
      </c>
      <c r="AI1" s="114" t="s">
        <v>1262</v>
      </c>
      <c r="AJ1" s="114" t="s">
        <v>1263</v>
      </c>
      <c r="AK1" s="114" t="s">
        <v>1264</v>
      </c>
      <c r="AL1" s="114">
        <v>0.1</v>
      </c>
      <c r="AM1" s="114">
        <v>0.2</v>
      </c>
      <c r="AN1" s="114">
        <v>0.3</v>
      </c>
      <c r="AO1" s="114">
        <v>0.4</v>
      </c>
    </row>
    <row r="2" spans="1:43" ht="20.149999999999999" x14ac:dyDescent="0.5">
      <c r="A2" s="343" t="s">
        <v>885</v>
      </c>
      <c r="B2" s="341" t="s">
        <v>862</v>
      </c>
      <c r="C2" s="306">
        <v>0</v>
      </c>
      <c r="E2" s="310" t="s">
        <v>717</v>
      </c>
      <c r="F2" s="339" t="s">
        <v>716</v>
      </c>
      <c r="G2" s="339" t="s">
        <v>893</v>
      </c>
      <c r="J2" s="330" t="s">
        <v>863</v>
      </c>
      <c r="L2" s="328" t="s">
        <v>0</v>
      </c>
      <c r="M2" s="328"/>
      <c r="N2" s="328" t="s">
        <v>353</v>
      </c>
      <c r="O2" s="328"/>
      <c r="AF2" s="114" t="s">
        <v>1258</v>
      </c>
      <c r="AG2" s="114">
        <f>IF(C2*D7&gt;0, AG1+1, AG1)</f>
        <v>0</v>
      </c>
      <c r="AH2" s="114" t="s">
        <v>1266</v>
      </c>
      <c r="AI2" s="114">
        <f>C2</f>
        <v>0</v>
      </c>
      <c r="AK2" s="114" t="s">
        <v>1270</v>
      </c>
      <c r="AL2" s="415" t="s">
        <v>1272</v>
      </c>
      <c r="AM2" s="415" t="s">
        <v>1282</v>
      </c>
      <c r="AN2" s="114" t="s">
        <v>1275</v>
      </c>
      <c r="AQ2" s="114" t="str">
        <f>IF(AG1=AG2,"",_xlfn.CONCAT("
",AG2," - ",AK2,AI2," ",AH2, "
",REPT(" ",8),AG2,".1 - ",AL2,  "
",REPT(" ",8),AG2,".2 - ",AM2,  "
",REPT(" ",8),AG2,".3 - ",AN2))</f>
        <v/>
      </c>
    </row>
    <row r="3" spans="1:43" ht="20.6" thickBot="1" x14ac:dyDescent="0.55000000000000004">
      <c r="A3" s="344" t="s">
        <v>886</v>
      </c>
      <c r="B3" s="341" t="s">
        <v>908</v>
      </c>
      <c r="C3" s="306">
        <v>0</v>
      </c>
      <c r="E3" s="348">
        <f>SUM(E7:E12)-E8</f>
        <v>0</v>
      </c>
      <c r="F3" s="349">
        <f>SUM(F7:F12)</f>
        <v>0</v>
      </c>
      <c r="G3" s="348">
        <f>SUM(G7:G12)</f>
        <v>0</v>
      </c>
      <c r="J3" s="330" t="s">
        <v>863</v>
      </c>
      <c r="L3" s="328"/>
      <c r="M3" s="328"/>
      <c r="N3" s="328" t="s">
        <v>797</v>
      </c>
      <c r="O3" s="328">
        <v>80</v>
      </c>
      <c r="AF3" s="114" t="s">
        <v>1259</v>
      </c>
      <c r="AG3" s="114">
        <f>IF(C4*D7&gt;0, AG2+1, AG2)</f>
        <v>0</v>
      </c>
      <c r="AH3" s="114" t="s">
        <v>1273</v>
      </c>
      <c r="AI3" s="114">
        <f>C4</f>
        <v>0</v>
      </c>
      <c r="AK3" s="114" t="s">
        <v>1270</v>
      </c>
      <c r="AL3" s="415" t="s">
        <v>1272</v>
      </c>
      <c r="AM3" s="415" t="s">
        <v>1271</v>
      </c>
      <c r="AN3" s="415" t="s">
        <v>1274</v>
      </c>
      <c r="AQ3" s="114" t="str">
        <f>IF(AG2=AG3,"",_xlfn.CONCAT("
",AG3," - ",AK3,AI3," ",AH3, "
",REPT(" ",8),AG3,".1 - ",AL3,  "
",REPT(" ",8),AG3,".2 - ",AM3,  "
",REPT(" ",8),AG3,".3 - ",AN3))</f>
        <v/>
      </c>
    </row>
    <row r="4" spans="1:43" ht="20.149999999999999" x14ac:dyDescent="0.5">
      <c r="B4" s="341" t="s">
        <v>1237</v>
      </c>
      <c r="C4" s="306">
        <v>0</v>
      </c>
      <c r="J4" s="330" t="s">
        <v>863</v>
      </c>
      <c r="L4" s="328" t="str">
        <f>N4</f>
        <v>Gas (0ppm)</v>
      </c>
      <c r="M4" s="328">
        <v>1</v>
      </c>
      <c r="N4" s="328" t="s">
        <v>845</v>
      </c>
      <c r="O4" s="328">
        <f>'[7]MJS Controls'!D20</f>
        <v>55</v>
      </c>
      <c r="AF4" s="114" t="s">
        <v>1260</v>
      </c>
      <c r="AG4" s="114">
        <f>IF(C1*D7&gt;0, AG3+1, AG3)</f>
        <v>0</v>
      </c>
      <c r="AH4" s="114" t="s">
        <v>1267</v>
      </c>
      <c r="AI4" s="114">
        <f>C1</f>
        <v>0</v>
      </c>
      <c r="AK4" s="114" t="s">
        <v>1270</v>
      </c>
      <c r="AL4" s="415" t="s">
        <v>799</v>
      </c>
      <c r="AM4" s="415" t="s">
        <v>639</v>
      </c>
      <c r="AQ4" s="114" t="str">
        <f>IF(AG3=AG4,"",_xlfn.CONCAT("
",AG4," - ",AK4,AI4," ",AH4,"
",REPT(" ",8),AG4,".1 - ",AL4))</f>
        <v/>
      </c>
    </row>
    <row r="5" spans="1:43" x14ac:dyDescent="0.4">
      <c r="J5" s="330" t="s">
        <v>863</v>
      </c>
      <c r="L5" s="328" t="str">
        <f>N5</f>
        <v>Gas (50ppm)</v>
      </c>
      <c r="M5" s="328">
        <v>1</v>
      </c>
      <c r="N5" s="328" t="s">
        <v>846</v>
      </c>
      <c r="O5" s="328">
        <f>'[7]MJS Controls'!D21</f>
        <v>55</v>
      </c>
      <c r="AF5" s="114" t="s">
        <v>1261</v>
      </c>
      <c r="AG5" s="114">
        <f>IF(C3*D8&gt;0,AG4+1,AG4)</f>
        <v>0</v>
      </c>
      <c r="AH5" s="114" t="str">
        <f>AH4</f>
        <v>CO Sensor</v>
      </c>
      <c r="AI5" s="114">
        <f>C3</f>
        <v>0</v>
      </c>
      <c r="AJ5" s="114">
        <f>C1</f>
        <v>0</v>
      </c>
      <c r="AK5" s="114" t="s">
        <v>798</v>
      </c>
      <c r="AL5" s="415" t="s">
        <v>799</v>
      </c>
      <c r="AM5" s="415" t="s">
        <v>1280</v>
      </c>
      <c r="AN5" s="415" t="s">
        <v>1281</v>
      </c>
      <c r="AQ5" s="114" t="str">
        <f>IF(AG4=AG5,"",_xlfn.CONCAT("
",AG5," - ",AK5,AJ5," ",AH5,AM5,AI5,AN5,"
",REPT(" ",8),AG5,".1 - ",AL5))</f>
        <v/>
      </c>
    </row>
    <row r="6" spans="1:43" ht="20.149999999999999" x14ac:dyDescent="0.5">
      <c r="D6" s="310" t="s">
        <v>843</v>
      </c>
      <c r="E6" s="310" t="s">
        <v>717</v>
      </c>
      <c r="F6" s="339" t="s">
        <v>716</v>
      </c>
      <c r="G6" s="339" t="s">
        <v>893</v>
      </c>
      <c r="I6" s="350" t="s">
        <v>903</v>
      </c>
      <c r="J6" s="330" t="s">
        <v>863</v>
      </c>
      <c r="L6" s="328" t="s">
        <v>716</v>
      </c>
      <c r="M6" s="328">
        <v>1</v>
      </c>
      <c r="N6" s="328" t="s">
        <v>716</v>
      </c>
      <c r="O6" s="328">
        <f>'[7]MJS Controls'!D19</f>
        <v>110</v>
      </c>
      <c r="AF6" s="114" t="str">
        <f>B9</f>
        <v>Smoke Detector</v>
      </c>
      <c r="AG6" s="114">
        <f>IF(D9&gt;0,AG5+1,AG5)</f>
        <v>0</v>
      </c>
      <c r="AH6" s="114" t="str">
        <f>AF6</f>
        <v>Smoke Detector</v>
      </c>
      <c r="AI6" s="114">
        <f>D9</f>
        <v>0</v>
      </c>
      <c r="AK6" s="114" t="s">
        <v>1270</v>
      </c>
      <c r="AL6" s="415" t="s">
        <v>1272</v>
      </c>
      <c r="AM6" s="415" t="s">
        <v>639</v>
      </c>
      <c r="AQ6" s="114" t="str">
        <f>IF(AG5=AG6,"",_xlfn.CONCAT("
",AG6," - ",AK6,AI6," ",AH6, "
",REPT(" ",8),AG6,".1 - ",AL6,  "
",REPT(" ",8),AG6,".2 - ",AM6,  "
",REPT(" ",8),AG6,".3 - ",AN6))</f>
        <v/>
      </c>
    </row>
    <row r="7" spans="1:43" ht="20.149999999999999" x14ac:dyDescent="0.5">
      <c r="B7" s="310" t="s">
        <v>890</v>
      </c>
      <c r="C7" s="305" t="s">
        <v>886</v>
      </c>
      <c r="D7" s="286">
        <f>IF(C7="Yes", 1, 0)</f>
        <v>0</v>
      </c>
      <c r="E7" s="291">
        <f>E15+E52+E34</f>
        <v>0</v>
      </c>
      <c r="F7" s="340">
        <f>C26+C63+C47</f>
        <v>0</v>
      </c>
      <c r="G7" s="291">
        <f>E15+E26+E52+E63+E34+E47</f>
        <v>0</v>
      </c>
      <c r="I7" s="351">
        <f>F3-F8-C27</f>
        <v>0</v>
      </c>
      <c r="J7" s="330" t="s">
        <v>863</v>
      </c>
      <c r="L7" s="328" t="s">
        <v>848</v>
      </c>
      <c r="M7" s="328">
        <v>2</v>
      </c>
      <c r="N7" s="328" t="s">
        <v>851</v>
      </c>
      <c r="O7" s="328">
        <v>72.5</v>
      </c>
      <c r="AF7" s="114" t="str">
        <f t="shared" ref="AF7:AF9" si="0">B10</f>
        <v>Occupancy Sensor</v>
      </c>
      <c r="AG7" s="114">
        <f t="shared" ref="AG7:AG9" si="1">IF(D10&gt;0,AG6+1,AG6)</f>
        <v>0</v>
      </c>
      <c r="AH7" s="114" t="str">
        <f t="shared" ref="AH7:AH9" si="2">AF7</f>
        <v>Occupancy Sensor</v>
      </c>
      <c r="AI7" s="114">
        <f t="shared" ref="AI7:AI9" si="3">D10</f>
        <v>0</v>
      </c>
      <c r="AK7" s="114" t="s">
        <v>1270</v>
      </c>
      <c r="AL7" s="415" t="s">
        <v>1272</v>
      </c>
      <c r="AM7" s="415" t="s">
        <v>639</v>
      </c>
      <c r="AQ7" s="114" t="str">
        <f t="shared" ref="AQ7:AQ9" si="4">IF(AG6=AG7,"",_xlfn.CONCAT("
",AG7," - ",AK7,AI7," ",AH7, "
",REPT(" ",8),AG7,".1 - ",AL7,  "
",REPT(" ",8),AG7,".2 - ",AM7,  "
",REPT(" ",8),AG7,".3 - ",AN7))</f>
        <v/>
      </c>
    </row>
    <row r="8" spans="1:43" ht="20.149999999999999" x14ac:dyDescent="0.5">
      <c r="B8" s="310" t="s">
        <v>909</v>
      </c>
      <c r="C8" s="305" t="s">
        <v>886</v>
      </c>
      <c r="D8" s="286">
        <f>IF(C8="Yes", C3, 0)</f>
        <v>0</v>
      </c>
      <c r="E8" s="291">
        <f>IF(D8=0,0,E77+E73+E69+E68)</f>
        <v>0</v>
      </c>
      <c r="F8" s="340">
        <f>IF(D8=0,0,D82)</f>
        <v>0</v>
      </c>
      <c r="G8" s="291">
        <f>IF(D8=0,0,E82+E8)</f>
        <v>0</v>
      </c>
      <c r="J8" s="330" t="s">
        <v>863</v>
      </c>
      <c r="L8" s="328" t="s">
        <v>801</v>
      </c>
      <c r="M8" s="328">
        <v>2</v>
      </c>
      <c r="N8" s="328" t="s">
        <v>801</v>
      </c>
      <c r="O8" s="328">
        <f>'[7]MJS Controls'!D18</f>
        <v>110</v>
      </c>
      <c r="AF8" s="114" t="str">
        <f t="shared" si="0"/>
        <v>IO-IRM-A</v>
      </c>
      <c r="AG8" s="114">
        <f t="shared" si="1"/>
        <v>0</v>
      </c>
      <c r="AH8" s="114" t="s">
        <v>1268</v>
      </c>
      <c r="AI8" s="114">
        <f t="shared" si="3"/>
        <v>0</v>
      </c>
      <c r="AK8" s="114" t="s">
        <v>1270</v>
      </c>
      <c r="AL8" s="415" t="s">
        <v>1272</v>
      </c>
      <c r="AM8" s="415" t="s">
        <v>639</v>
      </c>
      <c r="AQ8" s="114" t="str">
        <f t="shared" si="4"/>
        <v/>
      </c>
    </row>
    <row r="9" spans="1:43" ht="20.149999999999999" x14ac:dyDescent="0.5">
      <c r="B9" s="310" t="s">
        <v>868</v>
      </c>
      <c r="C9" s="305" t="s">
        <v>886</v>
      </c>
      <c r="D9" s="286">
        <f>IF(C9="Yes", 1, 0)</f>
        <v>0</v>
      </c>
      <c r="E9" s="291">
        <f>O39*D9</f>
        <v>0</v>
      </c>
      <c r="F9" s="340"/>
      <c r="G9" s="291">
        <f>E9</f>
        <v>0</v>
      </c>
      <c r="I9" s="350" t="s">
        <v>906</v>
      </c>
      <c r="J9" s="330" t="s">
        <v>863</v>
      </c>
      <c r="AF9" s="114" t="str">
        <f t="shared" si="0"/>
        <v>Stand Alone Fire Panel</v>
      </c>
      <c r="AG9" s="114">
        <f t="shared" si="1"/>
        <v>0</v>
      </c>
      <c r="AH9" s="114" t="str">
        <f t="shared" si="2"/>
        <v>Stand Alone Fire Panel</v>
      </c>
      <c r="AI9" s="114">
        <f t="shared" si="3"/>
        <v>0</v>
      </c>
      <c r="AK9" s="114" t="s">
        <v>1270</v>
      </c>
      <c r="AL9" s="415" t="s">
        <v>1272</v>
      </c>
      <c r="AM9" s="415" t="s">
        <v>639</v>
      </c>
      <c r="AQ9" s="114" t="str">
        <f t="shared" si="4"/>
        <v/>
      </c>
    </row>
    <row r="10" spans="1:43" ht="20.149999999999999" x14ac:dyDescent="0.5">
      <c r="B10" s="310" t="s">
        <v>888</v>
      </c>
      <c r="C10" s="305" t="s">
        <v>886</v>
      </c>
      <c r="D10" s="286">
        <f t="shared" ref="D10:D12" si="5">IF(C10="Yes", 1, 0)</f>
        <v>0</v>
      </c>
      <c r="E10" s="291">
        <f>O44*D10</f>
        <v>0</v>
      </c>
      <c r="F10" s="340"/>
      <c r="G10" s="291">
        <f t="shared" ref="G10:G11" si="6">E10</f>
        <v>0</v>
      </c>
      <c r="I10" s="352">
        <f>E82</f>
        <v>0</v>
      </c>
      <c r="J10" s="330" t="s">
        <v>863</v>
      </c>
      <c r="AG10" s="114">
        <f>AG9</f>
        <v>0</v>
      </c>
      <c r="AQ10" s="114" t="str">
        <f t="shared" ref="AQ10:AQ11" si="7">IF(AG9=AG10,"",_xlfn.CONCAT("
",AG10," - ",AK10,AI10," ",AH10, "
",REPT(" ",8),AG10,".1 - ",AL10,  "
",REPT(" ",8),AG10,".2 - ",AM10,  "
",REPT(" ",8),AG10,".3 - ",AN10))</f>
        <v/>
      </c>
    </row>
    <row r="11" spans="1:43" ht="20.149999999999999" x14ac:dyDescent="0.5">
      <c r="B11" s="310" t="s">
        <v>884</v>
      </c>
      <c r="C11" s="305" t="s">
        <v>886</v>
      </c>
      <c r="D11" s="286">
        <f t="shared" si="5"/>
        <v>0</v>
      </c>
      <c r="E11" s="291">
        <f>O34*D11</f>
        <v>0</v>
      </c>
      <c r="F11" s="340"/>
      <c r="G11" s="291">
        <f t="shared" si="6"/>
        <v>0</v>
      </c>
      <c r="I11" s="350" t="s">
        <v>907</v>
      </c>
      <c r="J11" s="330" t="s">
        <v>863</v>
      </c>
      <c r="L11" s="328" t="s">
        <v>798</v>
      </c>
      <c r="AG11" s="114">
        <f t="shared" ref="AG11:AG13" si="8">AG10</f>
        <v>0</v>
      </c>
      <c r="AQ11" s="114" t="str">
        <f t="shared" si="7"/>
        <v/>
      </c>
    </row>
    <row r="12" spans="1:43" ht="20.149999999999999" x14ac:dyDescent="0.5">
      <c r="B12" s="310" t="s">
        <v>889</v>
      </c>
      <c r="C12" s="305" t="s">
        <v>886</v>
      </c>
      <c r="D12" s="286">
        <f t="shared" si="5"/>
        <v>0</v>
      </c>
      <c r="E12" s="291">
        <f>IF(D12=0,0,E85)</f>
        <v>0</v>
      </c>
      <c r="F12" s="340">
        <f>IF(D12=0,0,C89)</f>
        <v>0</v>
      </c>
      <c r="G12" s="291">
        <f>IF(D12=0,0,E89+E12)</f>
        <v>0</v>
      </c>
      <c r="I12" s="352">
        <f>E8</f>
        <v>0</v>
      </c>
      <c r="J12" s="330" t="s">
        <v>863</v>
      </c>
      <c r="L12" s="328" t="s">
        <v>852</v>
      </c>
      <c r="M12" s="329" t="s">
        <v>853</v>
      </c>
      <c r="AG12" s="114">
        <f t="shared" si="8"/>
        <v>0</v>
      </c>
      <c r="AQ12" s="114" t="str">
        <f t="shared" ref="AQ12" si="9">IF(AG11=AG12,"",_xlfn.CONCAT("
",AG12," - ",AK12,AI12,AH12, "
",REPT(" ",8),AG12,".1 - ",AL12,  "
",REPT(" ",8),AG12,".2 - ",AM12,  "
",REPT(" ",8),AG12,".3 - ",AN12))</f>
        <v/>
      </c>
    </row>
    <row r="13" spans="1:43" ht="43.75" x14ac:dyDescent="0.4">
      <c r="J13" s="330" t="s">
        <v>863</v>
      </c>
      <c r="L13" s="328" t="s">
        <v>799</v>
      </c>
      <c r="AG13" s="114">
        <f t="shared" si="8"/>
        <v>0</v>
      </c>
      <c r="AQ13" s="282" t="s">
        <v>1283</v>
      </c>
    </row>
    <row r="14" spans="1:43" ht="20.149999999999999" x14ac:dyDescent="0.5">
      <c r="B14" s="310" t="s">
        <v>891</v>
      </c>
      <c r="C14" s="592" t="s">
        <v>1251</v>
      </c>
      <c r="D14" s="593"/>
      <c r="E14" s="594"/>
      <c r="J14" s="330" t="s">
        <v>863</v>
      </c>
      <c r="AF14" s="114" t="s">
        <v>1018</v>
      </c>
      <c r="AG14" s="114">
        <f>AG13+1</f>
        <v>1</v>
      </c>
      <c r="AH14" s="114" t="s">
        <v>1018</v>
      </c>
      <c r="AK14" s="114" t="s">
        <v>1279</v>
      </c>
      <c r="AL14" s="114" t="s">
        <v>1277</v>
      </c>
      <c r="AM14" s="114" t="s">
        <v>1278</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717</v>
      </c>
      <c r="C15" s="309" t="s">
        <v>894</v>
      </c>
      <c r="D15" s="309" t="s">
        <v>895</v>
      </c>
      <c r="E15" s="308">
        <f>SUM(E16:E23)</f>
        <v>0</v>
      </c>
      <c r="I15" s="444"/>
      <c r="J15" s="330" t="s">
        <v>863</v>
      </c>
      <c r="L15" s="307" t="s">
        <v>881</v>
      </c>
      <c r="M15" s="307"/>
      <c r="N15" s="307"/>
      <c r="O15" s="307"/>
      <c r="P15" s="307" t="s">
        <v>882</v>
      </c>
      <c r="Q15" s="307" t="s">
        <v>883</v>
      </c>
    </row>
    <row r="16" spans="1:43" x14ac:dyDescent="0.4">
      <c r="B16" s="338" t="str">
        <f>IF($C$1&gt;5, M16,M17)</f>
        <v>ECB-350</v>
      </c>
      <c r="C16" s="338">
        <f>IF($C$7="Yes",IF($C$1&gt;5,N16,N17),0)</f>
        <v>0</v>
      </c>
      <c r="D16" s="338">
        <f>IF($C$1&gt;5, O16,O17)</f>
        <v>725</v>
      </c>
      <c r="E16" s="338">
        <f>D16*C16</f>
        <v>0</v>
      </c>
      <c r="H16" s="444"/>
      <c r="J16" s="330" t="s">
        <v>863</v>
      </c>
      <c r="L16" s="114" t="s">
        <v>770</v>
      </c>
      <c r="M16" s="114" t="s">
        <v>892</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863</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863</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863</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863</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863</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863</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863</v>
      </c>
    </row>
    <row r="25" spans="2:26" x14ac:dyDescent="0.4">
      <c r="B25" s="338"/>
      <c r="C25" s="338"/>
      <c r="D25" s="338"/>
      <c r="E25" s="338"/>
      <c r="J25" s="330" t="s">
        <v>863</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716</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896</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897</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898</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899</v>
      </c>
      <c r="C30" s="338">
        <f>IF($C$7="Yes",N29,0)</f>
        <v>0</v>
      </c>
      <c r="D30" s="338">
        <f>O29</f>
        <v>85</v>
      </c>
      <c r="E30" s="338">
        <f t="shared" si="13"/>
        <v>0</v>
      </c>
    </row>
    <row r="31" spans="2:26" x14ac:dyDescent="0.4">
      <c r="B31" s="338" t="s">
        <v>900</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340</v>
      </c>
      <c r="Z32" s="121" t="s">
        <v>233</v>
      </c>
    </row>
    <row r="33" spans="2:30" ht="20.149999999999999" x14ac:dyDescent="0.5">
      <c r="B33" s="310" t="str">
        <f>B14</f>
        <v>Carpark</v>
      </c>
      <c r="C33" s="592" t="s">
        <v>1252</v>
      </c>
      <c r="D33" s="593"/>
      <c r="E33" s="594"/>
      <c r="Y33" s="66" t="s">
        <v>441</v>
      </c>
      <c r="Z33" s="121" t="s">
        <v>361</v>
      </c>
      <c r="AB33" s="122" t="s">
        <v>267</v>
      </c>
    </row>
    <row r="34" spans="2:30" x14ac:dyDescent="0.4">
      <c r="B34" s="309" t="str">
        <f>B15</f>
        <v>Materials</v>
      </c>
      <c r="C34" s="309" t="str">
        <f t="shared" ref="C34:D34" si="19">C15</f>
        <v>qty</v>
      </c>
      <c r="D34" s="309" t="str">
        <f t="shared" si="19"/>
        <v>unit</v>
      </c>
      <c r="E34" s="308">
        <f>SUM(E35:E46)</f>
        <v>0</v>
      </c>
      <c r="M34" s="114" t="s">
        <v>884</v>
      </c>
      <c r="N34" s="114">
        <v>1</v>
      </c>
      <c r="O34" s="114">
        <v>200</v>
      </c>
      <c r="Y34" s="66" t="s">
        <v>406</v>
      </c>
      <c r="AA34" s="122" t="s">
        <v>245</v>
      </c>
    </row>
    <row r="35" spans="2:30" x14ac:dyDescent="0.4">
      <c r="B35" s="338" t="s">
        <v>1040</v>
      </c>
      <c r="C35" s="338">
        <f>$C$2*$D$7*1</f>
        <v>0</v>
      </c>
      <c r="D35" s="338">
        <f>VLOOKUP(B35,'Part List'!A:G,3,FALSE)</f>
        <v>43.44</v>
      </c>
      <c r="E35" s="338">
        <f>D35*C35</f>
        <v>0</v>
      </c>
      <c r="Y35" s="66" t="s">
        <v>328</v>
      </c>
      <c r="Z35" s="121" t="s">
        <v>242</v>
      </c>
    </row>
    <row r="36" spans="2:30" x14ac:dyDescent="0.4">
      <c r="B36" s="338" t="s">
        <v>1250</v>
      </c>
      <c r="C36" s="338">
        <f t="shared" ref="C36:C44" si="20">$C$2*$D$7*1</f>
        <v>0</v>
      </c>
      <c r="D36" s="338">
        <f>VLOOKUP(B36,'Part List'!A:G,3,FALSE)</f>
        <v>971.52</v>
      </c>
      <c r="E36" s="338">
        <f t="shared" ref="E36:E46" si="21">D36*C36</f>
        <v>0</v>
      </c>
      <c r="Y36" s="66" t="s">
        <v>336</v>
      </c>
      <c r="Z36" s="121" t="s">
        <v>363</v>
      </c>
      <c r="AA36" s="122" t="s">
        <v>273</v>
      </c>
    </row>
    <row r="37" spans="2:30" x14ac:dyDescent="0.4">
      <c r="B37" s="338" t="s">
        <v>1039</v>
      </c>
      <c r="C37" s="338">
        <f t="shared" si="20"/>
        <v>0</v>
      </c>
      <c r="D37" s="338">
        <f>VLOOKUP(B37,'Part List'!A:G,3,FALSE)</f>
        <v>46.46</v>
      </c>
      <c r="E37" s="338">
        <f t="shared" si="21"/>
        <v>0</v>
      </c>
      <c r="Y37" s="66" t="s">
        <v>498</v>
      </c>
      <c r="Z37" s="121" t="s">
        <v>363</v>
      </c>
      <c r="AB37" s="122" t="s">
        <v>267</v>
      </c>
    </row>
    <row r="38" spans="2:30" x14ac:dyDescent="0.4">
      <c r="B38" s="338" t="s">
        <v>278</v>
      </c>
      <c r="C38" s="338">
        <f t="shared" si="20"/>
        <v>0</v>
      </c>
      <c r="D38" s="338">
        <f>VLOOKUP(B38,'Part List'!A:G,3,FALSE)</f>
        <v>36</v>
      </c>
      <c r="E38" s="338">
        <f t="shared" si="21"/>
        <v>0</v>
      </c>
      <c r="Y38" s="66" t="s">
        <v>140</v>
      </c>
      <c r="Z38" s="121" t="s">
        <v>292</v>
      </c>
      <c r="AB38" s="144" t="s">
        <v>269</v>
      </c>
    </row>
    <row r="39" spans="2:30" x14ac:dyDescent="0.4">
      <c r="B39" s="338" t="s">
        <v>1236</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312</v>
      </c>
      <c r="Z39" s="121" t="s">
        <v>232</v>
      </c>
      <c r="AB39" s="144"/>
    </row>
    <row r="40" spans="2:30" x14ac:dyDescent="0.4">
      <c r="B40" s="338" t="s">
        <v>1344</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345</v>
      </c>
      <c r="Z40" s="121" t="s">
        <v>292</v>
      </c>
      <c r="AA40" s="122" t="s">
        <v>326</v>
      </c>
    </row>
    <row r="41" spans="2:30" x14ac:dyDescent="0.4">
      <c r="B41" s="338" t="s">
        <v>1253</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337</v>
      </c>
      <c r="Z41" s="121" t="s">
        <v>292</v>
      </c>
      <c r="AA41" s="122" t="s">
        <v>280</v>
      </c>
      <c r="AD41" s="114">
        <v>2</v>
      </c>
    </row>
    <row r="42" spans="2:30" x14ac:dyDescent="0.4">
      <c r="B42" s="338" t="s">
        <v>1003</v>
      </c>
      <c r="C42" s="338">
        <f>$C$2*$D$7*2</f>
        <v>0</v>
      </c>
      <c r="D42" s="338">
        <f>VLOOKUP(B42,'Part List'!A:G,3,FALSE)</f>
        <v>16</v>
      </c>
      <c r="E42" s="338">
        <f t="shared" si="21"/>
        <v>0</v>
      </c>
      <c r="G42" s="114" t="s">
        <v>298</v>
      </c>
      <c r="L42" s="114" t="str">
        <f>'MJS Controls'!Q28</f>
        <v>Laboue</v>
      </c>
      <c r="M42" s="114" t="str">
        <f>'MJS Controls'!R28</f>
        <v>Assemble Fire AO Panel</v>
      </c>
      <c r="N42" s="114">
        <f>$C$2*2</f>
        <v>0</v>
      </c>
      <c r="O42" s="114">
        <f>'MJS Controls'!T28</f>
        <v>85</v>
      </c>
      <c r="Q42" s="114">
        <f>IF(P42=0,O42*N42,0)</f>
        <v>0</v>
      </c>
      <c r="Y42" s="66" t="s">
        <v>329</v>
      </c>
      <c r="AB42" s="122" t="s">
        <v>277</v>
      </c>
    </row>
    <row r="43" spans="2:30" x14ac:dyDescent="0.4">
      <c r="B43" s="338" t="s">
        <v>304</v>
      </c>
      <c r="C43" s="338">
        <f t="shared" si="20"/>
        <v>0</v>
      </c>
      <c r="D43" s="338">
        <f>VLOOKUP(B43,'Part List'!A:G,3,FALSE)</f>
        <v>57.95</v>
      </c>
      <c r="E43" s="338">
        <f t="shared" si="21"/>
        <v>0</v>
      </c>
      <c r="Y43" s="66" t="s">
        <v>338</v>
      </c>
      <c r="AB43" s="122" t="s">
        <v>333</v>
      </c>
    </row>
    <row r="44" spans="2:30" x14ac:dyDescent="0.4">
      <c r="B44" s="338" t="s">
        <v>322</v>
      </c>
      <c r="C44" s="338">
        <f t="shared" si="20"/>
        <v>0</v>
      </c>
      <c r="D44" s="338">
        <f>VLOOKUP(B44,'Part List'!A:G,3,FALSE)</f>
        <v>0</v>
      </c>
      <c r="E44" s="338">
        <f t="shared" si="21"/>
        <v>0</v>
      </c>
      <c r="M44" s="114" t="s">
        <v>887</v>
      </c>
      <c r="N44" s="114">
        <v>1</v>
      </c>
      <c r="O44" s="114">
        <v>120</v>
      </c>
      <c r="Y44" s="66" t="s">
        <v>402</v>
      </c>
      <c r="AB44" s="121" t="s">
        <v>274</v>
      </c>
    </row>
    <row r="45" spans="2:30" x14ac:dyDescent="0.4">
      <c r="B45" s="338" t="s">
        <v>267</v>
      </c>
      <c r="C45" s="458">
        <f>IF(ISNUMBER(F45),F45,$C$2*$D$7*15)</f>
        <v>0</v>
      </c>
      <c r="D45" s="338">
        <f>VLOOKUP(B45,'Part List'!A:G,3,FALSE)</f>
        <v>3.48</v>
      </c>
      <c r="E45" s="338">
        <f t="shared" si="21"/>
        <v>0</v>
      </c>
      <c r="F45" s="458" t="s">
        <v>1255</v>
      </c>
      <c r="Y45" s="66" t="s">
        <v>408</v>
      </c>
      <c r="Z45" s="121" t="s">
        <v>362</v>
      </c>
    </row>
    <row r="46" spans="2:30" x14ac:dyDescent="0.4">
      <c r="B46" s="338" t="s">
        <v>1254</v>
      </c>
      <c r="C46" s="458">
        <f>IF(ISNUMBER(F46),F46,$C$2*$D$7*35)</f>
        <v>0</v>
      </c>
      <c r="D46" s="338">
        <f>VLOOKUP(B46,'Part List'!A:G,3,FALSE)</f>
        <v>5.8</v>
      </c>
      <c r="E46" s="338">
        <f t="shared" si="21"/>
        <v>0</v>
      </c>
      <c r="F46" s="458" t="s">
        <v>1255</v>
      </c>
    </row>
    <row r="47" spans="2:30" x14ac:dyDescent="0.4">
      <c r="B47" s="309" t="s">
        <v>716</v>
      </c>
      <c r="C47" s="345">
        <f>SUM(C48:C49)</f>
        <v>0</v>
      </c>
      <c r="D47" s="308">
        <f>SUM(D48:D49)</f>
        <v>170</v>
      </c>
      <c r="E47" s="308">
        <f>SUM(E48:E49)</f>
        <v>0</v>
      </c>
    </row>
    <row r="48" spans="2:30" x14ac:dyDescent="0.4">
      <c r="B48" s="459" t="s">
        <v>890</v>
      </c>
      <c r="C48" s="458">
        <f>(C46+C45)/20</f>
        <v>0</v>
      </c>
      <c r="D48" s="338">
        <v>85</v>
      </c>
      <c r="E48" s="338">
        <f>C48*D48</f>
        <v>0</v>
      </c>
    </row>
    <row r="49" spans="2:6" x14ac:dyDescent="0.4">
      <c r="B49" s="459" t="s">
        <v>1018</v>
      </c>
      <c r="C49" s="458">
        <f>$C$2*$D$7*1</f>
        <v>0</v>
      </c>
      <c r="D49" s="338">
        <v>85</v>
      </c>
      <c r="E49" s="338">
        <f>C49*D49</f>
        <v>0</v>
      </c>
    </row>
    <row r="50" spans="2:6" x14ac:dyDescent="0.4">
      <c r="B50" s="114"/>
    </row>
    <row r="51" spans="2:6" ht="20.149999999999999" x14ac:dyDescent="0.5">
      <c r="B51" s="310" t="s">
        <v>1235</v>
      </c>
    </row>
    <row r="52" spans="2:6" x14ac:dyDescent="0.4">
      <c r="B52" s="309" t="s">
        <v>717</v>
      </c>
      <c r="C52" s="309" t="s">
        <v>894</v>
      </c>
      <c r="D52" s="309" t="s">
        <v>895</v>
      </c>
      <c r="E52" s="308">
        <f>SUM(E53:E62)</f>
        <v>0</v>
      </c>
    </row>
    <row r="53" spans="2:6" x14ac:dyDescent="0.4">
      <c r="B53" s="443" t="s">
        <v>1039</v>
      </c>
      <c r="C53" s="443">
        <f>1*$C$4</f>
        <v>0</v>
      </c>
      <c r="D53" s="443">
        <f>VLOOKUP(B53,'Part List'!A:G,3,FALSE)</f>
        <v>46.46</v>
      </c>
      <c r="E53" s="443">
        <f>C53*D53</f>
        <v>0</v>
      </c>
    </row>
    <row r="54" spans="2:6" x14ac:dyDescent="0.4">
      <c r="B54" s="443" t="s">
        <v>985</v>
      </c>
      <c r="C54" s="443">
        <f t="shared" ref="C54:C59" si="23">1*$C$4</f>
        <v>0</v>
      </c>
      <c r="D54" s="443">
        <f>VLOOKUP(B54,'Part List'!A:G,3,FALSE)</f>
        <v>307.2</v>
      </c>
      <c r="E54" s="443">
        <f t="shared" ref="E54:E61" si="24">C54*D54</f>
        <v>0</v>
      </c>
    </row>
    <row r="55" spans="2:6" x14ac:dyDescent="0.4">
      <c r="B55" s="443" t="s">
        <v>326</v>
      </c>
      <c r="C55" s="443">
        <f t="shared" si="23"/>
        <v>0</v>
      </c>
      <c r="D55" s="443">
        <f>VLOOKUP(B55,'Part List'!A:G,3,FALSE)</f>
        <v>24.2</v>
      </c>
      <c r="E55" s="443">
        <f t="shared" si="24"/>
        <v>0</v>
      </c>
    </row>
    <row r="56" spans="2:6" x14ac:dyDescent="0.4">
      <c r="B56" s="443" t="s">
        <v>1003</v>
      </c>
      <c r="C56" s="443">
        <f>2*$C$4</f>
        <v>0</v>
      </c>
      <c r="D56" s="443">
        <f>VLOOKUP(B56,'Part List'!A:G,3,FALSE)</f>
        <v>16</v>
      </c>
      <c r="E56" s="443">
        <f t="shared" si="24"/>
        <v>0</v>
      </c>
    </row>
    <row r="57" spans="2:6" x14ac:dyDescent="0.4">
      <c r="B57" s="443" t="s">
        <v>999</v>
      </c>
      <c r="C57" s="443">
        <f t="shared" si="23"/>
        <v>0</v>
      </c>
      <c r="D57" s="443">
        <f>VLOOKUP(B57,'Part List'!A:G,3,FALSE)</f>
        <v>60</v>
      </c>
      <c r="E57" s="443">
        <f t="shared" si="24"/>
        <v>0</v>
      </c>
    </row>
    <row r="58" spans="2:6" x14ac:dyDescent="0.4">
      <c r="B58" s="443" t="s">
        <v>304</v>
      </c>
      <c r="C58" s="443">
        <f t="shared" si="23"/>
        <v>0</v>
      </c>
      <c r="D58" s="443">
        <f>VLOOKUP(B58,'Part List'!A:G,3,FALSE)</f>
        <v>57.95</v>
      </c>
      <c r="E58" s="443">
        <f t="shared" si="24"/>
        <v>0</v>
      </c>
    </row>
    <row r="59" spans="2:6" x14ac:dyDescent="0.4">
      <c r="B59" s="443" t="s">
        <v>1236</v>
      </c>
      <c r="C59" s="443">
        <f t="shared" si="23"/>
        <v>0</v>
      </c>
      <c r="D59" s="443">
        <f>VLOOKUP(B59,'Part List'!A:G,3,FALSE)</f>
        <v>360</v>
      </c>
      <c r="E59" s="443">
        <f t="shared" si="24"/>
        <v>0</v>
      </c>
    </row>
    <row r="60" spans="2:6" x14ac:dyDescent="0.4">
      <c r="B60" s="443" t="s">
        <v>267</v>
      </c>
      <c r="C60" s="458">
        <f>IF(ISNUMBER(F62),F62,$C$4*$D$7*15)</f>
        <v>0</v>
      </c>
      <c r="D60" s="443">
        <f>VLOOKUP(B60,'Part List'!A:G,3,FALSE)</f>
        <v>3.48</v>
      </c>
      <c r="E60" s="443">
        <f t="shared" si="24"/>
        <v>0</v>
      </c>
    </row>
    <row r="61" spans="2:6" x14ac:dyDescent="0.4">
      <c r="B61" s="443" t="s">
        <v>269</v>
      </c>
      <c r="C61" s="458">
        <f>IF(ISNUMBER(F63),F63,$C$4*$D$7*10)</f>
        <v>0</v>
      </c>
      <c r="D61" s="443">
        <f>VLOOKUP(B61,'Part List'!A:G,3,FALSE)</f>
        <v>1.056</v>
      </c>
      <c r="E61" s="443">
        <f t="shared" si="24"/>
        <v>0</v>
      </c>
    </row>
    <row r="62" spans="2:6" x14ac:dyDescent="0.4">
      <c r="B62" s="443" t="s">
        <v>1344</v>
      </c>
      <c r="C62" s="443">
        <f>1*$C$4</f>
        <v>0</v>
      </c>
      <c r="D62" s="443">
        <f>VLOOKUP(B62,'Part List'!A:G,3,FALSE)</f>
        <v>91.05</v>
      </c>
      <c r="E62" s="443">
        <f t="shared" ref="E62" si="25">C62*D62</f>
        <v>0</v>
      </c>
      <c r="F62" s="458" t="s">
        <v>1255</v>
      </c>
    </row>
    <row r="63" spans="2:6" x14ac:dyDescent="0.4">
      <c r="B63" s="309" t="s">
        <v>716</v>
      </c>
      <c r="C63" s="345">
        <f>SUM(C64:C65)</f>
        <v>0</v>
      </c>
      <c r="D63" s="345">
        <f t="shared" ref="D63:E63" si="26">SUM(D64:D65)</f>
        <v>170</v>
      </c>
      <c r="E63" s="345">
        <f t="shared" si="26"/>
        <v>0</v>
      </c>
      <c r="F63" s="458" t="s">
        <v>1255</v>
      </c>
    </row>
    <row r="64" spans="2:6" x14ac:dyDescent="0.4">
      <c r="B64" s="443" t="s">
        <v>1238</v>
      </c>
      <c r="C64" s="443">
        <f>4*$C$4</f>
        <v>0</v>
      </c>
      <c r="D64" s="443">
        <v>85</v>
      </c>
      <c r="E64" s="443">
        <f>C64*D64</f>
        <v>0</v>
      </c>
    </row>
    <row r="65" spans="2:5" x14ac:dyDescent="0.4">
      <c r="B65" s="443" t="s">
        <v>1239</v>
      </c>
      <c r="C65" s="443">
        <f>4*$C$4</f>
        <v>0</v>
      </c>
      <c r="D65" s="443">
        <v>85</v>
      </c>
      <c r="E65" s="443">
        <f>C65*D65</f>
        <v>0</v>
      </c>
    </row>
    <row r="67" spans="2:5" ht="20.149999999999999" x14ac:dyDescent="0.5">
      <c r="B67" s="310" t="s">
        <v>848</v>
      </c>
    </row>
    <row r="68" spans="2:5" x14ac:dyDescent="0.4">
      <c r="B68" s="333" t="s">
        <v>796</v>
      </c>
      <c r="C68" s="334">
        <v>0</v>
      </c>
      <c r="D68" s="335"/>
      <c r="E68" s="308">
        <f>C68*$C$3</f>
        <v>0</v>
      </c>
    </row>
    <row r="69" spans="2:5" x14ac:dyDescent="0.4">
      <c r="B69" s="333" t="s">
        <v>800</v>
      </c>
      <c r="C69" s="334">
        <v>0</v>
      </c>
      <c r="D69" s="335"/>
      <c r="E69" s="308">
        <f>C69*$C$3*C1</f>
        <v>0</v>
      </c>
    </row>
    <row r="70" spans="2:5" x14ac:dyDescent="0.4">
      <c r="B70" s="335"/>
      <c r="C70" s="335"/>
      <c r="D70" s="335"/>
      <c r="E70" s="334"/>
    </row>
    <row r="71" spans="2:5" x14ac:dyDescent="0.4">
      <c r="B71" s="333" t="s">
        <v>742</v>
      </c>
      <c r="C71" s="335" t="str">
        <f>'Job Summary'!E2</f>
        <v>[LOCATION]</v>
      </c>
      <c r="D71" s="335"/>
      <c r="E71" s="334"/>
    </row>
    <row r="72" spans="2:5" x14ac:dyDescent="0.4">
      <c r="B72" s="333" t="s">
        <v>793</v>
      </c>
      <c r="C72" s="336">
        <v>0</v>
      </c>
      <c r="D72" s="335"/>
      <c r="E72" s="334"/>
    </row>
    <row r="73" spans="2:5" x14ac:dyDescent="0.4">
      <c r="B73" s="309" t="s">
        <v>794</v>
      </c>
      <c r="C73" s="308">
        <f>C72*O3</f>
        <v>0</v>
      </c>
      <c r="D73" s="309" t="s">
        <v>794</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717</v>
      </c>
      <c r="C77" s="308">
        <f>C76+C75</f>
        <v>0</v>
      </c>
      <c r="D77" s="309" t="s">
        <v>717</v>
      </c>
      <c r="E77" s="308">
        <f t="shared" si="27"/>
        <v>0</v>
      </c>
    </row>
    <row r="78" spans="2:5" x14ac:dyDescent="0.4">
      <c r="B78" s="333"/>
      <c r="C78" s="335"/>
      <c r="D78" s="335"/>
      <c r="E78" s="334"/>
    </row>
    <row r="79" spans="2:5" x14ac:dyDescent="0.4">
      <c r="B79" s="336" t="s">
        <v>850</v>
      </c>
      <c r="C79" s="336">
        <f>M7*A1</f>
        <v>0</v>
      </c>
      <c r="D79" s="336">
        <f>IF($C$3&gt;0,C79, 0)</f>
        <v>0</v>
      </c>
      <c r="E79" s="308">
        <f>D79*O7</f>
        <v>0</v>
      </c>
    </row>
    <row r="80" spans="2:5" x14ac:dyDescent="0.4">
      <c r="B80" s="336" t="s">
        <v>802</v>
      </c>
      <c r="C80" s="336">
        <f>M8*A1</f>
        <v>0</v>
      </c>
      <c r="D80" s="336">
        <f t="shared" ref="D80:D81" si="28">C80*$C$3</f>
        <v>0</v>
      </c>
      <c r="E80" s="308">
        <f>D80*O8</f>
        <v>0</v>
      </c>
    </row>
    <row r="81" spans="2:5" x14ac:dyDescent="0.4">
      <c r="B81" s="336" t="s">
        <v>849</v>
      </c>
      <c r="C81" s="336">
        <f>C1*M6</f>
        <v>0</v>
      </c>
      <c r="D81" s="336">
        <f t="shared" si="28"/>
        <v>0</v>
      </c>
      <c r="E81" s="308">
        <f>D81*O6</f>
        <v>0</v>
      </c>
    </row>
    <row r="82" spans="2:5" x14ac:dyDescent="0.4">
      <c r="B82" s="309" t="s">
        <v>716</v>
      </c>
      <c r="C82" s="345">
        <f>SUM(C79:C81)</f>
        <v>0</v>
      </c>
      <c r="D82" s="345">
        <f>SUM(D79:D81)</f>
        <v>0</v>
      </c>
      <c r="E82" s="308">
        <f>SUM(E79:E81)</f>
        <v>0</v>
      </c>
    </row>
    <row r="84" spans="2:5" ht="20.149999999999999" x14ac:dyDescent="0.5">
      <c r="B84" s="310" t="s">
        <v>889</v>
      </c>
    </row>
    <row r="85" spans="2:5" x14ac:dyDescent="0.4">
      <c r="B85" s="309" t="s">
        <v>717</v>
      </c>
      <c r="C85" s="308" t="s">
        <v>894</v>
      </c>
      <c r="D85" s="309" t="s">
        <v>895</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716</v>
      </c>
      <c r="C88" s="308" t="s">
        <v>716</v>
      </c>
      <c r="D88" s="309"/>
      <c r="E88" s="309" t="s">
        <v>353</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82" priority="4">
      <formula>IF(ROW() = ROW(), TRUE, FALSE)</formula>
    </cfRule>
  </conditionalFormatting>
  <conditionalFormatting sqref="Y32">
    <cfRule type="expression" dxfId="181" priority="34">
      <formula>RIGHT(Y32,2)="  "</formula>
    </cfRule>
    <cfRule type="expression" dxfId="180" priority="35">
      <formula>RIGHT(Y32,1)=" "</formula>
    </cfRule>
  </conditionalFormatting>
  <conditionalFormatting sqref="Y32">
    <cfRule type="expression" dxfId="179" priority="33">
      <formula>IF(ROW() = ROW(), TRUE, FALSE)</formula>
    </cfRule>
  </conditionalFormatting>
  <conditionalFormatting sqref="Y33">
    <cfRule type="expression" dxfId="178" priority="31">
      <formula>RIGHT(Y33,2)="  "</formula>
    </cfRule>
    <cfRule type="expression" dxfId="177" priority="32">
      <formula>RIGHT(Y33,1)=" "</formula>
    </cfRule>
  </conditionalFormatting>
  <conditionalFormatting sqref="Y33">
    <cfRule type="expression" dxfId="176" priority="30">
      <formula>IF(ROW() = ROW(), TRUE, FALSE)</formula>
    </cfRule>
  </conditionalFormatting>
  <conditionalFormatting sqref="Y34">
    <cfRule type="expression" dxfId="175" priority="28">
      <formula>RIGHT(Y34,2)="  "</formula>
    </cfRule>
    <cfRule type="expression" dxfId="174" priority="29">
      <formula>RIGHT(Y34,1)=" "</formula>
    </cfRule>
  </conditionalFormatting>
  <conditionalFormatting sqref="Y34">
    <cfRule type="expression" dxfId="173" priority="27">
      <formula>IF(ROW() = ROW(), TRUE, FALSE)</formula>
    </cfRule>
  </conditionalFormatting>
  <conditionalFormatting sqref="Y35">
    <cfRule type="expression" dxfId="172" priority="25">
      <formula>RIGHT(Y35,2)="  "</formula>
    </cfRule>
    <cfRule type="expression" dxfId="171" priority="26">
      <formula>RIGHT(Y35,1)=" "</formula>
    </cfRule>
  </conditionalFormatting>
  <conditionalFormatting sqref="Y35">
    <cfRule type="expression" dxfId="170" priority="24">
      <formula>IF(ROW() = ROW(), TRUE, FALSE)</formula>
    </cfRule>
  </conditionalFormatting>
  <conditionalFormatting sqref="Y36:Y41">
    <cfRule type="expression" dxfId="169" priority="22">
      <formula>RIGHT(Y36,2)="  "</formula>
    </cfRule>
    <cfRule type="expression" dxfId="168" priority="23">
      <formula>RIGHT(Y36,1)=" "</formula>
    </cfRule>
  </conditionalFormatting>
  <conditionalFormatting sqref="Y36:Y41">
    <cfRule type="expression" dxfId="167" priority="21">
      <formula>IF(ROW() = ROW(), TRUE, FALSE)</formula>
    </cfRule>
  </conditionalFormatting>
  <conditionalFormatting sqref="Y42:Y45">
    <cfRule type="expression" dxfId="166" priority="19">
      <formula>RIGHT(Y42,2)="  "</formula>
    </cfRule>
    <cfRule type="expression" dxfId="165" priority="20">
      <formula>RIGHT(Y42,1)=" "</formula>
    </cfRule>
  </conditionalFormatting>
  <conditionalFormatting sqref="Y42:Y45">
    <cfRule type="expression" dxfId="164" priority="18">
      <formula>IF(ROW() = ROW(), TRUE, FALSE)</formula>
    </cfRule>
  </conditionalFormatting>
  <conditionalFormatting sqref="Z32:Z33">
    <cfRule type="expression" dxfId="163" priority="17">
      <formula>IF(ROW() = ROW(), TRUE, FALSE)</formula>
    </cfRule>
  </conditionalFormatting>
  <conditionalFormatting sqref="Z35">
    <cfRule type="expression" dxfId="162" priority="16">
      <formula>IF(ROW() = ROW(), TRUE, FALSE)</formula>
    </cfRule>
  </conditionalFormatting>
  <conditionalFormatting sqref="Z36:Z41">
    <cfRule type="expression" dxfId="161" priority="15">
      <formula>IF(ROW() = ROW(), TRUE, FALSE)</formula>
    </cfRule>
  </conditionalFormatting>
  <conditionalFormatting sqref="Z45">
    <cfRule type="expression" dxfId="160" priority="14">
      <formula>IF(ROW() = ROW(), TRUE, FALSE)</formula>
    </cfRule>
  </conditionalFormatting>
  <conditionalFormatting sqref="AA34">
    <cfRule type="expression" dxfId="159" priority="13">
      <formula>IF(ROW() = ROW(), TRUE, FALSE)</formula>
    </cfRule>
  </conditionalFormatting>
  <conditionalFormatting sqref="AB33">
    <cfRule type="expression" dxfId="158" priority="12">
      <formula>IF(ROW() = ROW(), TRUE, FALSE)</formula>
    </cfRule>
  </conditionalFormatting>
  <conditionalFormatting sqref="AA36">
    <cfRule type="expression" dxfId="157" priority="11">
      <formula>IF(ROW() = ROW(), TRUE, FALSE)</formula>
    </cfRule>
  </conditionalFormatting>
  <conditionalFormatting sqref="AB37">
    <cfRule type="expression" dxfId="156" priority="10">
      <formula>IF(ROW() = ROW(), TRUE, FALSE)</formula>
    </cfRule>
  </conditionalFormatting>
  <conditionalFormatting sqref="AB39">
    <cfRule type="expression" dxfId="155" priority="9">
      <formula>IF(ROW() = ROW(), TRUE, FALSE)</formula>
    </cfRule>
  </conditionalFormatting>
  <conditionalFormatting sqref="AB38">
    <cfRule type="expression" dxfId="154" priority="8">
      <formula>IF(ROW() = ROW(), TRUE, FALSE)</formula>
    </cfRule>
  </conditionalFormatting>
  <conditionalFormatting sqref="AA40">
    <cfRule type="expression" dxfId="153" priority="7">
      <formula>IF(ROW() = ROW(), TRUE, FALSE)</formula>
    </cfRule>
  </conditionalFormatting>
  <conditionalFormatting sqref="AA41">
    <cfRule type="expression" dxfId="152" priority="6">
      <formula>IF(ROW() = ROW(), TRUE, FALSE)</formula>
    </cfRule>
  </conditionalFormatting>
  <conditionalFormatting sqref="AB42:AB44">
    <cfRule type="expression" dxfId="151" priority="5">
      <formula>IF(ROW() = ROW(), TRUE, FALSE)</formula>
    </cfRule>
  </conditionalFormatting>
  <dataValidations count="2">
    <dataValidation type="list" allowBlank="1" showInputMessage="1" showErrorMessage="1" sqref="C7:C12" xr:uid="{00000000-0002-0000-1000-000000000000}">
      <formula1>$A$2:$A$3</formula1>
    </dataValidation>
    <dataValidation type="list" allowBlank="1" showInputMessage="1" showErrorMessage="1" sqref="AB42:AB44 Z32:Z33 Z35 Z38:Z41 AA34 AB33 AA36 AB37:AB39 AA40:AA41" xr:uid="{00000000-0002-0000-1000-000001000000}">
      <formula1>#REF!</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E5B57-9EE3-4FD4-98CA-7FF7C48A31A5}">
  <dimension ref="A1:H139"/>
  <sheetViews>
    <sheetView workbookViewId="0">
      <pane ySplit="1" topLeftCell="A2" activePane="bottomLeft" state="frozen"/>
      <selection activeCell="B22" sqref="B22"/>
      <selection pane="bottomLeft" activeCell="C7" sqref="C7"/>
    </sheetView>
  </sheetViews>
  <sheetFormatPr defaultColWidth="9.23046875" defaultRowHeight="14.6" x14ac:dyDescent="0.4"/>
  <cols>
    <col min="1" max="2" width="19.4609375" style="114" customWidth="1"/>
    <col min="3" max="3" width="16.69140625" style="423" customWidth="1"/>
    <col min="4" max="4" width="11.53515625" style="114" customWidth="1"/>
    <col min="5" max="5" width="14.69140625" style="114" customWidth="1"/>
    <col min="6" max="6" width="20" style="114" customWidth="1"/>
    <col min="7" max="7" width="19.4609375" style="114" customWidth="1"/>
    <col min="8" max="16384" width="9.23046875" style="114"/>
  </cols>
  <sheetData>
    <row r="1" spans="1:8" s="33" customFormat="1" x14ac:dyDescent="0.4">
      <c r="A1" s="33" t="s">
        <v>844</v>
      </c>
      <c r="B1" s="33" t="s">
        <v>1059</v>
      </c>
      <c r="C1" s="423" t="s">
        <v>932</v>
      </c>
      <c r="D1" s="33" t="s">
        <v>903</v>
      </c>
      <c r="E1" s="33" t="s">
        <v>749</v>
      </c>
      <c r="F1" s="33" t="s">
        <v>929</v>
      </c>
      <c r="G1" s="33" t="s">
        <v>742</v>
      </c>
      <c r="H1" s="33" t="s">
        <v>1456</v>
      </c>
    </row>
    <row r="2" spans="1:8" x14ac:dyDescent="0.4">
      <c r="A2" s="114" t="s">
        <v>998</v>
      </c>
      <c r="B2" s="114" t="s">
        <v>744</v>
      </c>
      <c r="C2" s="423">
        <v>19.8</v>
      </c>
      <c r="D2" s="114">
        <v>0</v>
      </c>
      <c r="E2" s="114" t="s">
        <v>833</v>
      </c>
      <c r="G2" s="114" t="s">
        <v>747</v>
      </c>
      <c r="H2" s="114" t="str">
        <f>_xlfn.CONCAT(A2, ", ")</f>
        <v xml:space="preserve">1 Phase Isolator, </v>
      </c>
    </row>
    <row r="3" spans="1:8" x14ac:dyDescent="0.4">
      <c r="A3" s="114" t="s">
        <v>1039</v>
      </c>
      <c r="B3" s="114" t="s">
        <v>743</v>
      </c>
      <c r="C3" s="423">
        <v>46.46</v>
      </c>
      <c r="D3" s="114">
        <v>0</v>
      </c>
      <c r="E3" s="114" t="s">
        <v>833</v>
      </c>
      <c r="G3" s="114" t="s">
        <v>747</v>
      </c>
      <c r="H3" s="114" t="str">
        <f t="shared" ref="H3:H66" si="0">_xlfn.CONCAT(A3, ", ")</f>
        <v xml:space="preserve">3 Phase Isolator, </v>
      </c>
    </row>
    <row r="4" spans="1:8" x14ac:dyDescent="0.4">
      <c r="A4" s="114" t="s">
        <v>268</v>
      </c>
      <c r="C4" s="423">
        <v>0.85</v>
      </c>
      <c r="D4" s="332">
        <v>0.1</v>
      </c>
      <c r="E4" s="114" t="s">
        <v>773</v>
      </c>
      <c r="H4" s="114" t="str">
        <f t="shared" si="0"/>
        <v xml:space="preserve">2.5mm Twin and Earth, </v>
      </c>
    </row>
    <row r="5" spans="1:8" x14ac:dyDescent="0.4">
      <c r="A5" s="114" t="s">
        <v>304</v>
      </c>
      <c r="B5" s="114" t="s">
        <v>765</v>
      </c>
      <c r="C5" s="423">
        <v>57.95</v>
      </c>
      <c r="D5" s="114">
        <v>1</v>
      </c>
      <c r="E5" s="114" t="s">
        <v>833</v>
      </c>
      <c r="G5" s="114" t="s">
        <v>760</v>
      </c>
      <c r="H5" s="114" t="str">
        <f t="shared" si="0"/>
        <v xml:space="preserve">Auto/Off/On switch, </v>
      </c>
    </row>
    <row r="6" spans="1:8" x14ac:dyDescent="0.4">
      <c r="A6" s="114" t="s">
        <v>253</v>
      </c>
      <c r="B6" s="114" t="s">
        <v>756</v>
      </c>
      <c r="C6" s="423">
        <v>8.4499999999999993</v>
      </c>
      <c r="D6" s="114">
        <v>0</v>
      </c>
      <c r="E6" s="114" t="s">
        <v>833</v>
      </c>
      <c r="G6" s="114" t="s">
        <v>762</v>
      </c>
      <c r="H6" s="114" t="str">
        <f t="shared" si="0"/>
        <v xml:space="preserve">CB 1 Phase 10A, </v>
      </c>
    </row>
    <row r="7" spans="1:8" x14ac:dyDescent="0.4">
      <c r="A7" s="114" t="s">
        <v>1040</v>
      </c>
      <c r="B7" s="114" t="s">
        <v>758</v>
      </c>
      <c r="C7" s="423">
        <v>43.44</v>
      </c>
      <c r="D7" s="114">
        <v>0</v>
      </c>
      <c r="E7" s="114" t="s">
        <v>833</v>
      </c>
      <c r="G7" s="114" t="s">
        <v>762</v>
      </c>
      <c r="H7" s="114" t="str">
        <f t="shared" si="0"/>
        <v xml:space="preserve">CB 3 Phase 50A, </v>
      </c>
    </row>
    <row r="8" spans="1:8" x14ac:dyDescent="0.4">
      <c r="A8" s="114" t="s">
        <v>1000</v>
      </c>
      <c r="C8" s="423">
        <v>0</v>
      </c>
      <c r="D8" s="114">
        <v>1</v>
      </c>
      <c r="H8" s="114" t="str">
        <f t="shared" si="0"/>
        <v xml:space="preserve">Commissioning/Testing, </v>
      </c>
    </row>
    <row r="9" spans="1:8" ht="43.75" x14ac:dyDescent="0.4">
      <c r="A9" s="114" t="s">
        <v>1344</v>
      </c>
      <c r="B9" s="282" t="s">
        <v>778</v>
      </c>
      <c r="C9" s="423">
        <f>37.8 +
53.25</f>
        <v>91.05</v>
      </c>
      <c r="H9" s="114" t="str">
        <f t="shared" si="0"/>
        <v xml:space="preserve">Contactors &amp; Overloads, </v>
      </c>
    </row>
    <row r="10" spans="1:8" x14ac:dyDescent="0.4">
      <c r="A10" s="117" t="s">
        <v>326</v>
      </c>
      <c r="B10" s="114" t="s">
        <v>768</v>
      </c>
      <c r="C10" s="423">
        <v>24.2</v>
      </c>
      <c r="E10" s="114" t="s">
        <v>833</v>
      </c>
      <c r="G10" s="114" t="s">
        <v>767</v>
      </c>
      <c r="H10" s="114" t="str">
        <f t="shared" si="0"/>
        <v xml:space="preserve">Fire Relay, </v>
      </c>
    </row>
    <row r="11" spans="1:8" x14ac:dyDescent="0.4">
      <c r="A11" s="440" t="s">
        <v>588</v>
      </c>
      <c r="C11" s="423">
        <v>80</v>
      </c>
      <c r="D11" s="114">
        <v>2</v>
      </c>
      <c r="H11" s="114" t="str">
        <f t="shared" si="0"/>
        <v xml:space="preserve">Programable Timeclock controller, </v>
      </c>
    </row>
    <row r="12" spans="1:8" x14ac:dyDescent="0.4">
      <c r="A12" s="114" t="s">
        <v>669</v>
      </c>
      <c r="C12" s="423">
        <v>60</v>
      </c>
      <c r="H12" s="114" t="str">
        <f t="shared" si="0"/>
        <v xml:space="preserve">Reed Switch, </v>
      </c>
    </row>
    <row r="13" spans="1:8" x14ac:dyDescent="0.4">
      <c r="A13" s="114" t="s">
        <v>1003</v>
      </c>
      <c r="B13" s="114" t="s">
        <v>754</v>
      </c>
      <c r="C13" s="423">
        <v>16</v>
      </c>
      <c r="E13" s="114" t="s">
        <v>833</v>
      </c>
      <c r="G13" s="114" t="s">
        <v>753</v>
      </c>
      <c r="H13" s="114" t="str">
        <f t="shared" si="0"/>
        <v xml:space="preserve">Run &amp; Fault LEDs, </v>
      </c>
    </row>
    <row r="14" spans="1:8" x14ac:dyDescent="0.4">
      <c r="A14" s="114" t="s">
        <v>418</v>
      </c>
      <c r="C14" s="423">
        <v>0.28000000000000003</v>
      </c>
      <c r="D14" s="114">
        <v>0.1</v>
      </c>
      <c r="H14" s="114" t="str">
        <f t="shared" si="0"/>
        <v xml:space="preserve">Switchboard Cable 1mm, </v>
      </c>
    </row>
    <row r="15" spans="1:8" x14ac:dyDescent="0.4">
      <c r="A15" s="114" t="s">
        <v>1004</v>
      </c>
      <c r="B15" s="114" t="s">
        <v>695</v>
      </c>
      <c r="C15" s="423">
        <v>360</v>
      </c>
      <c r="H15" s="114" t="str">
        <f t="shared" si="0"/>
        <v xml:space="preserve">Traffolyte Labelling, </v>
      </c>
    </row>
    <row r="16" spans="1:8" x14ac:dyDescent="0.4">
      <c r="A16" s="114" t="s">
        <v>985</v>
      </c>
      <c r="B16" s="114" t="s">
        <v>763</v>
      </c>
      <c r="C16" s="423">
        <v>307.2</v>
      </c>
      <c r="H16" s="114" t="str">
        <f t="shared" si="0"/>
        <v xml:space="preserve">Mechanical Thermostat, </v>
      </c>
    </row>
    <row r="17" spans="1:8" x14ac:dyDescent="0.4">
      <c r="A17" s="114" t="s">
        <v>999</v>
      </c>
      <c r="C17" s="423">
        <v>60</v>
      </c>
      <c r="F17" s="282"/>
      <c r="H17" s="114" t="str">
        <f t="shared" si="0"/>
        <v xml:space="preserve">Controls Enclosure, </v>
      </c>
    </row>
    <row r="18" spans="1:8" x14ac:dyDescent="0.4">
      <c r="A18" s="135" t="s">
        <v>831</v>
      </c>
      <c r="B18" s="114" t="s">
        <v>1060</v>
      </c>
      <c r="C18" s="423">
        <v>23.4</v>
      </c>
      <c r="H18" s="114" t="str">
        <f t="shared" si="0"/>
        <v xml:space="preserve">Current Switch, </v>
      </c>
    </row>
    <row r="19" spans="1:8" x14ac:dyDescent="0.4">
      <c r="A19" s="441" t="s">
        <v>697</v>
      </c>
      <c r="B19" s="114" t="s">
        <v>768</v>
      </c>
      <c r="C19" s="423">
        <v>24.2</v>
      </c>
      <c r="E19" s="114" t="s">
        <v>833</v>
      </c>
      <c r="H19" s="114" t="str">
        <f t="shared" si="0"/>
        <v xml:space="preserve">General Relay, </v>
      </c>
    </row>
    <row r="20" spans="1:8" x14ac:dyDescent="0.4">
      <c r="A20" s="441" t="s">
        <v>986</v>
      </c>
      <c r="C20" s="423">
        <v>60</v>
      </c>
      <c r="D20" s="114">
        <v>1</v>
      </c>
      <c r="H20" s="114" t="str">
        <f t="shared" si="0"/>
        <v xml:space="preserve">Run On Timer, </v>
      </c>
    </row>
    <row r="21" spans="1:8" x14ac:dyDescent="0.4">
      <c r="A21" s="441" t="s">
        <v>269</v>
      </c>
      <c r="C21" s="423">
        <v>1.056</v>
      </c>
      <c r="D21" s="114">
        <v>0.1</v>
      </c>
      <c r="F21" s="282"/>
      <c r="H21" s="114" t="str">
        <f t="shared" si="0"/>
        <v xml:space="preserve">7030 2 pair TCAS7302P, </v>
      </c>
    </row>
    <row r="22" spans="1:8" x14ac:dyDescent="0.4">
      <c r="A22" s="114" t="s">
        <v>301</v>
      </c>
      <c r="D22" s="114">
        <v>0.25</v>
      </c>
      <c r="F22" s="282"/>
      <c r="H22" s="114" t="str">
        <f t="shared" si="0"/>
        <v xml:space="preserve">Ducted VRF Unit &lt; 10m, </v>
      </c>
    </row>
    <row r="23" spans="1:8" x14ac:dyDescent="0.4">
      <c r="A23" s="114" t="s">
        <v>239</v>
      </c>
      <c r="D23" s="114">
        <v>1</v>
      </c>
      <c r="F23" s="282"/>
      <c r="H23" s="114" t="str">
        <f t="shared" si="0"/>
        <v xml:space="preserve">VRF Network, </v>
      </c>
    </row>
    <row r="24" spans="1:8" x14ac:dyDescent="0.4">
      <c r="A24" s="114" t="s">
        <v>1035</v>
      </c>
      <c r="D24" s="114">
        <v>0.5</v>
      </c>
      <c r="F24" s="282"/>
      <c r="H24" s="114" t="str">
        <f t="shared" si="0"/>
        <v xml:space="preserve">Commissioning Wall Controller VRF, </v>
      </c>
    </row>
    <row r="25" spans="1:8" x14ac:dyDescent="0.4">
      <c r="A25" s="441" t="s">
        <v>1018</v>
      </c>
      <c r="D25" s="114">
        <v>1</v>
      </c>
      <c r="F25" s="282"/>
      <c r="H25" s="114" t="str">
        <f t="shared" si="0"/>
        <v xml:space="preserve">Cabling, </v>
      </c>
    </row>
    <row r="26" spans="1:8" x14ac:dyDescent="0.4">
      <c r="A26" s="441" t="s">
        <v>1038</v>
      </c>
      <c r="D26" s="114">
        <v>1</v>
      </c>
      <c r="F26" s="282"/>
      <c r="H26" s="114" t="str">
        <f t="shared" si="0"/>
        <v xml:space="preserve">Cond. Unit Sml Dx Install, </v>
      </c>
    </row>
    <row r="27" spans="1:8" x14ac:dyDescent="0.4">
      <c r="A27" s="114" t="s">
        <v>1236</v>
      </c>
      <c r="C27" s="423">
        <v>360</v>
      </c>
      <c r="F27" s="282"/>
      <c r="H27" s="114" t="str">
        <f t="shared" si="0"/>
        <v xml:space="preserve">Traffolyte, </v>
      </c>
    </row>
    <row r="28" spans="1:8" x14ac:dyDescent="0.4">
      <c r="A28" s="441" t="s">
        <v>1250</v>
      </c>
      <c r="B28" s="297" t="s">
        <v>786</v>
      </c>
      <c r="C28" s="423">
        <v>971.52</v>
      </c>
      <c r="D28" s="114">
        <v>2</v>
      </c>
      <c r="F28" s="282"/>
      <c r="H28" s="114" t="str">
        <f t="shared" si="0"/>
        <v xml:space="preserve">VSD Typical, </v>
      </c>
    </row>
    <row r="29" spans="1:8" x14ac:dyDescent="0.4">
      <c r="A29" s="114" t="s">
        <v>1061</v>
      </c>
      <c r="B29" s="114" t="s">
        <v>960</v>
      </c>
      <c r="C29" s="423">
        <v>243.55</v>
      </c>
      <c r="D29" s="114">
        <v>4</v>
      </c>
      <c r="E29" s="114" t="s">
        <v>833</v>
      </c>
      <c r="G29" s="282"/>
      <c r="H29" s="114" t="str">
        <f t="shared" si="0"/>
        <v xml:space="preserve">EN46-O, </v>
      </c>
    </row>
    <row r="30" spans="1:8" x14ac:dyDescent="0.4">
      <c r="A30" s="114" t="s">
        <v>1062</v>
      </c>
      <c r="B30" s="114" t="s">
        <v>745</v>
      </c>
      <c r="C30" s="423">
        <v>294.60000000000002</v>
      </c>
      <c r="D30" s="114">
        <v>4</v>
      </c>
      <c r="E30" s="114" t="s">
        <v>833</v>
      </c>
      <c r="H30" s="114" t="str">
        <f t="shared" si="0"/>
        <v xml:space="preserve">EN66-O, </v>
      </c>
    </row>
    <row r="31" spans="1:8" x14ac:dyDescent="0.4">
      <c r="A31" s="114" t="s">
        <v>1063</v>
      </c>
      <c r="B31" s="114" t="s">
        <v>963</v>
      </c>
      <c r="C31" s="423">
        <v>488.25</v>
      </c>
      <c r="D31" s="114">
        <v>4</v>
      </c>
      <c r="E31" s="114" t="s">
        <v>833</v>
      </c>
      <c r="F31" s="282"/>
      <c r="H31" s="114" t="str">
        <f t="shared" si="0"/>
        <v xml:space="preserve">EN68-O, </v>
      </c>
    </row>
    <row r="32" spans="1:8" x14ac:dyDescent="0.4">
      <c r="A32" s="114" t="s">
        <v>1064</v>
      </c>
      <c r="B32" s="114" t="s">
        <v>969</v>
      </c>
      <c r="C32" s="423">
        <v>700.9</v>
      </c>
      <c r="D32" s="114">
        <v>4</v>
      </c>
      <c r="E32" s="114" t="s">
        <v>833</v>
      </c>
      <c r="H32" s="114" t="str">
        <f t="shared" si="0"/>
        <v xml:space="preserve">EN810-O, </v>
      </c>
    </row>
    <row r="33" spans="1:8" x14ac:dyDescent="0.4">
      <c r="A33" s="114" t="s">
        <v>1065</v>
      </c>
      <c r="B33" s="114" t="s">
        <v>970</v>
      </c>
      <c r="C33" s="423">
        <v>243.55</v>
      </c>
      <c r="D33" s="114">
        <v>4</v>
      </c>
      <c r="E33" s="114" t="s">
        <v>833</v>
      </c>
      <c r="H33" s="114" t="str">
        <f t="shared" si="0"/>
        <v xml:space="preserve">EN46-G, </v>
      </c>
    </row>
    <row r="34" spans="1:8" x14ac:dyDescent="0.4">
      <c r="A34" s="114" t="s">
        <v>1066</v>
      </c>
      <c r="B34" s="114" t="s">
        <v>971</v>
      </c>
      <c r="C34" s="423">
        <v>356.4</v>
      </c>
      <c r="D34" s="114">
        <v>4</v>
      </c>
      <c r="E34" s="114" t="s">
        <v>833</v>
      </c>
      <c r="H34" s="114" t="str">
        <f t="shared" si="0"/>
        <v xml:space="preserve">EN66-G, </v>
      </c>
    </row>
    <row r="35" spans="1:8" x14ac:dyDescent="0.4">
      <c r="A35" s="114" t="s">
        <v>1067</v>
      </c>
      <c r="B35" s="114" t="s">
        <v>972</v>
      </c>
      <c r="C35" s="423">
        <v>541.75</v>
      </c>
      <c r="D35" s="114">
        <v>4</v>
      </c>
      <c r="E35" s="114" t="s">
        <v>833</v>
      </c>
      <c r="H35" s="114" t="str">
        <f t="shared" si="0"/>
        <v xml:space="preserve">EN68-G, </v>
      </c>
    </row>
    <row r="36" spans="1:8" x14ac:dyDescent="0.4">
      <c r="A36" s="114" t="s">
        <v>1068</v>
      </c>
      <c r="B36" s="114" t="s">
        <v>973</v>
      </c>
      <c r="C36" s="423">
        <v>651</v>
      </c>
      <c r="D36" s="114">
        <v>4</v>
      </c>
      <c r="E36" s="114" t="s">
        <v>833</v>
      </c>
      <c r="H36" s="114" t="str">
        <f t="shared" si="0"/>
        <v xml:space="preserve">EN88-G, </v>
      </c>
    </row>
    <row r="37" spans="1:8" x14ac:dyDescent="0.4">
      <c r="A37" s="114" t="s">
        <v>1069</v>
      </c>
      <c r="B37" s="114" t="s">
        <v>969</v>
      </c>
      <c r="C37" s="423">
        <v>700.9</v>
      </c>
      <c r="D37" s="114">
        <v>4</v>
      </c>
      <c r="E37" s="114" t="s">
        <v>833</v>
      </c>
      <c r="H37" s="114" t="str">
        <f t="shared" si="0"/>
        <v xml:space="preserve">EN810-G, </v>
      </c>
    </row>
    <row r="38" spans="1:8" x14ac:dyDescent="0.4">
      <c r="A38" s="114" t="s">
        <v>1070</v>
      </c>
      <c r="B38" s="114" t="s">
        <v>1071</v>
      </c>
      <c r="C38" s="423">
        <v>999999</v>
      </c>
      <c r="D38" s="114">
        <v>999999</v>
      </c>
      <c r="E38" s="114" t="s">
        <v>1072</v>
      </c>
      <c r="H38" s="114" t="str">
        <f t="shared" si="0"/>
        <v xml:space="preserve">DB24-2-42-O, </v>
      </c>
    </row>
    <row r="39" spans="1:8" x14ac:dyDescent="0.4">
      <c r="A39" s="114" t="s">
        <v>1073</v>
      </c>
      <c r="B39" s="114" t="s">
        <v>1074</v>
      </c>
      <c r="C39" s="423">
        <v>999999</v>
      </c>
      <c r="D39" s="114">
        <v>999999</v>
      </c>
      <c r="E39" s="114" t="s">
        <v>1072</v>
      </c>
      <c r="H39" s="114" t="str">
        <f t="shared" si="0"/>
        <v xml:space="preserve">DB24-2-42-O-M, </v>
      </c>
    </row>
    <row r="40" spans="1:8" x14ac:dyDescent="0.4">
      <c r="A40" s="114" t="s">
        <v>1075</v>
      </c>
      <c r="B40" s="114" t="s">
        <v>1076</v>
      </c>
      <c r="C40" s="423">
        <v>999999</v>
      </c>
      <c r="D40" s="114">
        <v>999999</v>
      </c>
      <c r="E40" s="114" t="s">
        <v>1072</v>
      </c>
      <c r="H40" s="114" t="str">
        <f t="shared" si="0"/>
        <v xml:space="preserve">DB36-2-42-O, </v>
      </c>
    </row>
    <row r="41" spans="1:8" x14ac:dyDescent="0.4">
      <c r="A41" s="114" t="s">
        <v>1077</v>
      </c>
      <c r="B41" s="114" t="s">
        <v>1078</v>
      </c>
      <c r="C41" s="423">
        <v>999999</v>
      </c>
      <c r="D41" s="114">
        <v>999999</v>
      </c>
      <c r="E41" s="114" t="s">
        <v>1072</v>
      </c>
      <c r="H41" s="114" t="str">
        <f t="shared" si="0"/>
        <v xml:space="preserve">DB36-2-42-O-M, </v>
      </c>
    </row>
    <row r="42" spans="1:8" x14ac:dyDescent="0.4">
      <c r="A42" s="114" t="s">
        <v>1079</v>
      </c>
      <c r="B42" s="114" t="s">
        <v>1080</v>
      </c>
      <c r="C42" s="423">
        <v>999999</v>
      </c>
      <c r="D42" s="114">
        <v>999999</v>
      </c>
      <c r="E42" s="114" t="s">
        <v>1072</v>
      </c>
      <c r="H42" s="114" t="str">
        <f t="shared" si="0"/>
        <v xml:space="preserve">DB48-2-42-O, </v>
      </c>
    </row>
    <row r="43" spans="1:8" x14ac:dyDescent="0.4">
      <c r="A43" s="114" t="s">
        <v>1081</v>
      </c>
      <c r="B43" s="114" t="s">
        <v>1082</v>
      </c>
      <c r="C43" s="423">
        <v>999999</v>
      </c>
      <c r="D43" s="114">
        <v>999999</v>
      </c>
      <c r="E43" s="114" t="s">
        <v>1072</v>
      </c>
      <c r="H43" s="114" t="str">
        <f t="shared" si="0"/>
        <v xml:space="preserve">DB48-2-42-O-M, </v>
      </c>
    </row>
    <row r="44" spans="1:8" x14ac:dyDescent="0.4">
      <c r="A44" s="114" t="s">
        <v>1083</v>
      </c>
      <c r="B44" s="114" t="s">
        <v>1084</v>
      </c>
      <c r="C44" s="423">
        <v>999999</v>
      </c>
      <c r="D44" s="114">
        <v>999999</v>
      </c>
      <c r="E44" s="114" t="s">
        <v>1072</v>
      </c>
      <c r="H44" s="114" t="str">
        <f t="shared" si="0"/>
        <v xml:space="preserve">DB60-2-42-O, </v>
      </c>
    </row>
    <row r="45" spans="1:8" x14ac:dyDescent="0.4">
      <c r="A45" s="114" t="s">
        <v>1085</v>
      </c>
      <c r="B45" s="114" t="s">
        <v>1086</v>
      </c>
      <c r="C45" s="423">
        <v>999999</v>
      </c>
      <c r="D45" s="114">
        <v>999999</v>
      </c>
      <c r="E45" s="114" t="s">
        <v>1072</v>
      </c>
      <c r="H45" s="114" t="str">
        <f t="shared" si="0"/>
        <v xml:space="preserve">DB60-2-42-O-M, </v>
      </c>
    </row>
    <row r="46" spans="1:8" x14ac:dyDescent="0.4">
      <c r="A46" s="114" t="s">
        <v>1087</v>
      </c>
      <c r="B46" s="114" t="s">
        <v>1088</v>
      </c>
      <c r="C46" s="423">
        <v>999999</v>
      </c>
      <c r="D46" s="114">
        <v>999999</v>
      </c>
      <c r="E46" s="114" t="s">
        <v>1072</v>
      </c>
      <c r="H46" s="114" t="str">
        <f t="shared" si="0"/>
        <v xml:space="preserve">DB72-2-42-O, </v>
      </c>
    </row>
    <row r="47" spans="1:8" x14ac:dyDescent="0.4">
      <c r="A47" s="114" t="s">
        <v>1089</v>
      </c>
      <c r="B47" s="114" t="s">
        <v>1090</v>
      </c>
      <c r="C47" s="423">
        <v>999999</v>
      </c>
      <c r="D47" s="114">
        <v>999999</v>
      </c>
      <c r="E47" s="114" t="s">
        <v>1072</v>
      </c>
      <c r="H47" s="114" t="str">
        <f t="shared" si="0"/>
        <v xml:space="preserve">DB72-2-42-O-M, </v>
      </c>
    </row>
    <row r="48" spans="1:8" x14ac:dyDescent="0.4">
      <c r="A48" s="114" t="s">
        <v>1091</v>
      </c>
      <c r="B48" s="114" t="s">
        <v>1092</v>
      </c>
      <c r="C48" s="423">
        <v>999999</v>
      </c>
      <c r="D48" s="114">
        <v>999999</v>
      </c>
      <c r="E48" s="114" t="s">
        <v>1072</v>
      </c>
      <c r="H48" s="114" t="str">
        <f t="shared" si="0"/>
        <v xml:space="preserve">DB24-2-56-O, </v>
      </c>
    </row>
    <row r="49" spans="1:8" x14ac:dyDescent="0.4">
      <c r="A49" s="114" t="s">
        <v>1093</v>
      </c>
      <c r="B49" s="114" t="s">
        <v>1094</v>
      </c>
      <c r="C49" s="423">
        <v>999999</v>
      </c>
      <c r="D49" s="114">
        <v>999999</v>
      </c>
      <c r="E49" s="114" t="s">
        <v>1072</v>
      </c>
      <c r="H49" s="114" t="str">
        <f t="shared" si="0"/>
        <v xml:space="preserve">DB24-2-56-O-M, </v>
      </c>
    </row>
    <row r="50" spans="1:8" x14ac:dyDescent="0.4">
      <c r="A50" s="114" t="s">
        <v>1095</v>
      </c>
      <c r="B50" s="114" t="s">
        <v>1096</v>
      </c>
      <c r="C50" s="423">
        <v>999999</v>
      </c>
      <c r="D50" s="114">
        <v>999999</v>
      </c>
      <c r="E50" s="114" t="s">
        <v>1072</v>
      </c>
      <c r="H50" s="114" t="str">
        <f t="shared" si="0"/>
        <v xml:space="preserve">DB36-2-56-O, </v>
      </c>
    </row>
    <row r="51" spans="1:8" x14ac:dyDescent="0.4">
      <c r="A51" s="114" t="s">
        <v>1097</v>
      </c>
      <c r="B51" s="114" t="s">
        <v>1098</v>
      </c>
      <c r="C51" s="423">
        <v>999999</v>
      </c>
      <c r="D51" s="114">
        <v>999999</v>
      </c>
      <c r="E51" s="114" t="s">
        <v>1072</v>
      </c>
      <c r="H51" s="114" t="str">
        <f t="shared" si="0"/>
        <v xml:space="preserve">DB36-2-56-O-M, </v>
      </c>
    </row>
    <row r="52" spans="1:8" x14ac:dyDescent="0.4">
      <c r="A52" s="114" t="s">
        <v>1099</v>
      </c>
      <c r="B52" s="114" t="s">
        <v>1100</v>
      </c>
      <c r="C52" s="423">
        <v>999999</v>
      </c>
      <c r="D52" s="114">
        <v>999999</v>
      </c>
      <c r="E52" s="114" t="s">
        <v>1072</v>
      </c>
      <c r="H52" s="114" t="str">
        <f t="shared" si="0"/>
        <v xml:space="preserve">DB48-2-56-O, </v>
      </c>
    </row>
    <row r="53" spans="1:8" x14ac:dyDescent="0.4">
      <c r="A53" s="114" t="s">
        <v>1101</v>
      </c>
      <c r="B53" s="114" t="s">
        <v>1102</v>
      </c>
      <c r="C53" s="423">
        <v>999999</v>
      </c>
      <c r="D53" s="114">
        <v>999999</v>
      </c>
      <c r="E53" s="114" t="s">
        <v>1072</v>
      </c>
      <c r="H53" s="114" t="str">
        <f t="shared" si="0"/>
        <v xml:space="preserve">DB48-2-56-O-M, </v>
      </c>
    </row>
    <row r="54" spans="1:8" x14ac:dyDescent="0.4">
      <c r="A54" s="114" t="s">
        <v>1103</v>
      </c>
      <c r="B54" s="114" t="s">
        <v>1104</v>
      </c>
      <c r="C54" s="423">
        <v>999999</v>
      </c>
      <c r="D54" s="114">
        <v>999999</v>
      </c>
      <c r="E54" s="114" t="s">
        <v>1072</v>
      </c>
      <c r="H54" s="114" t="str">
        <f t="shared" si="0"/>
        <v xml:space="preserve">DB60-2-56-O, </v>
      </c>
    </row>
    <row r="55" spans="1:8" x14ac:dyDescent="0.4">
      <c r="A55" s="114" t="s">
        <v>1105</v>
      </c>
      <c r="B55" s="114" t="s">
        <v>1106</v>
      </c>
      <c r="C55" s="423">
        <v>999999</v>
      </c>
      <c r="D55" s="114">
        <v>999999</v>
      </c>
      <c r="E55" s="114" t="s">
        <v>1072</v>
      </c>
      <c r="H55" s="114" t="str">
        <f t="shared" si="0"/>
        <v xml:space="preserve">DB60-2-56-O-M, </v>
      </c>
    </row>
    <row r="56" spans="1:8" x14ac:dyDescent="0.4">
      <c r="A56" s="114" t="s">
        <v>1107</v>
      </c>
      <c r="B56" s="114" t="s">
        <v>1108</v>
      </c>
      <c r="C56" s="423">
        <v>999999</v>
      </c>
      <c r="D56" s="114">
        <v>999999</v>
      </c>
      <c r="E56" s="114" t="s">
        <v>1072</v>
      </c>
      <c r="H56" s="114" t="str">
        <f t="shared" si="0"/>
        <v xml:space="preserve">DB72-2-56-O, </v>
      </c>
    </row>
    <row r="57" spans="1:8" x14ac:dyDescent="0.4">
      <c r="A57" s="114" t="s">
        <v>1109</v>
      </c>
      <c r="B57" s="114" t="s">
        <v>1110</v>
      </c>
      <c r="C57" s="423">
        <v>999999</v>
      </c>
      <c r="D57" s="114">
        <v>999999</v>
      </c>
      <c r="E57" s="114" t="s">
        <v>1072</v>
      </c>
      <c r="H57" s="114" t="str">
        <f t="shared" si="0"/>
        <v xml:space="preserve">DB72-2-56-O-M, </v>
      </c>
    </row>
    <row r="58" spans="1:8" x14ac:dyDescent="0.4">
      <c r="A58" s="114" t="s">
        <v>1111</v>
      </c>
      <c r="B58" s="114" t="s">
        <v>1112</v>
      </c>
      <c r="C58" s="423">
        <v>999999</v>
      </c>
      <c r="D58" s="114">
        <v>999999</v>
      </c>
      <c r="E58" s="114" t="s">
        <v>1072</v>
      </c>
      <c r="H58" s="114" t="str">
        <f t="shared" si="0"/>
        <v xml:space="preserve">DB24-4-42-O, </v>
      </c>
    </row>
    <row r="59" spans="1:8" x14ac:dyDescent="0.4">
      <c r="A59" s="114" t="s">
        <v>1113</v>
      </c>
      <c r="B59" s="114" t="s">
        <v>1114</v>
      </c>
      <c r="C59" s="423">
        <v>999999</v>
      </c>
      <c r="D59" s="114">
        <v>999999</v>
      </c>
      <c r="E59" s="114" t="s">
        <v>1072</v>
      </c>
      <c r="H59" s="114" t="str">
        <f t="shared" si="0"/>
        <v xml:space="preserve">DB24-4-42-O-M, </v>
      </c>
    </row>
    <row r="60" spans="1:8" x14ac:dyDescent="0.4">
      <c r="A60" s="114" t="s">
        <v>1115</v>
      </c>
      <c r="B60" s="114" t="s">
        <v>1116</v>
      </c>
      <c r="C60" s="423">
        <v>999999</v>
      </c>
      <c r="D60" s="114">
        <v>999999</v>
      </c>
      <c r="E60" s="114" t="s">
        <v>1072</v>
      </c>
      <c r="H60" s="114" t="str">
        <f t="shared" si="0"/>
        <v xml:space="preserve">DB36-4-42-O, </v>
      </c>
    </row>
    <row r="61" spans="1:8" x14ac:dyDescent="0.4">
      <c r="A61" s="114" t="s">
        <v>1117</v>
      </c>
      <c r="B61" s="114" t="s">
        <v>1118</v>
      </c>
      <c r="C61" s="423">
        <v>999999</v>
      </c>
      <c r="D61" s="114">
        <v>999999</v>
      </c>
      <c r="E61" s="114" t="s">
        <v>1072</v>
      </c>
      <c r="H61" s="114" t="str">
        <f t="shared" si="0"/>
        <v xml:space="preserve">DB36-4-42-O-M, </v>
      </c>
    </row>
    <row r="62" spans="1:8" x14ac:dyDescent="0.4">
      <c r="A62" s="114" t="s">
        <v>1119</v>
      </c>
      <c r="B62" s="114" t="s">
        <v>1120</v>
      </c>
      <c r="C62" s="423">
        <v>999999</v>
      </c>
      <c r="D62" s="114">
        <v>999999</v>
      </c>
      <c r="E62" s="114" t="s">
        <v>1072</v>
      </c>
      <c r="H62" s="114" t="str">
        <f t="shared" si="0"/>
        <v xml:space="preserve">DB48-4-42-O, </v>
      </c>
    </row>
    <row r="63" spans="1:8" x14ac:dyDescent="0.4">
      <c r="A63" s="114" t="s">
        <v>1121</v>
      </c>
      <c r="B63" s="114" t="s">
        <v>1122</v>
      </c>
      <c r="C63" s="423">
        <v>999999</v>
      </c>
      <c r="D63" s="114">
        <v>999999</v>
      </c>
      <c r="E63" s="114" t="s">
        <v>1072</v>
      </c>
      <c r="H63" s="114" t="str">
        <f t="shared" si="0"/>
        <v xml:space="preserve">DB48-4-42-O-M, </v>
      </c>
    </row>
    <row r="64" spans="1:8" x14ac:dyDescent="0.4">
      <c r="A64" s="114" t="s">
        <v>1123</v>
      </c>
      <c r="B64" s="114" t="s">
        <v>1124</v>
      </c>
      <c r="C64" s="423">
        <v>999999</v>
      </c>
      <c r="D64" s="114">
        <v>999999</v>
      </c>
      <c r="E64" s="114" t="s">
        <v>1072</v>
      </c>
      <c r="H64" s="114" t="str">
        <f t="shared" si="0"/>
        <v xml:space="preserve">DB60-4-42-O, </v>
      </c>
    </row>
    <row r="65" spans="1:8" x14ac:dyDescent="0.4">
      <c r="A65" s="114" t="s">
        <v>1125</v>
      </c>
      <c r="B65" s="114" t="s">
        <v>1126</v>
      </c>
      <c r="C65" s="423">
        <v>999999</v>
      </c>
      <c r="D65" s="114">
        <v>999999</v>
      </c>
      <c r="E65" s="114" t="s">
        <v>1072</v>
      </c>
      <c r="H65" s="114" t="str">
        <f t="shared" si="0"/>
        <v xml:space="preserve">DB60-4-42-O-M, </v>
      </c>
    </row>
    <row r="66" spans="1:8" x14ac:dyDescent="0.4">
      <c r="A66" s="114" t="s">
        <v>1127</v>
      </c>
      <c r="B66" s="114" t="s">
        <v>1128</v>
      </c>
      <c r="C66" s="423">
        <v>999999</v>
      </c>
      <c r="D66" s="114">
        <v>999999</v>
      </c>
      <c r="E66" s="114" t="s">
        <v>1072</v>
      </c>
      <c r="H66" s="114" t="str">
        <f t="shared" si="0"/>
        <v xml:space="preserve">DB72-4-42-O, </v>
      </c>
    </row>
    <row r="67" spans="1:8" x14ac:dyDescent="0.4">
      <c r="A67" s="114" t="s">
        <v>1129</v>
      </c>
      <c r="B67" s="114" t="s">
        <v>1130</v>
      </c>
      <c r="C67" s="423">
        <v>999999</v>
      </c>
      <c r="D67" s="114">
        <v>999999</v>
      </c>
      <c r="E67" s="114" t="s">
        <v>1072</v>
      </c>
      <c r="H67" s="114" t="str">
        <f t="shared" ref="H67:H130" si="1">_xlfn.CONCAT(A67, ", ")</f>
        <v xml:space="preserve">DB72-4-42-O-M, </v>
      </c>
    </row>
    <row r="68" spans="1:8" x14ac:dyDescent="0.4">
      <c r="A68" s="114" t="s">
        <v>1131</v>
      </c>
      <c r="B68" s="114" t="s">
        <v>1132</v>
      </c>
      <c r="C68" s="423">
        <v>999999</v>
      </c>
      <c r="D68" s="114">
        <v>999999</v>
      </c>
      <c r="E68" s="114" t="s">
        <v>1072</v>
      </c>
      <c r="H68" s="114" t="str">
        <f t="shared" si="1"/>
        <v xml:space="preserve">DB24-4-56-O, </v>
      </c>
    </row>
    <row r="69" spans="1:8" x14ac:dyDescent="0.4">
      <c r="A69" s="114" t="s">
        <v>1133</v>
      </c>
      <c r="B69" s="114" t="s">
        <v>1134</v>
      </c>
      <c r="C69" s="423">
        <v>999999</v>
      </c>
      <c r="D69" s="114">
        <v>999999</v>
      </c>
      <c r="E69" s="114" t="s">
        <v>1072</v>
      </c>
      <c r="H69" s="114" t="str">
        <f t="shared" si="1"/>
        <v xml:space="preserve">DB24-4-56-O-M, </v>
      </c>
    </row>
    <row r="70" spans="1:8" x14ac:dyDescent="0.4">
      <c r="A70" s="114" t="s">
        <v>1135</v>
      </c>
      <c r="B70" s="114" t="s">
        <v>1136</v>
      </c>
      <c r="C70" s="423">
        <v>999999</v>
      </c>
      <c r="D70" s="114">
        <v>999999</v>
      </c>
      <c r="E70" s="114" t="s">
        <v>1072</v>
      </c>
      <c r="H70" s="114" t="str">
        <f t="shared" si="1"/>
        <v xml:space="preserve">DB36-4-56-O, </v>
      </c>
    </row>
    <row r="71" spans="1:8" x14ac:dyDescent="0.4">
      <c r="A71" s="114" t="s">
        <v>1137</v>
      </c>
      <c r="B71" s="114" t="s">
        <v>1138</v>
      </c>
      <c r="C71" s="423">
        <v>999999</v>
      </c>
      <c r="D71" s="114">
        <v>999999</v>
      </c>
      <c r="E71" s="114" t="s">
        <v>1072</v>
      </c>
      <c r="H71" s="114" t="str">
        <f t="shared" si="1"/>
        <v xml:space="preserve">DB36-4-56-O-M, </v>
      </c>
    </row>
    <row r="72" spans="1:8" x14ac:dyDescent="0.4">
      <c r="A72" s="114" t="s">
        <v>1139</v>
      </c>
      <c r="B72" s="114" t="s">
        <v>1140</v>
      </c>
      <c r="C72" s="423">
        <v>999999</v>
      </c>
      <c r="D72" s="114">
        <v>999999</v>
      </c>
      <c r="E72" s="114" t="s">
        <v>1072</v>
      </c>
      <c r="H72" s="114" t="str">
        <f t="shared" si="1"/>
        <v xml:space="preserve">DB48-4-56-O, </v>
      </c>
    </row>
    <row r="73" spans="1:8" x14ac:dyDescent="0.4">
      <c r="A73" s="114" t="s">
        <v>1141</v>
      </c>
      <c r="B73" s="114" t="s">
        <v>1142</v>
      </c>
      <c r="C73" s="423">
        <v>999999</v>
      </c>
      <c r="D73" s="114">
        <v>999999</v>
      </c>
      <c r="E73" s="114" t="s">
        <v>1072</v>
      </c>
      <c r="H73" s="114" t="str">
        <f t="shared" si="1"/>
        <v xml:space="preserve">DB48-4-56-O-M, </v>
      </c>
    </row>
    <row r="74" spans="1:8" x14ac:dyDescent="0.4">
      <c r="A74" s="114" t="s">
        <v>1143</v>
      </c>
      <c r="B74" s="114" t="s">
        <v>1144</v>
      </c>
      <c r="C74" s="423">
        <v>999999</v>
      </c>
      <c r="D74" s="114">
        <v>999999</v>
      </c>
      <c r="E74" s="114" t="s">
        <v>1072</v>
      </c>
      <c r="H74" s="114" t="str">
        <f t="shared" si="1"/>
        <v xml:space="preserve">DB60-4-56-O, </v>
      </c>
    </row>
    <row r="75" spans="1:8" x14ac:dyDescent="0.4">
      <c r="A75" s="114" t="s">
        <v>1145</v>
      </c>
      <c r="B75" s="114" t="s">
        <v>1146</v>
      </c>
      <c r="C75" s="423">
        <v>999999</v>
      </c>
      <c r="D75" s="114">
        <v>999999</v>
      </c>
      <c r="E75" s="114" t="s">
        <v>1072</v>
      </c>
      <c r="H75" s="114" t="str">
        <f t="shared" si="1"/>
        <v xml:space="preserve">DB60-4-56-O-M, </v>
      </c>
    </row>
    <row r="76" spans="1:8" x14ac:dyDescent="0.4">
      <c r="A76" s="114" t="s">
        <v>1147</v>
      </c>
      <c r="B76" s="114" t="s">
        <v>1148</v>
      </c>
      <c r="C76" s="423">
        <v>999999</v>
      </c>
      <c r="D76" s="114">
        <v>999999</v>
      </c>
      <c r="E76" s="114" t="s">
        <v>1072</v>
      </c>
      <c r="H76" s="114" t="str">
        <f t="shared" si="1"/>
        <v xml:space="preserve">DB72-4-56-O, </v>
      </c>
    </row>
    <row r="77" spans="1:8" x14ac:dyDescent="0.4">
      <c r="A77" s="114" t="s">
        <v>1149</v>
      </c>
      <c r="B77" s="114" t="s">
        <v>1150</v>
      </c>
      <c r="C77" s="423">
        <v>999999</v>
      </c>
      <c r="D77" s="114">
        <v>999999</v>
      </c>
      <c r="E77" s="114" t="s">
        <v>1072</v>
      </c>
      <c r="H77" s="114" t="str">
        <f t="shared" si="1"/>
        <v xml:space="preserve">DB72-4-56-O-M, </v>
      </c>
    </row>
    <row r="78" spans="1:8" x14ac:dyDescent="0.4">
      <c r="A78" s="114" t="s">
        <v>1151</v>
      </c>
      <c r="B78" s="114" t="s">
        <v>1152</v>
      </c>
      <c r="C78" s="423">
        <v>999999</v>
      </c>
      <c r="D78" s="114">
        <v>999999</v>
      </c>
      <c r="E78" s="114" t="s">
        <v>1072</v>
      </c>
      <c r="H78" s="114" t="str">
        <f t="shared" si="1"/>
        <v xml:space="preserve">DB24-2-42-G, </v>
      </c>
    </row>
    <row r="79" spans="1:8" x14ac:dyDescent="0.4">
      <c r="A79" s="114" t="s">
        <v>1153</v>
      </c>
      <c r="B79" s="114" t="s">
        <v>1154</v>
      </c>
      <c r="C79" s="423">
        <v>999999</v>
      </c>
      <c r="D79" s="114">
        <v>999999</v>
      </c>
      <c r="E79" s="114" t="s">
        <v>1072</v>
      </c>
      <c r="H79" s="114" t="str">
        <f t="shared" si="1"/>
        <v xml:space="preserve">DB24-2-42-G-M, </v>
      </c>
    </row>
    <row r="80" spans="1:8" x14ac:dyDescent="0.4">
      <c r="A80" s="114" t="s">
        <v>1155</v>
      </c>
      <c r="B80" s="114" t="s">
        <v>1156</v>
      </c>
      <c r="C80" s="423">
        <v>999999</v>
      </c>
      <c r="D80" s="114">
        <v>999999</v>
      </c>
      <c r="E80" s="114" t="s">
        <v>1072</v>
      </c>
      <c r="H80" s="114" t="str">
        <f t="shared" si="1"/>
        <v xml:space="preserve">DB36-2-42-G, </v>
      </c>
    </row>
    <row r="81" spans="1:8" x14ac:dyDescent="0.4">
      <c r="A81" s="114" t="s">
        <v>1157</v>
      </c>
      <c r="B81" s="114" t="s">
        <v>1158</v>
      </c>
      <c r="C81" s="423">
        <v>999999</v>
      </c>
      <c r="D81" s="114">
        <v>999999</v>
      </c>
      <c r="E81" s="114" t="s">
        <v>1072</v>
      </c>
      <c r="H81" s="114" t="str">
        <f t="shared" si="1"/>
        <v xml:space="preserve">DB36-2-42-G-M, </v>
      </c>
    </row>
    <row r="82" spans="1:8" x14ac:dyDescent="0.4">
      <c r="A82" s="114" t="s">
        <v>1159</v>
      </c>
      <c r="B82" s="114" t="s">
        <v>1160</v>
      </c>
      <c r="C82" s="423">
        <v>999999</v>
      </c>
      <c r="D82" s="114">
        <v>999999</v>
      </c>
      <c r="E82" s="114" t="s">
        <v>1072</v>
      </c>
      <c r="H82" s="114" t="str">
        <f t="shared" si="1"/>
        <v xml:space="preserve">DB48-2-42-G, </v>
      </c>
    </row>
    <row r="83" spans="1:8" x14ac:dyDescent="0.4">
      <c r="A83" s="114" t="s">
        <v>1161</v>
      </c>
      <c r="B83" s="114" t="s">
        <v>1162</v>
      </c>
      <c r="C83" s="423">
        <v>999999</v>
      </c>
      <c r="D83" s="114">
        <v>999999</v>
      </c>
      <c r="E83" s="114" t="s">
        <v>1072</v>
      </c>
      <c r="H83" s="114" t="str">
        <f t="shared" si="1"/>
        <v xml:space="preserve">DB48-2-42-G-M, </v>
      </c>
    </row>
    <row r="84" spans="1:8" x14ac:dyDescent="0.4">
      <c r="A84" s="114" t="s">
        <v>1163</v>
      </c>
      <c r="B84" s="114" t="s">
        <v>1164</v>
      </c>
      <c r="C84" s="423">
        <v>999999</v>
      </c>
      <c r="D84" s="114">
        <v>999999</v>
      </c>
      <c r="E84" s="114" t="s">
        <v>1072</v>
      </c>
      <c r="H84" s="114" t="str">
        <f t="shared" si="1"/>
        <v xml:space="preserve">DB60-2-42-G, </v>
      </c>
    </row>
    <row r="85" spans="1:8" x14ac:dyDescent="0.4">
      <c r="A85" s="114" t="s">
        <v>1165</v>
      </c>
      <c r="B85" s="114" t="s">
        <v>1166</v>
      </c>
      <c r="C85" s="423">
        <v>999999</v>
      </c>
      <c r="D85" s="114">
        <v>999999</v>
      </c>
      <c r="E85" s="114" t="s">
        <v>1072</v>
      </c>
      <c r="H85" s="114" t="str">
        <f t="shared" si="1"/>
        <v xml:space="preserve">DB60-2-42-G-M, </v>
      </c>
    </row>
    <row r="86" spans="1:8" x14ac:dyDescent="0.4">
      <c r="A86" s="114" t="s">
        <v>1167</v>
      </c>
      <c r="B86" s="114" t="s">
        <v>1168</v>
      </c>
      <c r="C86" s="423">
        <v>999999</v>
      </c>
      <c r="D86" s="114">
        <v>999999</v>
      </c>
      <c r="E86" s="114" t="s">
        <v>1072</v>
      </c>
      <c r="H86" s="114" t="str">
        <f t="shared" si="1"/>
        <v xml:space="preserve">DB72-2-42-G, </v>
      </c>
    </row>
    <row r="87" spans="1:8" x14ac:dyDescent="0.4">
      <c r="A87" s="114" t="s">
        <v>1169</v>
      </c>
      <c r="B87" s="114" t="s">
        <v>1170</v>
      </c>
      <c r="C87" s="423">
        <v>999999</v>
      </c>
      <c r="D87" s="114">
        <v>999999</v>
      </c>
      <c r="E87" s="114" t="s">
        <v>1072</v>
      </c>
      <c r="H87" s="114" t="str">
        <f t="shared" si="1"/>
        <v xml:space="preserve">DB72-2-42-G-M, </v>
      </c>
    </row>
    <row r="88" spans="1:8" x14ac:dyDescent="0.4">
      <c r="A88" s="114" t="s">
        <v>1171</v>
      </c>
      <c r="B88" s="114" t="s">
        <v>1172</v>
      </c>
      <c r="C88" s="423">
        <v>999999</v>
      </c>
      <c r="D88" s="114">
        <v>999999</v>
      </c>
      <c r="E88" s="114" t="s">
        <v>1072</v>
      </c>
      <c r="H88" s="114" t="str">
        <f t="shared" si="1"/>
        <v xml:space="preserve">DB24-2-56-G, </v>
      </c>
    </row>
    <row r="89" spans="1:8" x14ac:dyDescent="0.4">
      <c r="A89" s="114" t="s">
        <v>1173</v>
      </c>
      <c r="B89" s="114" t="s">
        <v>1174</v>
      </c>
      <c r="C89" s="423">
        <v>999999</v>
      </c>
      <c r="D89" s="114">
        <v>999999</v>
      </c>
      <c r="E89" s="114" t="s">
        <v>1072</v>
      </c>
      <c r="H89" s="114" t="str">
        <f t="shared" si="1"/>
        <v xml:space="preserve">DB24-2-56-G-M, </v>
      </c>
    </row>
    <row r="90" spans="1:8" x14ac:dyDescent="0.4">
      <c r="A90" s="114" t="s">
        <v>1175</v>
      </c>
      <c r="B90" s="114" t="s">
        <v>1176</v>
      </c>
      <c r="C90" s="423">
        <v>999999</v>
      </c>
      <c r="D90" s="114">
        <v>999999</v>
      </c>
      <c r="E90" s="114" t="s">
        <v>1072</v>
      </c>
      <c r="H90" s="114" t="str">
        <f t="shared" si="1"/>
        <v xml:space="preserve">DB36-2-56-G, </v>
      </c>
    </row>
    <row r="91" spans="1:8" x14ac:dyDescent="0.4">
      <c r="A91" s="114" t="s">
        <v>1177</v>
      </c>
      <c r="B91" s="114" t="s">
        <v>1178</v>
      </c>
      <c r="C91" s="423">
        <v>999999</v>
      </c>
      <c r="D91" s="114">
        <v>999999</v>
      </c>
      <c r="E91" s="114" t="s">
        <v>1072</v>
      </c>
      <c r="H91" s="114" t="str">
        <f t="shared" si="1"/>
        <v xml:space="preserve">DB36-2-56-G-M, </v>
      </c>
    </row>
    <row r="92" spans="1:8" x14ac:dyDescent="0.4">
      <c r="A92" s="114" t="s">
        <v>1179</v>
      </c>
      <c r="B92" s="114" t="s">
        <v>1180</v>
      </c>
      <c r="C92" s="423">
        <v>999999</v>
      </c>
      <c r="D92" s="114">
        <v>999999</v>
      </c>
      <c r="E92" s="114" t="s">
        <v>1072</v>
      </c>
      <c r="H92" s="114" t="str">
        <f t="shared" si="1"/>
        <v xml:space="preserve">DB48-2-56-G, </v>
      </c>
    </row>
    <row r="93" spans="1:8" x14ac:dyDescent="0.4">
      <c r="A93" s="114" t="s">
        <v>1181</v>
      </c>
      <c r="B93" s="114" t="s">
        <v>1182</v>
      </c>
      <c r="C93" s="423">
        <v>999999</v>
      </c>
      <c r="D93" s="114">
        <v>999999</v>
      </c>
      <c r="E93" s="114" t="s">
        <v>1072</v>
      </c>
      <c r="H93" s="114" t="str">
        <f t="shared" si="1"/>
        <v xml:space="preserve">DB48-2-56-G-M, </v>
      </c>
    </row>
    <row r="94" spans="1:8" x14ac:dyDescent="0.4">
      <c r="A94" s="114" t="s">
        <v>1183</v>
      </c>
      <c r="B94" s="114" t="s">
        <v>1184</v>
      </c>
      <c r="C94" s="423">
        <v>999999</v>
      </c>
      <c r="D94" s="114">
        <v>999999</v>
      </c>
      <c r="E94" s="114" t="s">
        <v>1072</v>
      </c>
      <c r="H94" s="114" t="str">
        <f t="shared" si="1"/>
        <v xml:space="preserve">DB60-2-56-G, </v>
      </c>
    </row>
    <row r="95" spans="1:8" x14ac:dyDescent="0.4">
      <c r="A95" s="114" t="s">
        <v>1185</v>
      </c>
      <c r="B95" s="114" t="s">
        <v>1186</v>
      </c>
      <c r="C95" s="423">
        <v>999999</v>
      </c>
      <c r="D95" s="114">
        <v>999999</v>
      </c>
      <c r="E95" s="114" t="s">
        <v>1072</v>
      </c>
      <c r="H95" s="114" t="str">
        <f t="shared" si="1"/>
        <v xml:space="preserve">DB60-2-56-G-M, </v>
      </c>
    </row>
    <row r="96" spans="1:8" x14ac:dyDescent="0.4">
      <c r="A96" s="114" t="s">
        <v>1187</v>
      </c>
      <c r="B96" s="114" t="s">
        <v>1188</v>
      </c>
      <c r="C96" s="423">
        <v>999999</v>
      </c>
      <c r="D96" s="114">
        <v>999999</v>
      </c>
      <c r="E96" s="114" t="s">
        <v>1072</v>
      </c>
      <c r="H96" s="114" t="str">
        <f t="shared" si="1"/>
        <v xml:space="preserve">DB72-2-56-G, </v>
      </c>
    </row>
    <row r="97" spans="1:8" x14ac:dyDescent="0.4">
      <c r="A97" s="114" t="s">
        <v>1189</v>
      </c>
      <c r="B97" s="114" t="s">
        <v>1190</v>
      </c>
      <c r="C97" s="423">
        <v>999999</v>
      </c>
      <c r="D97" s="114">
        <v>999999</v>
      </c>
      <c r="E97" s="114" t="s">
        <v>1072</v>
      </c>
      <c r="H97" s="114" t="str">
        <f t="shared" si="1"/>
        <v xml:space="preserve">DB72-2-56-G-M, </v>
      </c>
    </row>
    <row r="98" spans="1:8" x14ac:dyDescent="0.4">
      <c r="A98" s="114" t="s">
        <v>1191</v>
      </c>
      <c r="B98" s="114" t="s">
        <v>1192</v>
      </c>
      <c r="C98" s="423">
        <v>999999</v>
      </c>
      <c r="D98" s="114">
        <v>999999</v>
      </c>
      <c r="E98" s="114" t="s">
        <v>1072</v>
      </c>
      <c r="H98" s="114" t="str">
        <f t="shared" si="1"/>
        <v xml:space="preserve">DB24-4-42-G, </v>
      </c>
    </row>
    <row r="99" spans="1:8" x14ac:dyDescent="0.4">
      <c r="A99" s="114" t="s">
        <v>1193</v>
      </c>
      <c r="B99" s="114" t="s">
        <v>1194</v>
      </c>
      <c r="C99" s="423">
        <v>999999</v>
      </c>
      <c r="D99" s="114">
        <v>999999</v>
      </c>
      <c r="E99" s="114" t="s">
        <v>1072</v>
      </c>
      <c r="H99" s="114" t="str">
        <f t="shared" si="1"/>
        <v xml:space="preserve">DB24-4-42-G-M, </v>
      </c>
    </row>
    <row r="100" spans="1:8" x14ac:dyDescent="0.4">
      <c r="A100" s="114" t="s">
        <v>1195</v>
      </c>
      <c r="B100" s="114" t="s">
        <v>1196</v>
      </c>
      <c r="C100" s="423">
        <v>999999</v>
      </c>
      <c r="D100" s="114">
        <v>999999</v>
      </c>
      <c r="E100" s="114" t="s">
        <v>1072</v>
      </c>
      <c r="H100" s="114" t="str">
        <f t="shared" si="1"/>
        <v xml:space="preserve">DB36-4-42-G, </v>
      </c>
    </row>
    <row r="101" spans="1:8" x14ac:dyDescent="0.4">
      <c r="A101" s="114" t="s">
        <v>1197</v>
      </c>
      <c r="B101" s="114" t="s">
        <v>1198</v>
      </c>
      <c r="C101" s="423">
        <v>999999</v>
      </c>
      <c r="D101" s="114">
        <v>999999</v>
      </c>
      <c r="E101" s="114" t="s">
        <v>1072</v>
      </c>
      <c r="H101" s="114" t="str">
        <f t="shared" si="1"/>
        <v xml:space="preserve">DB36-4-42-G-M, </v>
      </c>
    </row>
    <row r="102" spans="1:8" x14ac:dyDescent="0.4">
      <c r="A102" s="114" t="s">
        <v>1199</v>
      </c>
      <c r="B102" s="114" t="s">
        <v>1200</v>
      </c>
      <c r="C102" s="423">
        <v>999999</v>
      </c>
      <c r="D102" s="114">
        <v>999999</v>
      </c>
      <c r="E102" s="114" t="s">
        <v>1072</v>
      </c>
      <c r="H102" s="114" t="str">
        <f t="shared" si="1"/>
        <v xml:space="preserve">DB48-4-42-G, </v>
      </c>
    </row>
    <row r="103" spans="1:8" x14ac:dyDescent="0.4">
      <c r="A103" s="114" t="s">
        <v>1201</v>
      </c>
      <c r="B103" s="114" t="s">
        <v>1202</v>
      </c>
      <c r="C103" s="423">
        <v>999999</v>
      </c>
      <c r="D103" s="114">
        <v>999999</v>
      </c>
      <c r="E103" s="114" t="s">
        <v>1072</v>
      </c>
      <c r="H103" s="114" t="str">
        <f t="shared" si="1"/>
        <v xml:space="preserve">DB48-4-42-G-M, </v>
      </c>
    </row>
    <row r="104" spans="1:8" x14ac:dyDescent="0.4">
      <c r="A104" s="114" t="s">
        <v>1203</v>
      </c>
      <c r="B104" s="114" t="s">
        <v>1204</v>
      </c>
      <c r="C104" s="423">
        <v>999999</v>
      </c>
      <c r="D104" s="114">
        <v>999999</v>
      </c>
      <c r="E104" s="114" t="s">
        <v>1072</v>
      </c>
      <c r="H104" s="114" t="str">
        <f t="shared" si="1"/>
        <v xml:space="preserve">DB60-4-42-G, </v>
      </c>
    </row>
    <row r="105" spans="1:8" x14ac:dyDescent="0.4">
      <c r="A105" s="114" t="s">
        <v>1205</v>
      </c>
      <c r="B105" s="114" t="s">
        <v>1206</v>
      </c>
      <c r="C105" s="423">
        <v>999999</v>
      </c>
      <c r="D105" s="114">
        <v>999999</v>
      </c>
      <c r="E105" s="114" t="s">
        <v>1072</v>
      </c>
      <c r="H105" s="114" t="str">
        <f t="shared" si="1"/>
        <v xml:space="preserve">DB60-4-42-G-M, </v>
      </c>
    </row>
    <row r="106" spans="1:8" x14ac:dyDescent="0.4">
      <c r="A106" s="114" t="s">
        <v>1207</v>
      </c>
      <c r="B106" s="114" t="s">
        <v>1208</v>
      </c>
      <c r="C106" s="423">
        <v>999999</v>
      </c>
      <c r="D106" s="114">
        <v>999999</v>
      </c>
      <c r="E106" s="114" t="s">
        <v>1072</v>
      </c>
      <c r="H106" s="114" t="str">
        <f t="shared" si="1"/>
        <v xml:space="preserve">DB72-4-42-G, </v>
      </c>
    </row>
    <row r="107" spans="1:8" x14ac:dyDescent="0.4">
      <c r="A107" s="114" t="s">
        <v>1209</v>
      </c>
      <c r="B107" s="114" t="s">
        <v>1210</v>
      </c>
      <c r="C107" s="423">
        <v>999999</v>
      </c>
      <c r="D107" s="114">
        <v>999999</v>
      </c>
      <c r="E107" s="114" t="s">
        <v>1072</v>
      </c>
      <c r="H107" s="114" t="str">
        <f t="shared" si="1"/>
        <v xml:space="preserve">DB72-4-42-G-M, </v>
      </c>
    </row>
    <row r="108" spans="1:8" x14ac:dyDescent="0.4">
      <c r="A108" s="114" t="s">
        <v>1211</v>
      </c>
      <c r="B108" s="114" t="s">
        <v>1212</v>
      </c>
      <c r="C108" s="423">
        <v>999999</v>
      </c>
      <c r="D108" s="114">
        <v>999999</v>
      </c>
      <c r="E108" s="114" t="s">
        <v>1072</v>
      </c>
      <c r="H108" s="114" t="str">
        <f t="shared" si="1"/>
        <v xml:space="preserve">DB24-4-56-G, </v>
      </c>
    </row>
    <row r="109" spans="1:8" x14ac:dyDescent="0.4">
      <c r="A109" s="114" t="s">
        <v>1213</v>
      </c>
      <c r="B109" s="114" t="s">
        <v>1214</v>
      </c>
      <c r="C109" s="423">
        <v>999999</v>
      </c>
      <c r="D109" s="114">
        <v>999999</v>
      </c>
      <c r="E109" s="114" t="s">
        <v>1072</v>
      </c>
      <c r="H109" s="114" t="str">
        <f t="shared" si="1"/>
        <v xml:space="preserve">DB24-4-56-G-M, </v>
      </c>
    </row>
    <row r="110" spans="1:8" x14ac:dyDescent="0.4">
      <c r="A110" s="114" t="s">
        <v>1215</v>
      </c>
      <c r="B110" s="114" t="s">
        <v>1216</v>
      </c>
      <c r="C110" s="423">
        <v>999999</v>
      </c>
      <c r="D110" s="114">
        <v>999999</v>
      </c>
      <c r="E110" s="114" t="s">
        <v>1072</v>
      </c>
      <c r="H110" s="114" t="str">
        <f t="shared" si="1"/>
        <v xml:space="preserve">DB36-4-56-G, </v>
      </c>
    </row>
    <row r="111" spans="1:8" x14ac:dyDescent="0.4">
      <c r="A111" s="114" t="s">
        <v>1217</v>
      </c>
      <c r="B111" s="114" t="s">
        <v>1218</v>
      </c>
      <c r="C111" s="423">
        <v>999999</v>
      </c>
      <c r="D111" s="114">
        <v>999999</v>
      </c>
      <c r="E111" s="114" t="s">
        <v>1072</v>
      </c>
      <c r="H111" s="114" t="str">
        <f t="shared" si="1"/>
        <v xml:space="preserve">DB36-4-56-G-M, </v>
      </c>
    </row>
    <row r="112" spans="1:8" x14ac:dyDescent="0.4">
      <c r="A112" s="114" t="s">
        <v>1219</v>
      </c>
      <c r="B112" s="114" t="s">
        <v>1220</v>
      </c>
      <c r="C112" s="423">
        <v>999999</v>
      </c>
      <c r="D112" s="114">
        <v>999999</v>
      </c>
      <c r="E112" s="114" t="s">
        <v>1072</v>
      </c>
      <c r="H112" s="114" t="str">
        <f t="shared" si="1"/>
        <v xml:space="preserve">DB48-4-56-G, </v>
      </c>
    </row>
    <row r="113" spans="1:8" x14ac:dyDescent="0.4">
      <c r="A113" s="114" t="s">
        <v>1221</v>
      </c>
      <c r="B113" s="114" t="s">
        <v>1222</v>
      </c>
      <c r="C113" s="423">
        <v>999999</v>
      </c>
      <c r="D113" s="114">
        <v>999999</v>
      </c>
      <c r="E113" s="114" t="s">
        <v>1072</v>
      </c>
      <c r="H113" s="114" t="str">
        <f t="shared" si="1"/>
        <v xml:space="preserve">DB48-4-56-G-M, </v>
      </c>
    </row>
    <row r="114" spans="1:8" x14ac:dyDescent="0.4">
      <c r="A114" s="114" t="s">
        <v>1223</v>
      </c>
      <c r="B114" s="114" t="s">
        <v>1224</v>
      </c>
      <c r="C114" s="423">
        <v>999999</v>
      </c>
      <c r="D114" s="114">
        <v>999999</v>
      </c>
      <c r="E114" s="114" t="s">
        <v>1072</v>
      </c>
      <c r="H114" s="114" t="str">
        <f t="shared" si="1"/>
        <v xml:space="preserve">DB60-4-56-G, </v>
      </c>
    </row>
    <row r="115" spans="1:8" x14ac:dyDescent="0.4">
      <c r="A115" s="114" t="s">
        <v>1225</v>
      </c>
      <c r="B115" s="114" t="s">
        <v>1226</v>
      </c>
      <c r="C115" s="423">
        <v>999999</v>
      </c>
      <c r="D115" s="114">
        <v>999999</v>
      </c>
      <c r="E115" s="114" t="s">
        <v>1072</v>
      </c>
      <c r="H115" s="114" t="str">
        <f t="shared" si="1"/>
        <v xml:space="preserve">DB60-4-56-G-M, </v>
      </c>
    </row>
    <row r="116" spans="1:8" x14ac:dyDescent="0.4">
      <c r="A116" s="114" t="s">
        <v>1227</v>
      </c>
      <c r="B116" s="114" t="s">
        <v>1228</v>
      </c>
      <c r="C116" s="423">
        <v>999999</v>
      </c>
      <c r="D116" s="114">
        <v>999999</v>
      </c>
      <c r="E116" s="114" t="s">
        <v>1072</v>
      </c>
      <c r="H116" s="114" t="str">
        <f t="shared" si="1"/>
        <v xml:space="preserve">DB72-4-56-G, </v>
      </c>
    </row>
    <row r="117" spans="1:8" x14ac:dyDescent="0.4">
      <c r="A117" s="114" t="s">
        <v>1229</v>
      </c>
      <c r="B117" s="114" t="s">
        <v>1230</v>
      </c>
      <c r="C117" s="423">
        <v>999999</v>
      </c>
      <c r="D117" s="114">
        <v>999999</v>
      </c>
      <c r="E117" s="114" t="s">
        <v>1072</v>
      </c>
      <c r="H117" s="114" t="str">
        <f t="shared" si="1"/>
        <v xml:space="preserve">DB72-4-56-G-M, </v>
      </c>
    </row>
    <row r="118" spans="1:8" x14ac:dyDescent="0.4">
      <c r="A118" s="114" t="s">
        <v>1231</v>
      </c>
      <c r="B118" s="114" t="s">
        <v>1231</v>
      </c>
      <c r="C118" s="423">
        <v>62</v>
      </c>
      <c r="E118" s="114" t="s">
        <v>833</v>
      </c>
      <c r="H118" s="114" t="str">
        <f t="shared" si="1"/>
        <v xml:space="preserve">MS3100, </v>
      </c>
    </row>
    <row r="119" spans="1:8" x14ac:dyDescent="0.4">
      <c r="A119" s="114" t="s">
        <v>267</v>
      </c>
      <c r="B119" s="114" t="s">
        <v>267</v>
      </c>
      <c r="C119" s="423">
        <v>3.48</v>
      </c>
      <c r="D119" s="114">
        <v>0.1</v>
      </c>
      <c r="E119" s="114" t="s">
        <v>773</v>
      </c>
      <c r="H119" s="114" t="str">
        <f t="shared" si="1"/>
        <v xml:space="preserve">4mm Cable 3 core and Earth, </v>
      </c>
    </row>
    <row r="120" spans="1:8" x14ac:dyDescent="0.4">
      <c r="A120" s="114" t="s">
        <v>266</v>
      </c>
      <c r="B120" s="114" t="s">
        <v>266</v>
      </c>
      <c r="C120" s="423">
        <v>4.5599999999999996</v>
      </c>
      <c r="D120" s="114">
        <v>0.1</v>
      </c>
      <c r="E120" s="114" t="s">
        <v>773</v>
      </c>
      <c r="H120" s="114" t="str">
        <f t="shared" si="1"/>
        <v xml:space="preserve">6mm Cable 3 core and Earth, </v>
      </c>
    </row>
    <row r="121" spans="1:8" x14ac:dyDescent="0.4">
      <c r="A121" s="114" t="s">
        <v>360</v>
      </c>
      <c r="B121" s="114" t="s">
        <v>360</v>
      </c>
      <c r="C121" s="423">
        <v>2.4</v>
      </c>
      <c r="D121" s="114">
        <v>0.1</v>
      </c>
      <c r="E121" s="114" t="s">
        <v>773</v>
      </c>
      <c r="H121" s="114" t="str">
        <f t="shared" si="1"/>
        <v xml:space="preserve">Network cable, </v>
      </c>
    </row>
    <row r="122" spans="1:8" x14ac:dyDescent="0.4">
      <c r="A122" s="114" t="s">
        <v>350</v>
      </c>
      <c r="B122" s="114" t="s">
        <v>350</v>
      </c>
      <c r="D122" s="114">
        <v>1</v>
      </c>
      <c r="H122" s="114" t="str">
        <f t="shared" si="1"/>
        <v xml:space="preserve">Central Controller VRF , </v>
      </c>
    </row>
    <row r="123" spans="1:8" x14ac:dyDescent="0.4">
      <c r="A123" s="114" t="s">
        <v>278</v>
      </c>
      <c r="C123" s="423">
        <v>36</v>
      </c>
      <c r="H123" s="114" t="str">
        <f t="shared" si="1"/>
        <v xml:space="preserve">003 Keyed Padlocks, </v>
      </c>
    </row>
    <row r="124" spans="1:8" x14ac:dyDescent="0.4">
      <c r="A124" s="114" t="s">
        <v>1253</v>
      </c>
      <c r="C124" s="423">
        <v>60</v>
      </c>
      <c r="H124" s="114" t="str">
        <f t="shared" si="1"/>
        <v xml:space="preserve">Air Pressure Switch, </v>
      </c>
    </row>
    <row r="125" spans="1:8" x14ac:dyDescent="0.4">
      <c r="A125" s="114" t="s">
        <v>322</v>
      </c>
      <c r="H125" s="114" t="str">
        <f t="shared" si="1"/>
        <v xml:space="preserve">Interface for fire trade fan control, </v>
      </c>
    </row>
    <row r="126" spans="1:8" x14ac:dyDescent="0.4">
      <c r="A126" s="114" t="s">
        <v>1254</v>
      </c>
      <c r="C126" s="423">
        <v>5.8</v>
      </c>
      <c r="D126" s="114">
        <v>0.1</v>
      </c>
      <c r="H126" s="114" t="str">
        <f t="shared" si="1"/>
        <v xml:space="preserve">FRC3025+E, </v>
      </c>
    </row>
    <row r="127" spans="1:8" x14ac:dyDescent="0.4">
      <c r="A127" s="114" t="s">
        <v>1290</v>
      </c>
      <c r="B127" s="297" t="s">
        <v>751</v>
      </c>
      <c r="C127" s="300">
        <v>47</v>
      </c>
      <c r="D127" s="114">
        <v>1</v>
      </c>
      <c r="G127" s="297" t="s">
        <v>752</v>
      </c>
      <c r="H127" s="114" t="str">
        <f t="shared" si="1"/>
        <v xml:space="preserve">Transformer (50A), </v>
      </c>
    </row>
    <row r="128" spans="1:8" x14ac:dyDescent="0.4">
      <c r="A128" s="114" t="s">
        <v>1291</v>
      </c>
      <c r="C128" s="423">
        <v>420</v>
      </c>
      <c r="D128" s="114">
        <v>1</v>
      </c>
      <c r="H128" s="114" t="str">
        <f t="shared" si="1"/>
        <v xml:space="preserve">Switchplate (4 Switches), </v>
      </c>
    </row>
    <row r="129" spans="1:8" x14ac:dyDescent="0.4">
      <c r="A129" s="114" t="s">
        <v>1023</v>
      </c>
      <c r="B129" s="297" t="s">
        <v>764</v>
      </c>
      <c r="C129" s="423">
        <v>11.46</v>
      </c>
      <c r="G129" s="297" t="s">
        <v>766</v>
      </c>
      <c r="H129" s="114" t="str">
        <f t="shared" si="1"/>
        <v xml:space="preserve">Push Button, </v>
      </c>
    </row>
    <row r="130" spans="1:8" x14ac:dyDescent="0.4">
      <c r="A130" s="114" t="s">
        <v>1292</v>
      </c>
      <c r="C130" s="423">
        <v>36</v>
      </c>
      <c r="D130" s="114">
        <v>1</v>
      </c>
      <c r="H130" s="114" t="str">
        <f t="shared" si="1"/>
        <v xml:space="preserve">Speed Control Dial, </v>
      </c>
    </row>
    <row r="131" spans="1:8" x14ac:dyDescent="0.4">
      <c r="A131" s="114" t="s">
        <v>476</v>
      </c>
      <c r="C131" s="423">
        <v>324</v>
      </c>
      <c r="D131" s="114">
        <v>0</v>
      </c>
      <c r="H131" s="114" t="str">
        <f t="shared" ref="H131:H139" si="2">_xlfn.CONCAT(A131, ", ")</f>
        <v xml:space="preserve">SSR (3 phase), </v>
      </c>
    </row>
    <row r="132" spans="1:8" x14ac:dyDescent="0.4">
      <c r="A132" s="114" t="s">
        <v>477</v>
      </c>
      <c r="C132" s="423">
        <v>180</v>
      </c>
      <c r="D132" s="114">
        <v>0</v>
      </c>
      <c r="H132" s="114" t="str">
        <f t="shared" si="2"/>
        <v xml:space="preserve">HPT, </v>
      </c>
    </row>
    <row r="133" spans="1:8" x14ac:dyDescent="0.4">
      <c r="A133" s="114" t="s">
        <v>1306</v>
      </c>
      <c r="B133" s="297" t="s">
        <v>785</v>
      </c>
      <c r="C133" s="301">
        <v>541.20000000000005</v>
      </c>
      <c r="D133" s="114">
        <v>2</v>
      </c>
      <c r="H133" s="114" t="str">
        <f t="shared" si="2"/>
        <v xml:space="preserve">VSD Small (2k2), </v>
      </c>
    </row>
    <row r="134" spans="1:8" x14ac:dyDescent="0.4">
      <c r="A134" s="114" t="s">
        <v>1307</v>
      </c>
      <c r="B134" s="297" t="s">
        <v>789</v>
      </c>
      <c r="C134" s="301">
        <v>721.6</v>
      </c>
      <c r="D134" s="114">
        <v>2</v>
      </c>
      <c r="H134" s="114" t="str">
        <f t="shared" si="2"/>
        <v xml:space="preserve">VSD Medium (5k5), </v>
      </c>
    </row>
    <row r="135" spans="1:8" x14ac:dyDescent="0.4">
      <c r="A135" s="114" t="s">
        <v>1308</v>
      </c>
      <c r="B135" s="297" t="s">
        <v>788</v>
      </c>
      <c r="C135" s="301">
        <v>1021.9</v>
      </c>
      <c r="D135" s="114">
        <v>2</v>
      </c>
      <c r="H135" s="114" t="str">
        <f t="shared" si="2"/>
        <v xml:space="preserve">VSD Large (11k), </v>
      </c>
    </row>
    <row r="136" spans="1:8" x14ac:dyDescent="0.4">
      <c r="A136" s="114" t="s">
        <v>325</v>
      </c>
      <c r="C136" s="423">
        <v>240</v>
      </c>
      <c r="D136" s="114">
        <v>1</v>
      </c>
      <c r="H136" s="114" t="str">
        <f t="shared" si="2"/>
        <v xml:space="preserve">Spring return damper actuator, </v>
      </c>
    </row>
    <row r="137" spans="1:8" x14ac:dyDescent="0.4">
      <c r="A137" s="114" t="s">
        <v>989</v>
      </c>
      <c r="B137" s="423" t="str">
        <f>B13</f>
        <v>PL22G24LED + PL22R24LED</v>
      </c>
      <c r="C137" s="423">
        <f>C13</f>
        <v>16</v>
      </c>
      <c r="D137" s="423">
        <f>D13</f>
        <v>0</v>
      </c>
      <c r="E137" s="423" t="str">
        <f t="shared" ref="E137:G137" si="3">E13</f>
        <v>Dore</v>
      </c>
      <c r="F137" s="423">
        <f t="shared" si="3"/>
        <v>0</v>
      </c>
      <c r="G137" s="423" t="str">
        <f t="shared" si="3"/>
        <v>B8</v>
      </c>
      <c r="H137" s="114" t="str">
        <f t="shared" si="2"/>
        <v xml:space="preserve">Run Status Light, </v>
      </c>
    </row>
    <row r="138" spans="1:8" x14ac:dyDescent="0.4">
      <c r="A138" s="114" t="s">
        <v>1389</v>
      </c>
      <c r="C138" s="423">
        <f>37.8</f>
        <v>37.799999999999997</v>
      </c>
      <c r="H138" s="114" t="str">
        <f t="shared" si="2"/>
        <v xml:space="preserve">Contactor, </v>
      </c>
    </row>
    <row r="139" spans="1:8" x14ac:dyDescent="0.4">
      <c r="A139" s="114" t="s">
        <v>1392</v>
      </c>
      <c r="C139" s="423">
        <v>53.25</v>
      </c>
      <c r="H139" s="114" t="str">
        <f t="shared" si="2"/>
        <v xml:space="preserve">Overloads, </v>
      </c>
    </row>
  </sheetData>
  <conditionalFormatting sqref="A10">
    <cfRule type="expression" dxfId="150"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BFA608-F1F8-42E2-8CC4-075DE806A37A}">
          <x14:formula1>
            <xm:f>'D:\Github\IGOC-Workspace\Mech Elec Template\[V2 - XXX -  Mech Elec - Rev A.xlsx]Sheet1'!#REF!</xm:f>
          </x14:formula1>
          <xm:sqref>A22:A23</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86C6D-9A59-4CA2-B0E5-F28EA8F7831F}">
  <dimension ref="A1:B29"/>
  <sheetViews>
    <sheetView tabSelected="1" workbookViewId="0">
      <selection activeCell="A6" sqref="A6"/>
    </sheetView>
  </sheetViews>
  <sheetFormatPr defaultRowHeight="14.6" x14ac:dyDescent="0.4"/>
  <cols>
    <col min="1" max="1" width="31.53515625" style="114" customWidth="1"/>
    <col min="2" max="16384" width="9.23046875" style="114"/>
  </cols>
  <sheetData>
    <row r="1" spans="1:2" x14ac:dyDescent="0.4">
      <c r="A1" s="318" t="s">
        <v>724</v>
      </c>
      <c r="B1" s="543" t="s">
        <v>843</v>
      </c>
    </row>
    <row r="2" spans="1:2" x14ac:dyDescent="0.4">
      <c r="A2" s="114" t="s">
        <v>1330</v>
      </c>
      <c r="B2" s="543">
        <f>SUMIF(Other_Takeoff!B:B,A2,Other_Takeoff!U:U)+SUMIF(Other_Takeoff!C:C,A2,Other_Takeoff!U:U)</f>
        <v>1</v>
      </c>
    </row>
    <row r="3" spans="1:2" x14ac:dyDescent="0.4">
      <c r="A3" s="114" t="s">
        <v>1331</v>
      </c>
      <c r="B3" s="543">
        <f>SUMIF(Other_Takeoff!B:B,A3,Other_Takeoff!U:U)+SUMIF(Other_Takeoff!C:C,A3,Other_Takeoff!U:U)</f>
        <v>1</v>
      </c>
    </row>
    <row r="4" spans="1:2" x14ac:dyDescent="0.4">
      <c r="A4" s="114" t="s">
        <v>1438</v>
      </c>
      <c r="B4" s="543">
        <f>SUMIF(Other_Takeoff!B:B,A4,Other_Takeoff!U:U)+SUMIF(Other_Takeoff!C:C,A4,Other_Takeoff!U:U)</f>
        <v>1</v>
      </c>
    </row>
    <row r="5" spans="1:2" x14ac:dyDescent="0.4">
      <c r="A5" s="114" t="s">
        <v>1439</v>
      </c>
      <c r="B5" s="543">
        <f>SUMIF(Other_Takeoff!B:B,A5,Other_Takeoff!U:U)+SUMIF(Other_Takeoff!C:C,A5,Other_Takeoff!U:U)</f>
        <v>1</v>
      </c>
    </row>
    <row r="6" spans="1:2" x14ac:dyDescent="0.4">
      <c r="A6" s="318"/>
      <c r="B6" s="543">
        <f>SUMIF(Other_Takeoff!B:B,A6,Other_Takeoff!U:U)+SUMIF(Other_Takeoff!C:C,A6,Other_Takeoff!U:U)</f>
        <v>0</v>
      </c>
    </row>
    <row r="7" spans="1:2" x14ac:dyDescent="0.4">
      <c r="A7" s="318"/>
      <c r="B7" s="543">
        <f>SUMIF(Other_Takeoff!B:B,A7,Other_Takeoff!U:U)+SUMIF(Other_Takeoff!C:C,A7,Other_Takeoff!U:U)</f>
        <v>0</v>
      </c>
    </row>
    <row r="8" spans="1:2" x14ac:dyDescent="0.4">
      <c r="A8" s="318"/>
      <c r="B8" s="543">
        <f>SUMIF(Other_Takeoff!B:B,A8,Other_Takeoff!U:U)+SUMIF(Other_Takeoff!C:C,A8,Other_Takeoff!U:U)</f>
        <v>0</v>
      </c>
    </row>
    <row r="9" spans="1:2" x14ac:dyDescent="0.4">
      <c r="A9" s="318"/>
      <c r="B9" s="543">
        <f>SUMIF(Other_Takeoff!B:B,A9,Other_Takeoff!U:U)+SUMIF(Other_Takeoff!C:C,A9,Other_Takeoff!U:U)</f>
        <v>0</v>
      </c>
    </row>
    <row r="10" spans="1:2" x14ac:dyDescent="0.4">
      <c r="A10" s="318"/>
      <c r="B10" s="543">
        <f>SUMIF(Other_Takeoff!B:B,A10,Other_Takeoff!U:U)+SUMIF(Other_Takeoff!C:C,A10,Other_Takeoff!U:U)</f>
        <v>0</v>
      </c>
    </row>
    <row r="11" spans="1:2" x14ac:dyDescent="0.4">
      <c r="B11" s="543">
        <f>SUMIF(Other_Takeoff!B:B,A11,Other_Takeoff!U:U)+SUMIF(Other_Takeoff!C:C,A11,Other_Takeoff!U:U)</f>
        <v>0</v>
      </c>
    </row>
    <row r="12" spans="1:2" x14ac:dyDescent="0.4">
      <c r="B12" s="543">
        <f>SUMIF(Other_Takeoff!B:B,A12,Other_Takeoff!U:U)+SUMIF(Other_Takeoff!C:C,A12,Other_Takeoff!U:U)</f>
        <v>0</v>
      </c>
    </row>
    <row r="13" spans="1:2" x14ac:dyDescent="0.4">
      <c r="B13" s="543">
        <f>SUMIF(Other_Takeoff!B:B,A13,Other_Takeoff!U:U)+SUMIF(Other_Takeoff!C:C,A13,Other_Takeoff!U:U)</f>
        <v>0</v>
      </c>
    </row>
    <row r="14" spans="1:2" x14ac:dyDescent="0.4">
      <c r="B14" s="543">
        <f>SUMIF(Other_Takeoff!B:B,A14,Other_Takeoff!U:U)+SUMIF(Other_Takeoff!C:C,A14,Other_Takeoff!U:U)</f>
        <v>0</v>
      </c>
    </row>
    <row r="15" spans="1:2" x14ac:dyDescent="0.4">
      <c r="B15" s="543">
        <f>SUMIF(Other_Takeoff!B:B,A15,Other_Takeoff!U:U)+SUMIF(Other_Takeoff!C:C,A15,Other_Takeoff!U:U)</f>
        <v>0</v>
      </c>
    </row>
    <row r="16" spans="1:2" x14ac:dyDescent="0.4">
      <c r="B16" s="543">
        <f>SUMIF(Other_Takeoff!B:B,A16,Other_Takeoff!U:U)+SUMIF(Other_Takeoff!C:C,A16,Other_Takeoff!U:U)</f>
        <v>0</v>
      </c>
    </row>
    <row r="17" spans="1:2" x14ac:dyDescent="0.4">
      <c r="A17" s="318" t="s">
        <v>1401</v>
      </c>
      <c r="B17" s="543">
        <f>SUMIF(Other_Takeoff!B:B,A17,Other_Takeoff!U:U)+SUMIF(Other_Takeoff!C:C,A17,Other_Takeoff!U:U)</f>
        <v>0</v>
      </c>
    </row>
    <row r="18" spans="1:2" x14ac:dyDescent="0.4">
      <c r="A18" s="318" t="s">
        <v>678</v>
      </c>
      <c r="B18" s="543">
        <f>SUMIF(Other_Takeoff!B:B,A18,Other_Takeoff!U:U)+SUMIF(Other_Takeoff!C:C,A18,Other_Takeoff!U:U)</f>
        <v>0</v>
      </c>
    </row>
    <row r="19" spans="1:2" x14ac:dyDescent="0.4">
      <c r="A19" s="318" t="s">
        <v>1402</v>
      </c>
      <c r="B19" s="543">
        <f>SUMIF(Other_Takeoff!B:B,A19,Other_Takeoff!U:U)+SUMIF(Other_Takeoff!C:C,A19,Other_Takeoff!U:U)</f>
        <v>0</v>
      </c>
    </row>
    <row r="20" spans="1:2" x14ac:dyDescent="0.4">
      <c r="B20" s="543"/>
    </row>
    <row r="21" spans="1:2" x14ac:dyDescent="0.4">
      <c r="A21" s="318"/>
      <c r="B21" s="543"/>
    </row>
    <row r="22" spans="1:2" x14ac:dyDescent="0.4">
      <c r="A22" s="446" t="s">
        <v>1018</v>
      </c>
      <c r="B22" s="543"/>
    </row>
    <row r="23" spans="1:2" x14ac:dyDescent="0.4">
      <c r="A23" s="318" t="s">
        <v>1403</v>
      </c>
      <c r="B23" s="543">
        <f>SUMIF(Other_Takeoff!B:B,A23,Other_Takeoff!U:U)+SUMIF(Other_Takeoff!C:C,A23,Other_Takeoff!U:U)</f>
        <v>10</v>
      </c>
    </row>
    <row r="24" spans="1:2" x14ac:dyDescent="0.4">
      <c r="A24" s="318" t="s">
        <v>1404</v>
      </c>
      <c r="B24" s="543">
        <f>SUMIF(Other_Takeoff!B:B,A24,Other_Takeoff!U:U)+SUMIF(Other_Takeoff!C:C,A24,Other_Takeoff!U:U)</f>
        <v>0</v>
      </c>
    </row>
    <row r="25" spans="1:2" x14ac:dyDescent="0.4">
      <c r="A25" s="318" t="s">
        <v>1405</v>
      </c>
      <c r="B25" s="543">
        <f>SUMIF(Other_Takeoff!B:B,A25,Other_Takeoff!U:U)+SUMIF(Other_Takeoff!C:C,A25,Other_Takeoff!U:U)</f>
        <v>10</v>
      </c>
    </row>
    <row r="26" spans="1:2" x14ac:dyDescent="0.4">
      <c r="A26" s="318" t="s">
        <v>1406</v>
      </c>
      <c r="B26" s="543">
        <f>SUMIF(Other_Takeoff!B:B,A26,Other_Takeoff!U:U)+SUMIF(Other_Takeoff!C:C,A26,Other_Takeoff!U:U)</f>
        <v>0</v>
      </c>
    </row>
    <row r="27" spans="1:2" x14ac:dyDescent="0.4">
      <c r="A27" s="318" t="s">
        <v>1407</v>
      </c>
      <c r="B27" s="543">
        <f>SUMIF(Other_Takeoff!B:B,A27,Other_Takeoff!U:U)+SUMIF(Other_Takeoff!C:C,A27,Other_Takeoff!U:U)</f>
        <v>0</v>
      </c>
    </row>
    <row r="28" spans="1:2" x14ac:dyDescent="0.4">
      <c r="A28" s="318" t="s">
        <v>1408</v>
      </c>
      <c r="B28" s="543">
        <f>SUMIF(Other_Takeoff!B:B,A28,Other_Takeoff!U:U)+SUMIF(Other_Takeoff!C:C,A28,Other_Takeoff!U:U)</f>
        <v>0</v>
      </c>
    </row>
    <row r="29" spans="1:2" x14ac:dyDescent="0.4">
      <c r="A29" s="318" t="s">
        <v>1409</v>
      </c>
      <c r="B29" s="543">
        <f>SUMIF(Other_Takeoff!B:B,A29,Other_Takeoff!U:U)+SUMIF(Other_Takeoff!C:C,A29,Other_Takeoff!U:U)</f>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B6AF0-1857-421D-B0F7-774D1B0D9953}">
  <dimension ref="A1:F181"/>
  <sheetViews>
    <sheetView topLeftCell="A152" workbookViewId="0">
      <selection activeCell="D184" sqref="D184"/>
    </sheetView>
  </sheetViews>
  <sheetFormatPr defaultRowHeight="14.6" x14ac:dyDescent="0.4"/>
  <cols>
    <col min="1" max="1" width="37.4609375" style="114" customWidth="1"/>
    <col min="2" max="2" width="28.921875" style="114" bestFit="1" customWidth="1"/>
    <col min="3" max="5" width="9.61328125" style="114" customWidth="1"/>
    <col min="6" max="6" width="7.765625" style="114" customWidth="1"/>
    <col min="7" max="16384" width="9.23046875" style="114"/>
  </cols>
  <sheetData>
    <row r="1" spans="1:6" s="546" customFormat="1" ht="19.75" thickBot="1" x14ac:dyDescent="0.55000000000000004">
      <c r="A1" s="546" t="s">
        <v>1423</v>
      </c>
      <c r="B1" s="546" t="s">
        <v>1422</v>
      </c>
      <c r="C1" s="546" t="s">
        <v>843</v>
      </c>
      <c r="D1" s="546" t="s">
        <v>996</v>
      </c>
      <c r="E1" s="546" t="s">
        <v>995</v>
      </c>
      <c r="F1" s="546" t="s">
        <v>1424</v>
      </c>
    </row>
    <row r="2" spans="1:6" ht="15" thickTop="1" x14ac:dyDescent="0.4">
      <c r="A2" s="114" t="s">
        <v>982</v>
      </c>
      <c r="B2" s="114" t="s">
        <v>982</v>
      </c>
      <c r="C2" s="114" t="s">
        <v>639</v>
      </c>
      <c r="D2" s="114">
        <f>SUM(D3)</f>
        <v>0</v>
      </c>
      <c r="E2" s="114">
        <f>SUM(E3)</f>
        <v>0</v>
      </c>
      <c r="F2" s="114">
        <f>IFERROR(IF(A2=B2,0,VLOOKUP(A2,Other_Summary!A:E,2,FALSE))*C2,0)</f>
        <v>0</v>
      </c>
    </row>
    <row r="3" spans="1:6" x14ac:dyDescent="0.4">
      <c r="A3" s="114" t="s">
        <v>982</v>
      </c>
      <c r="B3" s="114" t="s">
        <v>268</v>
      </c>
      <c r="D3" s="114">
        <f>VLOOKUP($B3,Parts!$A:$G,IF(D$1="t",4,3),FALSE)*$C3</f>
        <v>0</v>
      </c>
      <c r="E3" s="114">
        <f>VLOOKUP($B3,Parts!$A:$G,IF(E$1="t",4,3),FALSE)*$C3</f>
        <v>0</v>
      </c>
      <c r="F3" s="114">
        <f>IFERROR(IF(A3=B3,0,VLOOKUP(A3,Other_Summary!A:E,2,FALSE))*C3,0)</f>
        <v>0</v>
      </c>
    </row>
    <row r="4" spans="1:6" x14ac:dyDescent="0.4">
      <c r="A4" s="114" t="s">
        <v>1403</v>
      </c>
      <c r="B4" s="114" t="s">
        <v>1403</v>
      </c>
      <c r="C4" s="114" t="s">
        <v>639</v>
      </c>
      <c r="D4" s="114">
        <f>SUM(D5)</f>
        <v>0.1</v>
      </c>
      <c r="E4" s="114">
        <f>SUM(E5)</f>
        <v>0.85</v>
      </c>
      <c r="F4" s="114">
        <f>IFERROR(IF(A4=B4,0,VLOOKUP(A4,Other_Summary!A:E,2,FALSE))*C4,0)</f>
        <v>0</v>
      </c>
    </row>
    <row r="5" spans="1:6" x14ac:dyDescent="0.4">
      <c r="A5" s="114" t="s">
        <v>1403</v>
      </c>
      <c r="B5" s="114" t="s">
        <v>268</v>
      </c>
      <c r="C5" s="114">
        <v>1</v>
      </c>
      <c r="D5" s="114">
        <f>VLOOKUP($B5,Parts!$A:$G,IF(D$1="t",4,3),FALSE)*$C5</f>
        <v>0.1</v>
      </c>
      <c r="E5" s="114">
        <f>VLOOKUP($B5,Parts!$A:$G,IF(E$1="t",4,3),FALSE)*$C5</f>
        <v>0.85</v>
      </c>
      <c r="F5" s="114">
        <f>IFERROR(IF(A5=B5,0,VLOOKUP(A5,Other_Summary!A:E,2,FALSE))*C5,0)</f>
        <v>10</v>
      </c>
    </row>
    <row r="6" spans="1:6" x14ac:dyDescent="0.4">
      <c r="A6" s="114" t="s">
        <v>1406</v>
      </c>
      <c r="B6" s="114" t="s">
        <v>1406</v>
      </c>
      <c r="C6" s="114" t="s">
        <v>639</v>
      </c>
      <c r="D6" s="114">
        <f>SUM(D7)</f>
        <v>0.1</v>
      </c>
      <c r="E6" s="114">
        <f>SUM(E7)</f>
        <v>3.48</v>
      </c>
      <c r="F6" s="114">
        <f>IFERROR(IF(A6=B6,0,VLOOKUP(A6,Other_Summary!A:E,2,FALSE))*C6,0)</f>
        <v>0</v>
      </c>
    </row>
    <row r="7" spans="1:6" x14ac:dyDescent="0.4">
      <c r="A7" s="114" t="s">
        <v>1406</v>
      </c>
      <c r="B7" s="114" t="s">
        <v>267</v>
      </c>
      <c r="C7" s="114">
        <v>1</v>
      </c>
      <c r="D7" s="114">
        <f>VLOOKUP($B7,Parts!$A:$G,IF(D$1="t",4,3),FALSE)*$C7</f>
        <v>0.1</v>
      </c>
      <c r="E7" s="114">
        <f>VLOOKUP($B7,Parts!$A:$G,IF(E$1="t",4,3),FALSE)*$C7</f>
        <v>3.48</v>
      </c>
      <c r="F7" s="114">
        <f>IFERROR(IF(A7=B7,0,VLOOKUP(A7,Other_Summary!A:E,2,FALSE))*C7,0)</f>
        <v>0</v>
      </c>
    </row>
    <row r="8" spans="1:6" x14ac:dyDescent="0.4">
      <c r="A8" s="114" t="s">
        <v>1407</v>
      </c>
      <c r="B8" s="114" t="s">
        <v>1407</v>
      </c>
      <c r="C8" s="114" t="s">
        <v>639</v>
      </c>
      <c r="D8" s="114">
        <f>SUM(D9)</f>
        <v>0.1</v>
      </c>
      <c r="E8" s="114">
        <f>SUM(E9)</f>
        <v>4.5599999999999996</v>
      </c>
      <c r="F8" s="114">
        <f>IFERROR(IF(A8=B8,0,VLOOKUP(A8,Other_Summary!A:E,2,FALSE))*C8,0)</f>
        <v>0</v>
      </c>
    </row>
    <row r="9" spans="1:6" x14ac:dyDescent="0.4">
      <c r="A9" s="114" t="s">
        <v>1407</v>
      </c>
      <c r="B9" s="114" t="s">
        <v>266</v>
      </c>
      <c r="C9" s="114">
        <v>1</v>
      </c>
      <c r="D9" s="114">
        <f>VLOOKUP($B9,Parts!$A:$G,IF(D$1="t",4,3),FALSE)*$C9</f>
        <v>0.1</v>
      </c>
      <c r="E9" s="114">
        <f>VLOOKUP($B9,Parts!$A:$G,IF(E$1="t",4,3),FALSE)*$C9</f>
        <v>4.5599999999999996</v>
      </c>
      <c r="F9" s="114">
        <f>IFERROR(IF(A9=B9,0,VLOOKUP(A9,Other_Summary!A:E,2,FALSE))*C9,0)</f>
        <v>0</v>
      </c>
    </row>
    <row r="10" spans="1:6" x14ac:dyDescent="0.4">
      <c r="A10" s="114" t="s">
        <v>1405</v>
      </c>
      <c r="B10" s="114" t="s">
        <v>1405</v>
      </c>
      <c r="C10" s="114" t="s">
        <v>639</v>
      </c>
      <c r="D10" s="114">
        <f>SUM(D11)</f>
        <v>0.1</v>
      </c>
      <c r="E10" s="114">
        <f>SUM(E11)</f>
        <v>1.056</v>
      </c>
      <c r="F10" s="114">
        <f>IFERROR(IF(A10=B10,0,VLOOKUP(A10,Other_Summary!A:E,2,FALSE))*C10,0)</f>
        <v>0</v>
      </c>
    </row>
    <row r="11" spans="1:6" x14ac:dyDescent="0.4">
      <c r="A11" s="114" t="s">
        <v>1405</v>
      </c>
      <c r="B11" s="114" t="s">
        <v>269</v>
      </c>
      <c r="C11" s="114">
        <v>1</v>
      </c>
      <c r="D11" s="114">
        <f>VLOOKUP($B11,Parts!$A:$G,IF(D$1="t",4,3),FALSE)*$C11</f>
        <v>0.1</v>
      </c>
      <c r="E11" s="114">
        <f>VLOOKUP($B11,Parts!$A:$G,IF(E$1="t",4,3),FALSE)*$C11</f>
        <v>1.056</v>
      </c>
      <c r="F11" s="114">
        <f>IFERROR(IF(A11=B11,0,VLOOKUP(A11,Other_Summary!A:E,2,FALSE))*C11,0)</f>
        <v>10</v>
      </c>
    </row>
    <row r="12" spans="1:6" x14ac:dyDescent="0.4">
      <c r="A12" s="114" t="s">
        <v>1409</v>
      </c>
      <c r="B12" s="114" t="s">
        <v>1409</v>
      </c>
      <c r="C12" s="114" t="s">
        <v>639</v>
      </c>
      <c r="D12" s="114">
        <f>SUM(D13)</f>
        <v>0.1</v>
      </c>
      <c r="E12" s="114">
        <f>SUM(E13)</f>
        <v>5.8</v>
      </c>
      <c r="F12" s="114">
        <f>IFERROR(IF(A12=B12,0,VLOOKUP(A12,Other_Summary!A:E,2,FALSE))*C12,0)</f>
        <v>0</v>
      </c>
    </row>
    <row r="13" spans="1:6" x14ac:dyDescent="0.4">
      <c r="A13" s="114" t="s">
        <v>1409</v>
      </c>
      <c r="B13" s="114" t="s">
        <v>1254</v>
      </c>
      <c r="C13" s="114">
        <v>1</v>
      </c>
      <c r="D13" s="114">
        <f>VLOOKUP($B13,Parts!$A:$G,IF(D$1="t",4,3),FALSE)*$C13</f>
        <v>0.1</v>
      </c>
      <c r="E13" s="114">
        <f>VLOOKUP($B13,Parts!$A:$G,IF(E$1="t",4,3),FALSE)*$C13</f>
        <v>5.8</v>
      </c>
      <c r="F13" s="114">
        <f>IFERROR(IF(A13=B13,0,VLOOKUP(A13,Other_Summary!A:E,2,FALSE))*C13,0)</f>
        <v>0</v>
      </c>
    </row>
    <row r="14" spans="1:6" x14ac:dyDescent="0.4">
      <c r="A14" s="114" t="s">
        <v>1408</v>
      </c>
      <c r="B14" s="114" t="s">
        <v>1408</v>
      </c>
      <c r="C14" s="114" t="s">
        <v>639</v>
      </c>
      <c r="D14" s="114">
        <f>SUM(D15)</f>
        <v>0.1</v>
      </c>
      <c r="E14" s="114">
        <f>SUM(E15)</f>
        <v>2.4</v>
      </c>
      <c r="F14" s="114">
        <f>IFERROR(IF(A14=B14,0,VLOOKUP(A14,Other_Summary!A:E,2,FALSE))*C14,0)</f>
        <v>0</v>
      </c>
    </row>
    <row r="15" spans="1:6" x14ac:dyDescent="0.4">
      <c r="A15" s="114" t="s">
        <v>1408</v>
      </c>
      <c r="B15" s="114" t="s">
        <v>360</v>
      </c>
      <c r="C15" s="114">
        <v>1</v>
      </c>
      <c r="D15" s="114">
        <f>VLOOKUP($B15,Parts!$A:$G,IF(D$1="t",4,3),FALSE)*$C15</f>
        <v>0.1</v>
      </c>
      <c r="E15" s="114">
        <f>VLOOKUP($B15,Parts!$A:$G,IF(E$1="t",4,3),FALSE)*$C15</f>
        <v>2.4</v>
      </c>
      <c r="F15" s="114">
        <f>IFERROR(IF(A15=B15,0,VLOOKUP(A15,Other_Summary!A:E,2,FALSE))*C15,0)</f>
        <v>0</v>
      </c>
    </row>
    <row r="16" spans="1:6" x14ac:dyDescent="0.4">
      <c r="A16" s="114" t="s">
        <v>1404</v>
      </c>
      <c r="B16" s="114" t="s">
        <v>1404</v>
      </c>
      <c r="C16" s="114" t="s">
        <v>639</v>
      </c>
      <c r="D16" s="114">
        <f>SUM(D17)</f>
        <v>0.1</v>
      </c>
      <c r="E16" s="114">
        <f>SUM(E17)</f>
        <v>0.28000000000000003</v>
      </c>
      <c r="F16" s="114">
        <f>IFERROR(IF(A16=B16,0,VLOOKUP(A16,Other_Summary!A:E,2,FALSE))*C16,0)</f>
        <v>0</v>
      </c>
    </row>
    <row r="17" spans="1:6" x14ac:dyDescent="0.4">
      <c r="A17" s="114" t="s">
        <v>1404</v>
      </c>
      <c r="B17" s="114" t="s">
        <v>418</v>
      </c>
      <c r="C17" s="114">
        <v>1</v>
      </c>
      <c r="D17" s="114">
        <f>VLOOKUP($B17,Parts!$A:$G,IF(D$1="t",4,3),FALSE)*$C17</f>
        <v>0.1</v>
      </c>
      <c r="E17" s="114">
        <f>VLOOKUP($B17,Parts!$A:$G,IF(E$1="t",4,3),FALSE)*$C17</f>
        <v>0.28000000000000003</v>
      </c>
      <c r="F17" s="114">
        <f>IFERROR(IF(A17=B17,0,VLOOKUP(A17,Other_Summary!A:E,2,FALSE))*C17,0)</f>
        <v>0</v>
      </c>
    </row>
    <row r="18" spans="1:6" x14ac:dyDescent="0.4">
      <c r="A18" s="114" t="s">
        <v>983</v>
      </c>
      <c r="B18" s="114" t="s">
        <v>983</v>
      </c>
      <c r="C18" s="114" t="s">
        <v>639</v>
      </c>
      <c r="D18" s="114">
        <f>SUM(D19:D20)</f>
        <v>0</v>
      </c>
      <c r="E18" s="114">
        <f>SUM(E19:E20)</f>
        <v>37.799999999999997</v>
      </c>
      <c r="F18" s="114">
        <f>IFERROR(IF(A18=B18,0,VLOOKUP(A18,Other_Summary!A:E,2,FALSE))*C18,0)</f>
        <v>0</v>
      </c>
    </row>
    <row r="19" spans="1:6" x14ac:dyDescent="0.4">
      <c r="A19" s="114" t="s">
        <v>983</v>
      </c>
      <c r="B19" s="114" t="s">
        <v>268</v>
      </c>
      <c r="D19" s="114">
        <f>VLOOKUP($B19,Parts!$A:$G,IF(D$1="t",4,3),FALSE)*$C19</f>
        <v>0</v>
      </c>
      <c r="E19" s="114">
        <f>VLOOKUP($B19,Parts!$A:$G,IF(E$1="t",4,3),FALSE)*$C19</f>
        <v>0</v>
      </c>
      <c r="F19" s="114">
        <f>IFERROR(IF(A19=B19,0,VLOOKUP(A19,Other_Summary!A:E,2,FALSE))*C19,0)</f>
        <v>0</v>
      </c>
    </row>
    <row r="20" spans="1:6" x14ac:dyDescent="0.4">
      <c r="A20" s="114" t="s">
        <v>983</v>
      </c>
      <c r="B20" s="114" t="s">
        <v>1389</v>
      </c>
      <c r="C20" s="114">
        <v>1</v>
      </c>
      <c r="D20" s="114">
        <f>VLOOKUP($B20,Parts!$A:$G,IF(D$1="t",4,3),FALSE)*$C20</f>
        <v>0</v>
      </c>
      <c r="E20" s="114">
        <f>VLOOKUP($B20,Parts!$A:$G,IF(E$1="t",4,3),FALSE)*$C20</f>
        <v>37.799999999999997</v>
      </c>
      <c r="F20" s="114">
        <f>IFERROR(IF(A20=B20,0,VLOOKUP(A20,Other_Summary!A:E,2,FALSE))*C20,0)</f>
        <v>0</v>
      </c>
    </row>
    <row r="21" spans="1:6" x14ac:dyDescent="0.4">
      <c r="A21" s="114" t="s">
        <v>984</v>
      </c>
      <c r="B21" s="114" t="s">
        <v>984</v>
      </c>
      <c r="C21" s="114" t="s">
        <v>639</v>
      </c>
      <c r="D21" s="114">
        <f>SUM(D22:D23)</f>
        <v>0</v>
      </c>
      <c r="E21" s="114">
        <f>SUM(E22:E23)</f>
        <v>24.2</v>
      </c>
      <c r="F21" s="114">
        <f>IFERROR(IF(A21=B21,0,VLOOKUP(A21,Other_Summary!A:E,2,FALSE))*C21,0)</f>
        <v>0</v>
      </c>
    </row>
    <row r="22" spans="1:6" x14ac:dyDescent="0.4">
      <c r="A22" s="114" t="s">
        <v>984</v>
      </c>
      <c r="B22" s="114" t="s">
        <v>418</v>
      </c>
      <c r="D22" s="114">
        <f>VLOOKUP($B22,Parts!$A:$G,IF(D$1="t",4,3),FALSE)*$C22</f>
        <v>0</v>
      </c>
      <c r="E22" s="114">
        <f>VLOOKUP($B22,Parts!$A:$G,IF(E$1="t",4,3),FALSE)*$C22</f>
        <v>0</v>
      </c>
      <c r="F22" s="114">
        <f>IFERROR(IF(A22=B22,0,VLOOKUP(A22,Other_Summary!A:E,2,FALSE))*C22,0)</f>
        <v>0</v>
      </c>
    </row>
    <row r="23" spans="1:6" x14ac:dyDescent="0.4">
      <c r="A23" s="114" t="s">
        <v>984</v>
      </c>
      <c r="B23" s="114" t="s">
        <v>326</v>
      </c>
      <c r="C23" s="114">
        <v>1</v>
      </c>
      <c r="D23" s="114">
        <f>VLOOKUP($B23,Parts!$A:$G,IF(D$1="t",4,3),FALSE)*$C23</f>
        <v>0</v>
      </c>
      <c r="E23" s="114">
        <f>VLOOKUP($B23,Parts!$A:$G,IF(E$1="t",4,3),FALSE)*$C23</f>
        <v>24.2</v>
      </c>
      <c r="F23" s="114">
        <f>IFERROR(IF(A23=B23,0,VLOOKUP(A23,Other_Summary!A:E,2,FALSE))*C23,0)</f>
        <v>0</v>
      </c>
    </row>
    <row r="24" spans="1:6" x14ac:dyDescent="0.4">
      <c r="A24" s="114" t="s">
        <v>992</v>
      </c>
      <c r="B24" s="114" t="s">
        <v>992</v>
      </c>
      <c r="C24" s="114" t="s">
        <v>639</v>
      </c>
      <c r="D24" s="114">
        <f>SUM(D25:D27)</f>
        <v>0</v>
      </c>
      <c r="E24" s="114">
        <f>SUM(E25:E27)</f>
        <v>47.599999999999994</v>
      </c>
      <c r="F24" s="114">
        <f>IFERROR(IF(A24=B24,0,VLOOKUP(A24,Other_Summary!A:E,2,FALSE))*C24,0)</f>
        <v>0</v>
      </c>
    </row>
    <row r="25" spans="1:6" x14ac:dyDescent="0.4">
      <c r="A25" s="114" t="s">
        <v>992</v>
      </c>
      <c r="B25" s="114" t="s">
        <v>831</v>
      </c>
      <c r="C25" s="114">
        <v>1</v>
      </c>
      <c r="D25" s="114">
        <f>VLOOKUP($B25,Parts!$A:$G,IF(D$1="t",4,3),FALSE)*$C25</f>
        <v>0</v>
      </c>
      <c r="E25" s="114">
        <f>VLOOKUP($B25,Parts!$A:$G,IF(E$1="t",4,3),FALSE)*$C25</f>
        <v>23.4</v>
      </c>
      <c r="F25" s="114">
        <f>IFERROR(IF(A25=B25,0,VLOOKUP(A25,Other_Summary!A:E,2,FALSE))*C25,0)</f>
        <v>0</v>
      </c>
    </row>
    <row r="26" spans="1:6" x14ac:dyDescent="0.4">
      <c r="A26" s="114" t="s">
        <v>992</v>
      </c>
      <c r="B26" s="114" t="s">
        <v>697</v>
      </c>
      <c r="C26" s="114">
        <v>1</v>
      </c>
      <c r="D26" s="114">
        <f>VLOOKUP($B26,Parts!$A:$G,IF(D$1="t",4,3),FALSE)*$C26</f>
        <v>0</v>
      </c>
      <c r="E26" s="114">
        <f>VLOOKUP($B26,Parts!$A:$G,IF(E$1="t",4,3),FALSE)*$C26</f>
        <v>24.2</v>
      </c>
      <c r="F26" s="114">
        <f>IFERROR(IF(A26=B26,0,VLOOKUP(A26,Other_Summary!A:E,2,FALSE))*C26,0)</f>
        <v>0</v>
      </c>
    </row>
    <row r="27" spans="1:6" x14ac:dyDescent="0.4">
      <c r="A27" s="114" t="s">
        <v>992</v>
      </c>
      <c r="B27" s="114" t="s">
        <v>418</v>
      </c>
      <c r="D27" s="114">
        <f>VLOOKUP($B27,Parts!$A:$G,IF(D$1="t",4,3),FALSE)*$C27</f>
        <v>0</v>
      </c>
      <c r="E27" s="114">
        <f>VLOOKUP($B27,Parts!$A:$G,IF(E$1="t",4,3),FALSE)*$C27</f>
        <v>0</v>
      </c>
      <c r="F27" s="114">
        <f>IFERROR(IF(A27=B27,0,VLOOKUP(A27,Other_Summary!A:E,2,FALSE))*C27,0)</f>
        <v>0</v>
      </c>
    </row>
    <row r="28" spans="1:6" x14ac:dyDescent="0.4">
      <c r="A28" s="114" t="s">
        <v>991</v>
      </c>
      <c r="B28" s="114" t="s">
        <v>991</v>
      </c>
      <c r="C28" s="114" t="s">
        <v>639</v>
      </c>
      <c r="D28" s="114">
        <f>SUM(D29:D30)</f>
        <v>0</v>
      </c>
      <c r="E28" s="114">
        <f>SUM(E29:E30)</f>
        <v>24.2</v>
      </c>
      <c r="F28" s="114">
        <f>IFERROR(IF(A28=B28,0,VLOOKUP(A28,Other_Summary!A:E,2,FALSE))*C28,0)</f>
        <v>0</v>
      </c>
    </row>
    <row r="29" spans="1:6" x14ac:dyDescent="0.4">
      <c r="A29" s="114" t="s">
        <v>991</v>
      </c>
      <c r="B29" s="114" t="s">
        <v>418</v>
      </c>
      <c r="D29" s="114">
        <f>VLOOKUP($B29,Parts!$A:$G,IF(D$1="t",4,3),FALSE)*$C29</f>
        <v>0</v>
      </c>
      <c r="E29" s="114">
        <f>VLOOKUP($B29,Parts!$A:$G,IF(E$1="t",4,3),FALSE)*$C29</f>
        <v>0</v>
      </c>
      <c r="F29" s="114">
        <f>IFERROR(IF(A29=B29,0,VLOOKUP(A29,Other_Summary!A:E,2,FALSE))*C29,0)</f>
        <v>0</v>
      </c>
    </row>
    <row r="30" spans="1:6" x14ac:dyDescent="0.4">
      <c r="A30" s="114" t="s">
        <v>991</v>
      </c>
      <c r="B30" s="114" t="s">
        <v>326</v>
      </c>
      <c r="C30" s="114">
        <v>1</v>
      </c>
      <c r="D30" s="114">
        <f>VLOOKUP($B30,Parts!$A:$G,IF(D$1="t",4,3),FALSE)*$C30</f>
        <v>0</v>
      </c>
      <c r="E30" s="114">
        <f>VLOOKUP($B30,Parts!$A:$G,IF(E$1="t",4,3),FALSE)*$C30</f>
        <v>24.2</v>
      </c>
      <c r="F30" s="114">
        <f>IFERROR(IF(A30=B30,0,VLOOKUP(A30,Other_Summary!A:E,2,FALSE))*C30,0)</f>
        <v>0</v>
      </c>
    </row>
    <row r="31" spans="1:6" x14ac:dyDescent="0.4">
      <c r="A31" s="114" t="s">
        <v>993</v>
      </c>
      <c r="B31" s="114" t="s">
        <v>993</v>
      </c>
      <c r="C31" s="114" t="s">
        <v>639</v>
      </c>
      <c r="D31" s="114">
        <f>SUM(D32:D33)</f>
        <v>0</v>
      </c>
      <c r="E31" s="114">
        <f>SUM(E32:E33)</f>
        <v>24.2</v>
      </c>
      <c r="F31" s="114">
        <f>IFERROR(IF(A31=B31,0,VLOOKUP(A31,Other_Summary!A:E,2,FALSE))*C31,0)</f>
        <v>0</v>
      </c>
    </row>
    <row r="32" spans="1:6" x14ac:dyDescent="0.4">
      <c r="A32" s="114" t="s">
        <v>993</v>
      </c>
      <c r="B32" s="114" t="s">
        <v>418</v>
      </c>
      <c r="D32" s="114">
        <f>VLOOKUP($B32,Parts!$A:$G,IF(D$1="t",4,3),FALSE)*$C32</f>
        <v>0</v>
      </c>
      <c r="E32" s="114">
        <f>VLOOKUP($B32,Parts!$A:$G,IF(E$1="t",4,3),FALSE)*$C32</f>
        <v>0</v>
      </c>
      <c r="F32" s="114">
        <f>IFERROR(IF(A32=B32,0,VLOOKUP(A32,Other_Summary!A:E,2,FALSE))*C32,0)</f>
        <v>0</v>
      </c>
    </row>
    <row r="33" spans="1:6" x14ac:dyDescent="0.4">
      <c r="A33" s="114" t="s">
        <v>993</v>
      </c>
      <c r="B33" s="114" t="s">
        <v>326</v>
      </c>
      <c r="C33" s="114">
        <v>1</v>
      </c>
      <c r="D33" s="114">
        <f>VLOOKUP($B33,Parts!$A:$G,IF(D$1="t",4,3),FALSE)*$C33</f>
        <v>0</v>
      </c>
      <c r="E33" s="114">
        <f>VLOOKUP($B33,Parts!$A:$G,IF(E$1="t",4,3),FALSE)*$C33</f>
        <v>24.2</v>
      </c>
      <c r="F33" s="114">
        <f>IFERROR(IF(A33=B33,0,VLOOKUP(A33,Other_Summary!A:E,2,FALSE))*C33,0)</f>
        <v>0</v>
      </c>
    </row>
    <row r="34" spans="1:6" x14ac:dyDescent="0.4">
      <c r="A34" s="114" t="s">
        <v>1415</v>
      </c>
      <c r="B34" s="114" t="s">
        <v>1415</v>
      </c>
      <c r="C34" s="114" t="s">
        <v>639</v>
      </c>
      <c r="D34" s="114">
        <f>SUM(D35)</f>
        <v>1</v>
      </c>
      <c r="E34" s="114">
        <f>SUM(E35)</f>
        <v>57.95</v>
      </c>
      <c r="F34" s="114">
        <f>IFERROR(IF(A34=B34,0,VLOOKUP(A34,Other_Summary!A:E,2,FALSE))*C34,0)</f>
        <v>0</v>
      </c>
    </row>
    <row r="35" spans="1:6" x14ac:dyDescent="0.4">
      <c r="A35" s="114" t="s">
        <v>1415</v>
      </c>
      <c r="B35" s="114" t="s">
        <v>304</v>
      </c>
      <c r="C35" s="114">
        <v>1</v>
      </c>
      <c r="D35" s="114">
        <f>VLOOKUP($B35,Parts!$A:$G,IF(D$1="t",4,3),FALSE)*$C35</f>
        <v>1</v>
      </c>
      <c r="E35" s="114">
        <f>VLOOKUP($B35,Parts!$A:$G,IF(E$1="t",4,3),FALSE)*$C35</f>
        <v>57.95</v>
      </c>
      <c r="F35" s="114">
        <f>IFERROR(IF(A35=B35,0,VLOOKUP(A35,Other_Summary!A:E,2,FALSE))*C35,0)</f>
        <v>0</v>
      </c>
    </row>
    <row r="36" spans="1:6" x14ac:dyDescent="0.4">
      <c r="A36" s="114" t="s">
        <v>1401</v>
      </c>
      <c r="B36" s="114" t="s">
        <v>1401</v>
      </c>
      <c r="C36" s="114" t="s">
        <v>639</v>
      </c>
      <c r="D36" s="114">
        <f>SUM(D37:D41)</f>
        <v>1</v>
      </c>
      <c r="E36" s="114">
        <f>SUM(E37:E41)</f>
        <v>88.25</v>
      </c>
      <c r="F36" s="114">
        <f>IFERROR(IF(A36=B36,0,VLOOKUP(A36,Other_Summary!A:E,2,FALSE))*C36,0)</f>
        <v>0</v>
      </c>
    </row>
    <row r="37" spans="1:6" x14ac:dyDescent="0.4">
      <c r="A37" s="114" t="s">
        <v>1401</v>
      </c>
      <c r="B37" s="114" t="s">
        <v>253</v>
      </c>
      <c r="C37" s="114">
        <v>1</v>
      </c>
      <c r="D37" s="114">
        <f>VLOOKUP($B37,Parts!$A:$G,IF(D$1="t",4,3),FALSE)*$C37</f>
        <v>0</v>
      </c>
      <c r="E37" s="114">
        <f>VLOOKUP($B37,Parts!$A:$G,IF(E$1="t",4,3),FALSE)*$C37</f>
        <v>8.4499999999999993</v>
      </c>
      <c r="F37" s="114">
        <f>IFERROR(IF(A37=B37,0,VLOOKUP(A37,Other_Summary!A:E,2,FALSE))*C37,0)</f>
        <v>0</v>
      </c>
    </row>
    <row r="38" spans="1:6" x14ac:dyDescent="0.4">
      <c r="A38" s="114" t="s">
        <v>1401</v>
      </c>
      <c r="B38" s="114" t="s">
        <v>998</v>
      </c>
      <c r="C38" s="114">
        <v>1</v>
      </c>
      <c r="D38" s="114">
        <f>VLOOKUP($B38,Parts!$A:$G,IF(D$1="t",4,3),FALSE)*$C38</f>
        <v>0</v>
      </c>
      <c r="E38" s="114">
        <f>VLOOKUP($B38,Parts!$A:$G,IF(E$1="t",4,3),FALSE)*$C38</f>
        <v>19.8</v>
      </c>
      <c r="F38" s="114">
        <f>IFERROR(IF(A38=B38,0,VLOOKUP(A38,Other_Summary!A:E,2,FALSE))*C38,0)</f>
        <v>0</v>
      </c>
    </row>
    <row r="39" spans="1:6" x14ac:dyDescent="0.4">
      <c r="A39" s="114" t="s">
        <v>1401</v>
      </c>
      <c r="B39" s="114" t="s">
        <v>268</v>
      </c>
      <c r="C39" s="114">
        <v>0</v>
      </c>
      <c r="D39" s="114">
        <f>VLOOKUP($B39,Parts!$A:$G,IF(D$1="t",4,3),FALSE)*$C39</f>
        <v>0</v>
      </c>
      <c r="E39" s="114">
        <f>VLOOKUP($B39,Parts!$A:$G,IF(E$1="t",4,3),FALSE)*$C39</f>
        <v>0</v>
      </c>
      <c r="F39" s="114">
        <f>IFERROR(IF(A39=B39,0,VLOOKUP(A39,Other_Summary!A:E,2,FALSE))*C39,0)</f>
        <v>0</v>
      </c>
    </row>
    <row r="40" spans="1:6" x14ac:dyDescent="0.4">
      <c r="A40" s="114" t="s">
        <v>1401</v>
      </c>
      <c r="B40" s="114" t="s">
        <v>999</v>
      </c>
      <c r="C40" s="114">
        <v>1</v>
      </c>
      <c r="D40" s="114">
        <f>VLOOKUP($B40,Parts!$A:$G,IF(D$1="t",4,3),FALSE)*$C40</f>
        <v>0</v>
      </c>
      <c r="E40" s="114">
        <f>VLOOKUP($B40,Parts!$A:$G,IF(E$1="t",4,3),FALSE)*$C40</f>
        <v>60</v>
      </c>
      <c r="F40" s="114">
        <f>IFERROR(IF(A40=B40,0,VLOOKUP(A40,Other_Summary!A:E,2,FALSE))*C40,0)</f>
        <v>0</v>
      </c>
    </row>
    <row r="41" spans="1:6" x14ac:dyDescent="0.4">
      <c r="A41" s="114" t="s">
        <v>1401</v>
      </c>
      <c r="B41" s="114" t="s">
        <v>1000</v>
      </c>
      <c r="C41" s="114">
        <v>1</v>
      </c>
      <c r="D41" s="114">
        <f>VLOOKUP($B41,Parts!$A:$G,IF(D$1="t",4,3),FALSE)*$C41</f>
        <v>1</v>
      </c>
      <c r="E41" s="114">
        <f>VLOOKUP($B41,Parts!$A:$G,IF(E$1="t",4,3),FALSE)*$C41</f>
        <v>0</v>
      </c>
      <c r="F41" s="114">
        <f>IFERROR(IF(A41=B41,0,VLOOKUP(A41,Other_Summary!A:E,2,FALSE))*C41,0)</f>
        <v>0</v>
      </c>
    </row>
    <row r="42" spans="1:6" x14ac:dyDescent="0.4">
      <c r="A42" s="114" t="s">
        <v>1402</v>
      </c>
      <c r="B42" s="114" t="s">
        <v>1402</v>
      </c>
      <c r="C42" s="114" t="s">
        <v>639</v>
      </c>
      <c r="D42" s="114">
        <f>SUM(D43:D47)</f>
        <v>1.1000000000000001</v>
      </c>
      <c r="E42" s="114">
        <f>SUM(E43:E47)</f>
        <v>89.1</v>
      </c>
      <c r="F42" s="114">
        <f>IFERROR(IF(A42=B42,0,VLOOKUP(A42,Other_Summary!A:E,2,FALSE))*C42,0)</f>
        <v>0</v>
      </c>
    </row>
    <row r="43" spans="1:6" x14ac:dyDescent="0.4">
      <c r="A43" s="114" t="s">
        <v>1402</v>
      </c>
      <c r="B43" s="114" t="s">
        <v>253</v>
      </c>
      <c r="C43" s="114">
        <v>1</v>
      </c>
      <c r="D43" s="114">
        <f>VLOOKUP($B43,Parts!$A:$G,IF(D$1="t",4,3),FALSE)*$C43</f>
        <v>0</v>
      </c>
      <c r="E43" s="114">
        <f>VLOOKUP($B43,Parts!$A:$G,IF(E$1="t",4,3),FALSE)*$C43</f>
        <v>8.4499999999999993</v>
      </c>
      <c r="F43" s="114">
        <f>IFERROR(IF(A43=B43,0,VLOOKUP(A43,Other_Summary!A:E,2,FALSE))*C43,0)</f>
        <v>0</v>
      </c>
    </row>
    <row r="44" spans="1:6" x14ac:dyDescent="0.4">
      <c r="A44" s="114" t="s">
        <v>1402</v>
      </c>
      <c r="B44" s="114" t="s">
        <v>998</v>
      </c>
      <c r="C44" s="114">
        <v>1</v>
      </c>
      <c r="D44" s="114">
        <f>VLOOKUP($B44,Parts!$A:$G,IF(D$1="t",4,3),FALSE)*$C44</f>
        <v>0</v>
      </c>
      <c r="E44" s="114">
        <f>VLOOKUP($B44,Parts!$A:$G,IF(E$1="t",4,3),FALSE)*$C44</f>
        <v>19.8</v>
      </c>
      <c r="F44" s="114">
        <f>IFERROR(IF(A44=B44,0,VLOOKUP(A44,Other_Summary!A:E,2,FALSE))*C44,0)</f>
        <v>0</v>
      </c>
    </row>
    <row r="45" spans="1:6" x14ac:dyDescent="0.4">
      <c r="A45" s="114" t="s">
        <v>1402</v>
      </c>
      <c r="B45" s="114" t="s">
        <v>268</v>
      </c>
      <c r="C45" s="114">
        <v>1</v>
      </c>
      <c r="D45" s="114">
        <f>VLOOKUP($B45,Parts!$A:$G,IF(D$1="t",4,3),FALSE)*$C45</f>
        <v>0.1</v>
      </c>
      <c r="E45" s="114">
        <f>VLOOKUP($B45,Parts!$A:$G,IF(E$1="t",4,3),FALSE)*$C45</f>
        <v>0.85</v>
      </c>
      <c r="F45" s="114">
        <f>IFERROR(IF(A45=B45,0,VLOOKUP(A45,Other_Summary!A:E,2,FALSE))*C45,0)</f>
        <v>0</v>
      </c>
    </row>
    <row r="46" spans="1:6" x14ac:dyDescent="0.4">
      <c r="A46" s="114" t="s">
        <v>1402</v>
      </c>
      <c r="B46" s="114" t="s">
        <v>999</v>
      </c>
      <c r="C46" s="114">
        <v>1</v>
      </c>
      <c r="D46" s="114">
        <f>VLOOKUP($B46,Parts!$A:$G,IF(D$1="t",4,3),FALSE)*$C46</f>
        <v>0</v>
      </c>
      <c r="E46" s="114">
        <f>VLOOKUP($B46,Parts!$A:$G,IF(E$1="t",4,3),FALSE)*$C46</f>
        <v>60</v>
      </c>
      <c r="F46" s="114">
        <f>IFERROR(IF(A46=B46,0,VLOOKUP(A46,Other_Summary!A:E,2,FALSE))*C46,0)</f>
        <v>0</v>
      </c>
    </row>
    <row r="47" spans="1:6" x14ac:dyDescent="0.4">
      <c r="A47" s="114" t="s">
        <v>1402</v>
      </c>
      <c r="B47" s="114" t="s">
        <v>1000</v>
      </c>
      <c r="C47" s="114">
        <v>1</v>
      </c>
      <c r="D47" s="114">
        <f>VLOOKUP($B47,Parts!$A:$G,IF(D$1="t",4,3),FALSE)*$C47</f>
        <v>1</v>
      </c>
      <c r="E47" s="114">
        <f>VLOOKUP($B47,Parts!$A:$G,IF(E$1="t",4,3),FALSE)*$C47</f>
        <v>0</v>
      </c>
      <c r="F47" s="114">
        <f>IFERROR(IF(A47=B47,0,VLOOKUP(A47,Other_Summary!A:E,2,FALSE))*C47,0)</f>
        <v>0</v>
      </c>
    </row>
    <row r="48" spans="1:6" x14ac:dyDescent="0.4">
      <c r="A48" s="114" t="s">
        <v>1418</v>
      </c>
      <c r="B48" s="114" t="s">
        <v>1418</v>
      </c>
      <c r="C48" s="114" t="s">
        <v>639</v>
      </c>
      <c r="D48" s="114">
        <f>SUM(D49:D51)</f>
        <v>0</v>
      </c>
      <c r="E48" s="114">
        <f>SUM(E49:E51)</f>
        <v>331.4</v>
      </c>
      <c r="F48" s="114">
        <f>IFERROR(IF(A48=B48,0,VLOOKUP(A48,Other_Summary!A:E,2,FALSE))*C48,0)</f>
        <v>0</v>
      </c>
    </row>
    <row r="49" spans="1:6" x14ac:dyDescent="0.4">
      <c r="A49" s="114" t="s">
        <v>1418</v>
      </c>
      <c r="B49" s="114" t="s">
        <v>985</v>
      </c>
      <c r="C49" s="114">
        <v>1</v>
      </c>
      <c r="D49" s="114">
        <f>VLOOKUP($B49,Parts!$A:$G,IF(D$1="t",4,3),FALSE)*$C49</f>
        <v>0</v>
      </c>
      <c r="E49" s="114">
        <f>VLOOKUP($B49,Parts!$A:$G,IF(E$1="t",4,3),FALSE)*$C49</f>
        <v>307.2</v>
      </c>
      <c r="F49" s="114">
        <f>IFERROR(IF(A49=B49,0,VLOOKUP(A49,Other_Summary!A:E,2,FALSE))*C49,0)</f>
        <v>0</v>
      </c>
    </row>
    <row r="50" spans="1:6" x14ac:dyDescent="0.4">
      <c r="A50" s="114" t="s">
        <v>1418</v>
      </c>
      <c r="B50" s="114" t="s">
        <v>418</v>
      </c>
      <c r="D50" s="114">
        <f>VLOOKUP($B50,Parts!$A:$G,IF(D$1="t",4,3),FALSE)*$C50</f>
        <v>0</v>
      </c>
      <c r="E50" s="114">
        <f>VLOOKUP($B50,Parts!$A:$G,IF(E$1="t",4,3),FALSE)*$C50</f>
        <v>0</v>
      </c>
      <c r="F50" s="114">
        <f>IFERROR(IF(A50=B50,0,VLOOKUP(A50,Other_Summary!A:E,2,FALSE))*C50,0)</f>
        <v>0</v>
      </c>
    </row>
    <row r="51" spans="1:6" x14ac:dyDescent="0.4">
      <c r="A51" s="114" t="s">
        <v>1418</v>
      </c>
      <c r="B51" s="114" t="s">
        <v>326</v>
      </c>
      <c r="C51" s="114">
        <v>1</v>
      </c>
      <c r="D51" s="114">
        <f>VLOOKUP($B51,Parts!$A:$G,IF(D$1="t",4,3),FALSE)*$C51</f>
        <v>0</v>
      </c>
      <c r="E51" s="114">
        <f>VLOOKUP($B51,Parts!$A:$G,IF(E$1="t",4,3),FALSE)*$C51</f>
        <v>24.2</v>
      </c>
      <c r="F51" s="114">
        <f>IFERROR(IF(A51=B51,0,VLOOKUP(A51,Other_Summary!A:E,2,FALSE))*C51,0)</f>
        <v>0</v>
      </c>
    </row>
    <row r="52" spans="1:6" x14ac:dyDescent="0.4">
      <c r="A52" s="114" t="s">
        <v>678</v>
      </c>
      <c r="B52" s="114" t="s">
        <v>678</v>
      </c>
      <c r="C52" s="114" t="s">
        <v>639</v>
      </c>
      <c r="D52" s="114">
        <f>SUM(D53:D60)</f>
        <v>2</v>
      </c>
      <c r="E52" s="114">
        <f>SUM(E53:E60)</f>
        <v>553.25</v>
      </c>
      <c r="F52" s="114">
        <f>IFERROR(IF(A52=B52,0,VLOOKUP(A52,Other_Summary!A:E,2,FALSE))*C52,0)</f>
        <v>0</v>
      </c>
    </row>
    <row r="53" spans="1:6" x14ac:dyDescent="0.4">
      <c r="A53" s="114" t="s">
        <v>678</v>
      </c>
      <c r="B53" s="114" t="s">
        <v>253</v>
      </c>
      <c r="C53" s="114">
        <v>1</v>
      </c>
      <c r="D53" s="114">
        <f>VLOOKUP($B53,Parts!$A:$G,IF(D$1="t",4,3),FALSE)*$C53</f>
        <v>0</v>
      </c>
      <c r="E53" s="114">
        <f>VLOOKUP($B53,Parts!$A:$G,IF(E$1="t",4,3),FALSE)*$C53</f>
        <v>8.4499999999999993</v>
      </c>
      <c r="F53" s="114">
        <f>IFERROR(IF(A53=B53,0,VLOOKUP(A53,Other_Summary!A:E,2,FALSE))*C53,0)</f>
        <v>0</v>
      </c>
    </row>
    <row r="54" spans="1:6" x14ac:dyDescent="0.4">
      <c r="A54" s="114" t="s">
        <v>678</v>
      </c>
      <c r="B54" s="114" t="s">
        <v>998</v>
      </c>
      <c r="C54" s="114">
        <v>1</v>
      </c>
      <c r="D54" s="114">
        <f>VLOOKUP($B54,Parts!$A:$G,IF(D$1="t",4,3),FALSE)*$C54</f>
        <v>0</v>
      </c>
      <c r="E54" s="114">
        <f>VLOOKUP($B54,Parts!$A:$G,IF(E$1="t",4,3),FALSE)*$C54</f>
        <v>19.8</v>
      </c>
      <c r="F54" s="114">
        <f>IFERROR(IF(A54=B54,0,VLOOKUP(A54,Other_Summary!A:E,2,FALSE))*C54,0)</f>
        <v>0</v>
      </c>
    </row>
    <row r="55" spans="1:6" x14ac:dyDescent="0.4">
      <c r="A55" s="114" t="s">
        <v>678</v>
      </c>
      <c r="B55" s="114" t="s">
        <v>268</v>
      </c>
      <c r="D55" s="114">
        <f>VLOOKUP($B55,Parts!$A:$G,IF(D$1="t",4,3),FALSE)*$C55</f>
        <v>0</v>
      </c>
      <c r="E55" s="114">
        <f>VLOOKUP($B55,Parts!$A:$G,IF(E$1="t",4,3),FALSE)*$C55</f>
        <v>0</v>
      </c>
      <c r="F55" s="114">
        <f>IFERROR(IF(A55=B55,0,VLOOKUP(A55,Other_Summary!A:E,2,FALSE))*C55,0)</f>
        <v>0</v>
      </c>
    </row>
    <row r="56" spans="1:6" x14ac:dyDescent="0.4">
      <c r="A56" s="114" t="s">
        <v>678</v>
      </c>
      <c r="B56" s="114" t="s">
        <v>304</v>
      </c>
      <c r="C56" s="114">
        <v>1</v>
      </c>
      <c r="D56" s="114">
        <f>VLOOKUP($B56,Parts!$A:$G,IF(D$1="t",4,3),FALSE)*$C56</f>
        <v>1</v>
      </c>
      <c r="E56" s="114">
        <f>VLOOKUP($B56,Parts!$A:$G,IF(E$1="t",4,3),FALSE)*$C56</f>
        <v>57.95</v>
      </c>
      <c r="F56" s="114">
        <f>IFERROR(IF(A56=B56,0,VLOOKUP(A56,Other_Summary!A:E,2,FALSE))*C56,0)</f>
        <v>0</v>
      </c>
    </row>
    <row r="57" spans="1:6" x14ac:dyDescent="0.4">
      <c r="A57" s="114" t="s">
        <v>678</v>
      </c>
      <c r="B57" s="114" t="s">
        <v>1344</v>
      </c>
      <c r="C57" s="114">
        <v>1</v>
      </c>
      <c r="D57" s="114">
        <f>VLOOKUP($B57,Parts!$A:$G,IF(D$1="t",4,3),FALSE)*$C57</f>
        <v>0</v>
      </c>
      <c r="E57" s="114">
        <f>VLOOKUP($B57,Parts!$A:$G,IF(E$1="t",4,3),FALSE)*$C57</f>
        <v>91.05</v>
      </c>
      <c r="F57" s="114">
        <f>IFERROR(IF(A57=B57,0,VLOOKUP(A57,Other_Summary!A:E,2,FALSE))*C57,0)</f>
        <v>0</v>
      </c>
    </row>
    <row r="58" spans="1:6" x14ac:dyDescent="0.4">
      <c r="A58" s="114" t="s">
        <v>678</v>
      </c>
      <c r="B58" s="114" t="s">
        <v>1003</v>
      </c>
      <c r="C58" s="114">
        <v>1</v>
      </c>
      <c r="D58" s="114">
        <f>VLOOKUP($B58,Parts!$A:$G,IF(D$1="t",4,3),FALSE)*$C58</f>
        <v>0</v>
      </c>
      <c r="E58" s="114">
        <f>VLOOKUP($B58,Parts!$A:$G,IF(E$1="t",4,3),FALSE)*$C58</f>
        <v>16</v>
      </c>
      <c r="F58" s="114">
        <f>IFERROR(IF(A58=B58,0,VLOOKUP(A58,Other_Summary!A:E,2,FALSE))*C58,0)</f>
        <v>0</v>
      </c>
    </row>
    <row r="59" spans="1:6" x14ac:dyDescent="0.4">
      <c r="A59" s="114" t="s">
        <v>678</v>
      </c>
      <c r="B59" s="114" t="s">
        <v>1004</v>
      </c>
      <c r="C59" s="114">
        <v>1</v>
      </c>
      <c r="D59" s="114">
        <f>VLOOKUP($B59,Parts!$A:$G,IF(D$1="t",4,3),FALSE)*$C59</f>
        <v>0</v>
      </c>
      <c r="E59" s="114">
        <f>VLOOKUP($B59,Parts!$A:$G,IF(E$1="t",4,3),FALSE)*$C59</f>
        <v>360</v>
      </c>
      <c r="F59" s="114">
        <f>IFERROR(IF(A59=B59,0,VLOOKUP(A59,Other_Summary!A:E,2,FALSE))*C59,0)</f>
        <v>0</v>
      </c>
    </row>
    <row r="60" spans="1:6" x14ac:dyDescent="0.4">
      <c r="A60" s="114" t="s">
        <v>678</v>
      </c>
      <c r="B60" s="114" t="s">
        <v>1000</v>
      </c>
      <c r="C60" s="114">
        <v>1</v>
      </c>
      <c r="D60" s="114">
        <f>VLOOKUP($B60,Parts!$A:$G,IF(D$1="t",4,3),FALSE)*$C60</f>
        <v>1</v>
      </c>
      <c r="E60" s="114">
        <f>VLOOKUP($B60,Parts!$A:$G,IF(E$1="t",4,3),FALSE)*$C60</f>
        <v>0</v>
      </c>
      <c r="F60" s="114">
        <f>IFERROR(IF(A60=B60,0,VLOOKUP(A60,Other_Summary!A:E,2,FALSE))*C60,0)</f>
        <v>0</v>
      </c>
    </row>
    <row r="61" spans="1:6" x14ac:dyDescent="0.4">
      <c r="A61" s="114" t="s">
        <v>1419</v>
      </c>
      <c r="B61" s="114" t="s">
        <v>1419</v>
      </c>
      <c r="C61" s="114" t="s">
        <v>639</v>
      </c>
      <c r="D61" s="114">
        <f>SUM(D62:D64)</f>
        <v>0</v>
      </c>
      <c r="E61" s="114">
        <f>SUM(E62:E64)</f>
        <v>84.2</v>
      </c>
      <c r="F61" s="114">
        <f>IFERROR(IF(A61=B61,0,VLOOKUP(A61,Other_Summary!A:E,2,FALSE))*C61,0)</f>
        <v>0</v>
      </c>
    </row>
    <row r="62" spans="1:6" x14ac:dyDescent="0.4">
      <c r="A62" s="114" t="s">
        <v>1419</v>
      </c>
      <c r="B62" s="114" t="s">
        <v>669</v>
      </c>
      <c r="C62" s="114">
        <v>1</v>
      </c>
      <c r="D62" s="114">
        <f>VLOOKUP($B62,Parts!$A:$G,IF(D$1="t",4,3),FALSE)*$C62</f>
        <v>0</v>
      </c>
      <c r="E62" s="114">
        <f>VLOOKUP($B62,Parts!$A:$G,IF(E$1="t",4,3),FALSE)*$C62</f>
        <v>60</v>
      </c>
      <c r="F62" s="114">
        <f>IFERROR(IF(A62=B62,0,VLOOKUP(A62,Other_Summary!A:E,2,FALSE))*C62,0)</f>
        <v>0</v>
      </c>
    </row>
    <row r="63" spans="1:6" x14ac:dyDescent="0.4">
      <c r="A63" s="114" t="s">
        <v>1419</v>
      </c>
      <c r="B63" s="114" t="s">
        <v>418</v>
      </c>
      <c r="D63" s="114">
        <f>VLOOKUP($B63,Parts!$A:$G,IF(D$1="t",4,3),FALSE)*$C63</f>
        <v>0</v>
      </c>
      <c r="E63" s="114">
        <f>VLOOKUP($B63,Parts!$A:$G,IF(E$1="t",4,3),FALSE)*$C63</f>
        <v>0</v>
      </c>
      <c r="F63" s="114">
        <f>IFERROR(IF(A63=B63,0,VLOOKUP(A63,Other_Summary!A:E,2,FALSE))*C63,0)</f>
        <v>0</v>
      </c>
    </row>
    <row r="64" spans="1:6" x14ac:dyDescent="0.4">
      <c r="A64" s="114" t="s">
        <v>1419</v>
      </c>
      <c r="B64" s="114" t="s">
        <v>326</v>
      </c>
      <c r="C64" s="114">
        <v>1</v>
      </c>
      <c r="D64" s="114">
        <f>VLOOKUP($B64,Parts!$A:$G,IF(D$1="t",4,3),FALSE)*$C64</f>
        <v>0</v>
      </c>
      <c r="E64" s="114">
        <f>VLOOKUP($B64,Parts!$A:$G,IF(E$1="t",4,3),FALSE)*$C64</f>
        <v>24.2</v>
      </c>
      <c r="F64" s="114">
        <f>IFERROR(IF(A64=B64,0,VLOOKUP(A64,Other_Summary!A:E,2,FALSE))*C64,0)</f>
        <v>0</v>
      </c>
    </row>
    <row r="65" spans="1:6" x14ac:dyDescent="0.4">
      <c r="A65" s="114" t="s">
        <v>1412</v>
      </c>
      <c r="B65" s="114" t="s">
        <v>1412</v>
      </c>
      <c r="C65" s="114" t="s">
        <v>639</v>
      </c>
      <c r="D65" s="114">
        <f>SUM(D66:D68)</f>
        <v>0</v>
      </c>
      <c r="E65" s="114">
        <f>SUM(E66:E68)</f>
        <v>39.4</v>
      </c>
      <c r="F65" s="114">
        <f>IFERROR(IF(A65=B65,0,VLOOKUP(A65,Other_Summary!A:E,2,FALSE))*C65,0)</f>
        <v>0</v>
      </c>
    </row>
    <row r="66" spans="1:6" x14ac:dyDescent="0.4">
      <c r="A66" s="114" t="s">
        <v>1412</v>
      </c>
      <c r="B66" s="114" t="s">
        <v>269</v>
      </c>
      <c r="D66" s="114">
        <f>VLOOKUP($B66,Parts!$A:$G,IF(D$1="t",4,3),FALSE)*$C66</f>
        <v>0</v>
      </c>
      <c r="E66" s="114">
        <f>VLOOKUP($B66,Parts!$A:$G,IF(E$1="t",4,3),FALSE)*$C66</f>
        <v>0</v>
      </c>
      <c r="F66" s="114">
        <f>IFERROR(IF(A66=B66,0,VLOOKUP(A66,Other_Summary!A:E,2,FALSE))*C66,0)</f>
        <v>0</v>
      </c>
    </row>
    <row r="67" spans="1:6" x14ac:dyDescent="0.4">
      <c r="A67" s="114" t="s">
        <v>1412</v>
      </c>
      <c r="B67" s="114" t="s">
        <v>831</v>
      </c>
      <c r="C67" s="114">
        <v>1</v>
      </c>
      <c r="D67" s="114">
        <f>VLOOKUP($B67,Parts!$A:$G,IF(D$1="t",4,3),FALSE)*$C67</f>
        <v>0</v>
      </c>
      <c r="E67" s="114">
        <f>VLOOKUP($B67,Parts!$A:$G,IF(E$1="t",4,3),FALSE)*$C67</f>
        <v>23.4</v>
      </c>
      <c r="F67" s="114">
        <f>IFERROR(IF(A67=B67,0,VLOOKUP(A67,Other_Summary!A:E,2,FALSE))*C67,0)</f>
        <v>0</v>
      </c>
    </row>
    <row r="68" spans="1:6" x14ac:dyDescent="0.4">
      <c r="A68" s="114" t="s">
        <v>1412</v>
      </c>
      <c r="B68" s="114" t="s">
        <v>1003</v>
      </c>
      <c r="C68" s="114">
        <v>1</v>
      </c>
      <c r="D68" s="114">
        <f>VLOOKUP($B68,Parts!$A:$G,IF(D$1="t",4,3),FALSE)*$C68</f>
        <v>0</v>
      </c>
      <c r="E68" s="114">
        <f>VLOOKUP($B68,Parts!$A:$G,IF(E$1="t",4,3),FALSE)*$C68</f>
        <v>16</v>
      </c>
      <c r="F68" s="114">
        <f>IFERROR(IF(A68=B68,0,VLOOKUP(A68,Other_Summary!A:E,2,FALSE))*C68,0)</f>
        <v>0</v>
      </c>
    </row>
    <row r="69" spans="1:6" x14ac:dyDescent="0.4">
      <c r="A69" s="114" t="s">
        <v>1414</v>
      </c>
      <c r="B69" s="114" t="s">
        <v>1414</v>
      </c>
      <c r="C69" s="114" t="s">
        <v>639</v>
      </c>
      <c r="D69" s="114">
        <f>SUM(D70:D71)</f>
        <v>0</v>
      </c>
      <c r="E69" s="114">
        <f>SUM(E70:E71)</f>
        <v>23.4</v>
      </c>
      <c r="F69" s="114">
        <f>IFERROR(IF(A69=B69,0,VLOOKUP(A69,Other_Summary!A:E,2,FALSE))*C69,0)</f>
        <v>0</v>
      </c>
    </row>
    <row r="70" spans="1:6" x14ac:dyDescent="0.4">
      <c r="A70" s="114" t="s">
        <v>1414</v>
      </c>
      <c r="B70" s="114" t="s">
        <v>269</v>
      </c>
      <c r="D70" s="114">
        <f>VLOOKUP($B70,Parts!$A:$G,IF(D$1="t",4,3),FALSE)*$C70</f>
        <v>0</v>
      </c>
      <c r="E70" s="114">
        <f>VLOOKUP($B70,Parts!$A:$G,IF(E$1="t",4,3),FALSE)*$C70</f>
        <v>0</v>
      </c>
      <c r="F70" s="114">
        <f>IFERROR(IF(A70=B70,0,VLOOKUP(A70,Other_Summary!A:E,2,FALSE))*C70,0)</f>
        <v>0</v>
      </c>
    </row>
    <row r="71" spans="1:6" x14ac:dyDescent="0.4">
      <c r="A71" s="114" t="s">
        <v>1414</v>
      </c>
      <c r="B71" s="114" t="s">
        <v>831</v>
      </c>
      <c r="C71" s="114">
        <v>1</v>
      </c>
      <c r="D71" s="114">
        <f>VLOOKUP($B71,Parts!$A:$G,IF(D$1="t",4,3),FALSE)*$C71</f>
        <v>0</v>
      </c>
      <c r="E71" s="114">
        <f>VLOOKUP($B71,Parts!$A:$G,IF(E$1="t",4,3),FALSE)*$C71</f>
        <v>23.4</v>
      </c>
      <c r="F71" s="114">
        <f>IFERROR(IF(A71=B71,0,VLOOKUP(A71,Other_Summary!A:E,2,FALSE))*C71,0)</f>
        <v>0</v>
      </c>
    </row>
    <row r="72" spans="1:6" x14ac:dyDescent="0.4">
      <c r="A72" s="114" t="s">
        <v>1417</v>
      </c>
      <c r="B72" s="114" t="s">
        <v>1417</v>
      </c>
      <c r="C72" s="114" t="s">
        <v>639</v>
      </c>
      <c r="D72" s="114">
        <f>SUM(D73)</f>
        <v>1</v>
      </c>
      <c r="E72" s="114">
        <f>SUM(E73)</f>
        <v>60</v>
      </c>
      <c r="F72" s="114">
        <f>IFERROR(IF(A72=B72,0,VLOOKUP(A72,Other_Summary!A:E,2,FALSE))*C72,0)</f>
        <v>0</v>
      </c>
    </row>
    <row r="73" spans="1:6" x14ac:dyDescent="0.4">
      <c r="A73" s="114" t="s">
        <v>1417</v>
      </c>
      <c r="B73" s="114" t="s">
        <v>986</v>
      </c>
      <c r="C73" s="114">
        <v>1</v>
      </c>
      <c r="D73" s="114">
        <f>VLOOKUP($B73,Parts!$A:$G,IF(D$1="t",4,3),FALSE)*$C73</f>
        <v>1</v>
      </c>
      <c r="E73" s="114">
        <f>VLOOKUP($B73,Parts!$A:$G,IF(E$1="t",4,3),FALSE)*$C73</f>
        <v>60</v>
      </c>
      <c r="F73" s="114">
        <f>IFERROR(IF(A73=B73,0,VLOOKUP(A73,Other_Summary!A:E,2,FALSE))*C73,0)</f>
        <v>0</v>
      </c>
    </row>
    <row r="74" spans="1:6" x14ac:dyDescent="0.4">
      <c r="A74" s="114" t="s">
        <v>1416</v>
      </c>
      <c r="B74" s="114" t="s">
        <v>1416</v>
      </c>
      <c r="C74" s="114" t="s">
        <v>639</v>
      </c>
      <c r="D74" s="114">
        <f>SUM(D75)</f>
        <v>2</v>
      </c>
      <c r="E74" s="114">
        <f>SUM(E75)</f>
        <v>80</v>
      </c>
      <c r="F74" s="114">
        <f>IFERROR(IF(A74=B74,0,VLOOKUP(A74,Other_Summary!A:E,2,FALSE))*C74,0)</f>
        <v>0</v>
      </c>
    </row>
    <row r="75" spans="1:6" x14ac:dyDescent="0.4">
      <c r="A75" s="114" t="s">
        <v>1416</v>
      </c>
      <c r="B75" s="114" t="s">
        <v>588</v>
      </c>
      <c r="C75" s="114">
        <v>1</v>
      </c>
      <c r="D75" s="114">
        <f>VLOOKUP($B75,Parts!$A:$G,IF(D$1="t",4,3),FALSE)*$C75</f>
        <v>2</v>
      </c>
      <c r="E75" s="114">
        <f>VLOOKUP($B75,Parts!$A:$G,IF(E$1="t",4,3),FALSE)*$C75</f>
        <v>80</v>
      </c>
      <c r="F75" s="114">
        <f>IFERROR(IF(A75=B75,0,VLOOKUP(A75,Other_Summary!A:E,2,FALSE))*C75,0)</f>
        <v>0</v>
      </c>
    </row>
    <row r="76" spans="1:6" x14ac:dyDescent="0.4">
      <c r="A76" s="114" t="s">
        <v>1430</v>
      </c>
      <c r="B76" s="114" t="s">
        <v>1430</v>
      </c>
      <c r="D76" s="114">
        <f>SUM(D77:D82)</f>
        <v>1.5</v>
      </c>
      <c r="E76" s="114">
        <f>SUM(E77:E82)</f>
        <v>28.25</v>
      </c>
      <c r="F76" s="114">
        <f>IFERROR(IF(A76=B76,0,VLOOKUP(A76,Other_Summary!A:E,2,FALSE))*C76,0)</f>
        <v>0</v>
      </c>
    </row>
    <row r="77" spans="1:6" x14ac:dyDescent="0.4">
      <c r="A77" s="114" t="s">
        <v>1430</v>
      </c>
      <c r="B77" s="114" t="s">
        <v>253</v>
      </c>
      <c r="C77" s="114">
        <v>1</v>
      </c>
      <c r="D77" s="114">
        <f>VLOOKUP($B77,Parts!$A:$G,IF(D$1="t",4,3),FALSE)*$C77</f>
        <v>0</v>
      </c>
      <c r="E77" s="114">
        <f>VLOOKUP($B77,Parts!$A:$G,IF(E$1="t",4,3),FALSE)*$C77</f>
        <v>8.4499999999999993</v>
      </c>
      <c r="F77" s="114">
        <f>IFERROR(IF(A77=B77,0,VLOOKUP(A77,Other_Summary!A:E,2,FALSE))*C77,0)</f>
        <v>0</v>
      </c>
    </row>
    <row r="78" spans="1:6" x14ac:dyDescent="0.4">
      <c r="A78" s="114" t="s">
        <v>1430</v>
      </c>
      <c r="B78" s="114" t="s">
        <v>998</v>
      </c>
      <c r="C78" s="114">
        <v>1</v>
      </c>
      <c r="D78" s="114">
        <f>VLOOKUP($B78,Parts!$A:$G,IF(D$1="t",4,3),FALSE)*$C78</f>
        <v>0</v>
      </c>
      <c r="E78" s="114">
        <f>VLOOKUP($B78,Parts!$A:$G,IF(E$1="t",4,3),FALSE)*$C78</f>
        <v>19.8</v>
      </c>
      <c r="F78" s="114">
        <f>IFERROR(IF(A78=B78,0,VLOOKUP(A78,Other_Summary!A:E,2,FALSE))*C78,0)</f>
        <v>0</v>
      </c>
    </row>
    <row r="79" spans="1:6" x14ac:dyDescent="0.4">
      <c r="A79" s="114" t="s">
        <v>1430</v>
      </c>
      <c r="B79" s="114" t="s">
        <v>268</v>
      </c>
      <c r="D79" s="114">
        <f>VLOOKUP($B79,Parts!$A:$G,IF(D$1="t",4,3),FALSE)*$C79</f>
        <v>0</v>
      </c>
      <c r="E79" s="114">
        <f>VLOOKUP($B79,Parts!$A:$G,IF(E$1="t",4,3),FALSE)*$C79</f>
        <v>0</v>
      </c>
      <c r="F79" s="114">
        <f>IFERROR(IF(A79=B79,0,VLOOKUP(A79,Other_Summary!A:E,2,FALSE))*C79,0)</f>
        <v>0</v>
      </c>
    </row>
    <row r="80" spans="1:6" x14ac:dyDescent="0.4">
      <c r="A80" s="114" t="s">
        <v>1430</v>
      </c>
      <c r="B80" s="114" t="s">
        <v>269</v>
      </c>
      <c r="D80" s="114">
        <f>VLOOKUP($B80,Parts!$A:$G,IF(D$1="t",4,3),FALSE)*$C80</f>
        <v>0</v>
      </c>
      <c r="E80" s="114">
        <f>VLOOKUP($B80,Parts!$A:$G,IF(E$1="t",4,3),FALSE)*$C80</f>
        <v>0</v>
      </c>
      <c r="F80" s="114">
        <f>IFERROR(IF(A80=B80,0,VLOOKUP(A80,Other_Summary!A:E,2,FALSE))*C80,0)</f>
        <v>0</v>
      </c>
    </row>
    <row r="81" spans="1:6" x14ac:dyDescent="0.4">
      <c r="A81" s="114" t="s">
        <v>1430</v>
      </c>
      <c r="B81" s="114" t="s">
        <v>1035</v>
      </c>
      <c r="C81" s="114">
        <v>1</v>
      </c>
      <c r="D81" s="114">
        <f>VLOOKUP($B81,Parts!$A:$G,IF(D$1="t",4,3),FALSE)*$C81</f>
        <v>0.5</v>
      </c>
      <c r="E81" s="114">
        <f>VLOOKUP($B81,Parts!$A:$G,IF(E$1="t",4,3),FALSE)*$C81</f>
        <v>0</v>
      </c>
      <c r="F81" s="114">
        <f>IFERROR(IF(A81=B81,0,VLOOKUP(A81,Other_Summary!A:E,2,FALSE))*C81,0)</f>
        <v>0</v>
      </c>
    </row>
    <row r="82" spans="1:6" x14ac:dyDescent="0.4">
      <c r="A82" s="114" t="s">
        <v>1430</v>
      </c>
      <c r="B82" s="114" t="s">
        <v>239</v>
      </c>
      <c r="C82" s="114">
        <v>1</v>
      </c>
      <c r="D82" s="114">
        <f>VLOOKUP($B82,Parts!$A:$G,IF(D$1="t",4,3),FALSE)*$C82</f>
        <v>1</v>
      </c>
      <c r="E82" s="114">
        <f>VLOOKUP($B82,Parts!$A:$G,IF(E$1="t",4,3),FALSE)*$C82</f>
        <v>0</v>
      </c>
      <c r="F82" s="114">
        <f>IFERROR(IF(A82=B82,0,VLOOKUP(A82,Other_Summary!A:E,2,FALSE))*C82,0)</f>
        <v>0</v>
      </c>
    </row>
    <row r="83" spans="1:6" x14ac:dyDescent="0.4">
      <c r="A83" s="114" t="s">
        <v>1431</v>
      </c>
      <c r="B83" s="114" t="s">
        <v>1431</v>
      </c>
      <c r="D83" s="114">
        <f>SUM(D84:D89)</f>
        <v>1.5</v>
      </c>
      <c r="E83" s="114">
        <f>SUM(E84:E89)</f>
        <v>8.4499999999999993</v>
      </c>
      <c r="F83" s="114">
        <f>IFERROR(IF(A83=B83,0,VLOOKUP(A83,Other_Summary!A:E,2,FALSE))*C83,0)</f>
        <v>0</v>
      </c>
    </row>
    <row r="84" spans="1:6" x14ac:dyDescent="0.4">
      <c r="A84" s="114" t="s">
        <v>1431</v>
      </c>
      <c r="B84" s="114" t="s">
        <v>253</v>
      </c>
      <c r="C84" s="114">
        <v>1</v>
      </c>
      <c r="D84" s="114">
        <f>VLOOKUP($B84,Parts!$A:$G,IF(D$1="t",4,3),FALSE)*$C84</f>
        <v>0</v>
      </c>
      <c r="E84" s="114">
        <f>VLOOKUP($B84,Parts!$A:$G,IF(E$1="t",4,3),FALSE)*$C84</f>
        <v>8.4499999999999993</v>
      </c>
      <c r="F84" s="114">
        <f>IFERROR(IF(A84=B84,0,VLOOKUP(A84,Other_Summary!A:E,2,FALSE))*C84,0)</f>
        <v>0</v>
      </c>
    </row>
    <row r="85" spans="1:6" x14ac:dyDescent="0.4">
      <c r="A85" s="114" t="s">
        <v>1431</v>
      </c>
      <c r="B85" s="114" t="s">
        <v>998</v>
      </c>
      <c r="D85" s="114">
        <f>VLOOKUP($B85,Parts!$A:$G,IF(D$1="t",4,3),FALSE)*$C85</f>
        <v>0</v>
      </c>
      <c r="E85" s="114">
        <f>VLOOKUP($B85,Parts!$A:$G,IF(E$1="t",4,3),FALSE)*$C85</f>
        <v>0</v>
      </c>
      <c r="F85" s="114">
        <f>IFERROR(IF(A85=B85,0,VLOOKUP(A85,Other_Summary!A:E,2,FALSE))*C85,0)</f>
        <v>0</v>
      </c>
    </row>
    <row r="86" spans="1:6" x14ac:dyDescent="0.4">
      <c r="A86" s="114" t="s">
        <v>1431</v>
      </c>
      <c r="B86" s="114" t="s">
        <v>268</v>
      </c>
      <c r="D86" s="114">
        <f>VLOOKUP($B86,Parts!$A:$G,IF(D$1="t",4,3),FALSE)*$C86</f>
        <v>0</v>
      </c>
      <c r="E86" s="114">
        <f>VLOOKUP($B86,Parts!$A:$G,IF(E$1="t",4,3),FALSE)*$C86</f>
        <v>0</v>
      </c>
      <c r="F86" s="114">
        <f>IFERROR(IF(A86=B86,0,VLOOKUP(A86,Other_Summary!A:E,2,FALSE))*C86,0)</f>
        <v>0</v>
      </c>
    </row>
    <row r="87" spans="1:6" x14ac:dyDescent="0.4">
      <c r="A87" s="114" t="s">
        <v>1431</v>
      </c>
      <c r="B87" s="114" t="s">
        <v>269</v>
      </c>
      <c r="D87" s="114">
        <f>VLOOKUP($B87,Parts!$A:$G,IF(D$1="t",4,3),FALSE)*$C87</f>
        <v>0</v>
      </c>
      <c r="E87" s="114">
        <f>VLOOKUP($B87,Parts!$A:$G,IF(E$1="t",4,3),FALSE)*$C87</f>
        <v>0</v>
      </c>
      <c r="F87" s="114">
        <f>IFERROR(IF(A87=B87,0,VLOOKUP(A87,Other_Summary!A:E,2,FALSE))*C87,0)</f>
        <v>0</v>
      </c>
    </row>
    <row r="88" spans="1:6" x14ac:dyDescent="0.4">
      <c r="A88" s="114" t="s">
        <v>1431</v>
      </c>
      <c r="B88" s="114" t="s">
        <v>1035</v>
      </c>
      <c r="C88" s="114">
        <v>1</v>
      </c>
      <c r="D88" s="114">
        <f>VLOOKUP($B88,Parts!$A:$G,IF(D$1="t",4,3),FALSE)*$C88</f>
        <v>0.5</v>
      </c>
      <c r="E88" s="114">
        <f>VLOOKUP($B88,Parts!$A:$G,IF(E$1="t",4,3),FALSE)*$C88</f>
        <v>0</v>
      </c>
      <c r="F88" s="114">
        <f>IFERROR(IF(A88=B88,0,VLOOKUP(A88,Other_Summary!A:E,2,FALSE))*C88,0)</f>
        <v>0</v>
      </c>
    </row>
    <row r="89" spans="1:6" x14ac:dyDescent="0.4">
      <c r="A89" s="114" t="s">
        <v>1431</v>
      </c>
      <c r="B89" s="114" t="s">
        <v>239</v>
      </c>
      <c r="C89" s="114">
        <v>1</v>
      </c>
      <c r="D89" s="114">
        <f>VLOOKUP($B89,Parts!$A:$G,IF(D$1="t",4,3),FALSE)*$C89</f>
        <v>1</v>
      </c>
      <c r="E89" s="114">
        <f>VLOOKUP($B89,Parts!$A:$G,IF(E$1="t",4,3),FALSE)*$C89</f>
        <v>0</v>
      </c>
      <c r="F89" s="114">
        <f>IFERROR(IF(A89=B89,0,VLOOKUP(A89,Other_Summary!A:E,2,FALSE))*C89,0)</f>
        <v>0</v>
      </c>
    </row>
    <row r="90" spans="1:6" x14ac:dyDescent="0.4">
      <c r="A90" s="114" t="s">
        <v>1036</v>
      </c>
      <c r="B90" s="114" t="s">
        <v>1036</v>
      </c>
      <c r="C90" s="114" t="s">
        <v>639</v>
      </c>
      <c r="D90" s="114">
        <f>SUM(D91)</f>
        <v>0</v>
      </c>
      <c r="E90" s="114">
        <f>SUM(E91)</f>
        <v>0</v>
      </c>
      <c r="F90" s="114">
        <f>IFERROR(IF(A90=B90,0,VLOOKUP(A90,Other_Summary!A:E,2,FALSE))*C90,0)</f>
        <v>0</v>
      </c>
    </row>
    <row r="91" spans="1:6" x14ac:dyDescent="0.4">
      <c r="A91" s="114" t="s">
        <v>1036</v>
      </c>
      <c r="B91" s="114" t="s">
        <v>267</v>
      </c>
      <c r="D91" s="114">
        <f>VLOOKUP($B91,Parts!$A:$G,IF(D$1="t",4,3),FALSE)*$C91</f>
        <v>0</v>
      </c>
      <c r="E91" s="114">
        <f>VLOOKUP($B91,Parts!$A:$G,IF(E$1="t",4,3),FALSE)*$C91</f>
        <v>0</v>
      </c>
      <c r="F91" s="114">
        <f>IFERROR(IF(A91=B91,0,VLOOKUP(A91,Other_Summary!A:E,2,FALSE))*C91,0)</f>
        <v>0</v>
      </c>
    </row>
    <row r="92" spans="1:6" x14ac:dyDescent="0.4">
      <c r="A92" s="114" t="s">
        <v>1029</v>
      </c>
      <c r="B92" s="114" t="s">
        <v>1029</v>
      </c>
      <c r="D92" s="114">
        <f>SUM(D93:D96)</f>
        <v>2</v>
      </c>
      <c r="E92" s="114">
        <f>SUM(E93:E96)</f>
        <v>28.25</v>
      </c>
      <c r="F92" s="114">
        <f>IFERROR(IF(A92=B92,0,VLOOKUP(A92,Other_Summary!A:E,2,FALSE))*C92,0)</f>
        <v>0</v>
      </c>
    </row>
    <row r="93" spans="1:6" x14ac:dyDescent="0.4">
      <c r="A93" s="114" t="s">
        <v>1029</v>
      </c>
      <c r="B93" s="114" t="s">
        <v>1038</v>
      </c>
      <c r="C93" s="114">
        <v>1</v>
      </c>
      <c r="D93" s="114">
        <f>VLOOKUP($B93,Parts!$A:$G,IF(D$1="t",4,3),FALSE)*$C93</f>
        <v>1</v>
      </c>
      <c r="E93" s="114">
        <f>VLOOKUP($B93,Parts!$A:$G,IF(E$1="t",4,3),FALSE)*$C93</f>
        <v>0</v>
      </c>
      <c r="F93" s="114">
        <f>IFERROR(IF(A93=B93,0,VLOOKUP(A93,Other_Summary!A:E,2,FALSE))*C93,0)</f>
        <v>0</v>
      </c>
    </row>
    <row r="94" spans="1:6" x14ac:dyDescent="0.4">
      <c r="A94" s="114" t="s">
        <v>1029</v>
      </c>
      <c r="B94" s="114" t="s">
        <v>1018</v>
      </c>
      <c r="C94" s="114">
        <v>1</v>
      </c>
      <c r="D94" s="114">
        <f>VLOOKUP($B94,Parts!$A:$G,IF(D$1="t",4,3),FALSE)*$C94</f>
        <v>1</v>
      </c>
      <c r="E94" s="114">
        <f>VLOOKUP($B94,Parts!$A:$G,IF(E$1="t",4,3),FALSE)*$C94</f>
        <v>0</v>
      </c>
      <c r="F94" s="114">
        <f>IFERROR(IF(A94=B94,0,VLOOKUP(A94,Other_Summary!A:E,2,FALSE))*C94,0)</f>
        <v>0</v>
      </c>
    </row>
    <row r="95" spans="1:6" x14ac:dyDescent="0.4">
      <c r="A95" s="114" t="s">
        <v>1029</v>
      </c>
      <c r="B95" s="114" t="s">
        <v>253</v>
      </c>
      <c r="C95" s="114">
        <v>1</v>
      </c>
      <c r="D95" s="114">
        <f>VLOOKUP($B95,Parts!$A:$G,IF(D$1="t",4,3),FALSE)*$C95</f>
        <v>0</v>
      </c>
      <c r="E95" s="114">
        <f>VLOOKUP($B95,Parts!$A:$G,IF(E$1="t",4,3),FALSE)*$C95</f>
        <v>8.4499999999999993</v>
      </c>
      <c r="F95" s="114">
        <f>IFERROR(IF(A95=B95,0,VLOOKUP(A95,Other_Summary!A:E,2,FALSE))*C95,0)</f>
        <v>0</v>
      </c>
    </row>
    <row r="96" spans="1:6" x14ac:dyDescent="0.4">
      <c r="A96" s="114" t="s">
        <v>1029</v>
      </c>
      <c r="B96" s="114" t="s">
        <v>998</v>
      </c>
      <c r="C96" s="114">
        <v>1</v>
      </c>
      <c r="D96" s="114">
        <f>VLOOKUP($B96,Parts!$A:$G,IF(D$1="t",4,3),FALSE)*$C96</f>
        <v>0</v>
      </c>
      <c r="E96" s="114">
        <f>VLOOKUP($B96,Parts!$A:$G,IF(E$1="t",4,3),FALSE)*$C96</f>
        <v>19.8</v>
      </c>
      <c r="F96" s="114">
        <f>IFERROR(IF(A96=B96,0,VLOOKUP(A96,Other_Summary!A:E,2,FALSE))*C96,0)</f>
        <v>0</v>
      </c>
    </row>
    <row r="97" spans="1:6" x14ac:dyDescent="0.4">
      <c r="A97" s="114" t="s">
        <v>1030</v>
      </c>
      <c r="B97" s="114" t="s">
        <v>1030</v>
      </c>
      <c r="D97" s="114">
        <f>SUM(D98:D102)</f>
        <v>1</v>
      </c>
      <c r="E97" s="114">
        <f>SUM(E98:E102)</f>
        <v>89.9</v>
      </c>
      <c r="F97" s="114">
        <f>IFERROR(IF(A97=B97,0,VLOOKUP(A97,Other_Summary!A:E,2,FALSE))*C97,0)</f>
        <v>0</v>
      </c>
    </row>
    <row r="98" spans="1:6" x14ac:dyDescent="0.4">
      <c r="A98" s="114" t="s">
        <v>1030</v>
      </c>
      <c r="B98" s="114" t="s">
        <v>266</v>
      </c>
      <c r="D98" s="114">
        <f>VLOOKUP($B98,Parts!$A:$G,IF(D$1="t",4,3),FALSE)*$C98</f>
        <v>0</v>
      </c>
      <c r="E98" s="114">
        <f>VLOOKUP($B98,Parts!$A:$G,IF(E$1="t",4,3),FALSE)*$C98</f>
        <v>0</v>
      </c>
      <c r="F98" s="114">
        <f>IFERROR(IF(A98=B98,0,VLOOKUP(A98,Other_Summary!A:E,2,FALSE))*C98,0)</f>
        <v>0</v>
      </c>
    </row>
    <row r="99" spans="1:6" x14ac:dyDescent="0.4">
      <c r="A99" s="114" t="s">
        <v>1030</v>
      </c>
      <c r="B99" s="114" t="s">
        <v>1039</v>
      </c>
      <c r="C99" s="114">
        <v>1</v>
      </c>
      <c r="D99" s="114">
        <f>VLOOKUP($B99,Parts!$A:$G,IF(D$1="t",4,3),FALSE)*$C99</f>
        <v>0</v>
      </c>
      <c r="E99" s="114">
        <f>VLOOKUP($B99,Parts!$A:$G,IF(E$1="t",4,3),FALSE)*$C99</f>
        <v>46.46</v>
      </c>
      <c r="F99" s="114">
        <f>IFERROR(IF(A99=B99,0,VLOOKUP(A99,Other_Summary!A:E,2,FALSE))*C99,0)</f>
        <v>0</v>
      </c>
    </row>
    <row r="100" spans="1:6" x14ac:dyDescent="0.4">
      <c r="A100" s="114" t="s">
        <v>1030</v>
      </c>
      <c r="B100" s="114" t="s">
        <v>1040</v>
      </c>
      <c r="C100" s="114">
        <v>1</v>
      </c>
      <c r="D100" s="114">
        <f>VLOOKUP($B100,Parts!$A:$G,IF(D$1="t",4,3),FALSE)*$C100</f>
        <v>0</v>
      </c>
      <c r="E100" s="114">
        <f>VLOOKUP($B100,Parts!$A:$G,IF(E$1="t",4,3),FALSE)*$C100</f>
        <v>43.44</v>
      </c>
      <c r="F100" s="114">
        <f>IFERROR(IF(A100=B100,0,VLOOKUP(A100,Other_Summary!A:E,2,FALSE))*C100,0)</f>
        <v>0</v>
      </c>
    </row>
    <row r="101" spans="1:6" x14ac:dyDescent="0.4">
      <c r="A101" s="114" t="s">
        <v>1030</v>
      </c>
      <c r="B101" s="114" t="s">
        <v>1018</v>
      </c>
      <c r="C101" s="114">
        <v>1</v>
      </c>
      <c r="D101" s="114">
        <f>VLOOKUP($B101,Parts!$A:$G,IF(D$1="t",4,3),FALSE)*$C101</f>
        <v>1</v>
      </c>
      <c r="E101" s="114">
        <f>VLOOKUP($B101,Parts!$A:$G,IF(E$1="t",4,3),FALSE)*$C101</f>
        <v>0</v>
      </c>
      <c r="F101" s="114">
        <f>IFERROR(IF(A101=B101,0,VLOOKUP(A101,Other_Summary!A:E,2,FALSE))*C101,0)</f>
        <v>0</v>
      </c>
    </row>
    <row r="102" spans="1:6" x14ac:dyDescent="0.4">
      <c r="A102" s="114" t="s">
        <v>1030</v>
      </c>
      <c r="B102" s="114" t="s">
        <v>269</v>
      </c>
      <c r="D102" s="114">
        <f>VLOOKUP($B102,Parts!$A:$G,IF(D$1="t",4,3),FALSE)*$C102</f>
        <v>0</v>
      </c>
      <c r="E102" s="114">
        <f>VLOOKUP($B102,Parts!$A:$G,IF(E$1="t",4,3),FALSE)*$C102</f>
        <v>0</v>
      </c>
      <c r="F102" s="114">
        <f>IFERROR(IF(A102=B102,0,VLOOKUP(A102,Other_Summary!A:E,2,FALSE))*C102,0)</f>
        <v>0</v>
      </c>
    </row>
    <row r="103" spans="1:6" x14ac:dyDescent="0.4">
      <c r="A103" s="114" t="s">
        <v>1026</v>
      </c>
      <c r="B103" s="114" t="s">
        <v>1026</v>
      </c>
      <c r="D103" s="114">
        <f>SUM(D104:D107)</f>
        <v>1</v>
      </c>
      <c r="E103" s="114">
        <f>SUM(E104:E107)</f>
        <v>8.4499999999999993</v>
      </c>
      <c r="F103" s="114">
        <f>IFERROR(IF(A103=B103,0,VLOOKUP(A103,Other_Summary!A:E,2,FALSE))*C103,0)</f>
        <v>0</v>
      </c>
    </row>
    <row r="104" spans="1:6" x14ac:dyDescent="0.4">
      <c r="A104" s="114" t="s">
        <v>1026</v>
      </c>
      <c r="B104" s="114" t="s">
        <v>350</v>
      </c>
      <c r="C104" s="114">
        <v>1</v>
      </c>
      <c r="D104" s="114">
        <f>VLOOKUP($B104,Parts!$A:$G,IF(D$1="t",4,3),FALSE)*$C104</f>
        <v>1</v>
      </c>
      <c r="E104" s="114">
        <f>VLOOKUP($B104,Parts!$A:$G,IF(E$1="t",4,3),FALSE)*$C104</f>
        <v>0</v>
      </c>
      <c r="F104" s="114">
        <f>IFERROR(IF(A104=B104,0,VLOOKUP(A104,Other_Summary!A:E,2,FALSE))*C104,0)</f>
        <v>0</v>
      </c>
    </row>
    <row r="105" spans="1:6" x14ac:dyDescent="0.4">
      <c r="A105" s="114" t="s">
        <v>1026</v>
      </c>
      <c r="B105" s="114" t="s">
        <v>253</v>
      </c>
      <c r="C105" s="114">
        <v>1</v>
      </c>
      <c r="D105" s="114">
        <f>VLOOKUP($B105,Parts!$A:$G,IF(D$1="t",4,3),FALSE)*$C105</f>
        <v>0</v>
      </c>
      <c r="E105" s="114">
        <f>VLOOKUP($B105,Parts!$A:$G,IF(E$1="t",4,3),FALSE)*$C105</f>
        <v>8.4499999999999993</v>
      </c>
      <c r="F105" s="114">
        <f>IFERROR(IF(A105=B105,0,VLOOKUP(A105,Other_Summary!A:E,2,FALSE))*C105,0)</f>
        <v>0</v>
      </c>
    </row>
    <row r="106" spans="1:6" x14ac:dyDescent="0.4">
      <c r="A106" s="114" t="s">
        <v>1026</v>
      </c>
      <c r="B106" s="114" t="s">
        <v>360</v>
      </c>
      <c r="D106" s="114">
        <f>VLOOKUP($B106,Parts!$A:$G,IF(D$1="t",4,3),FALSE)*$C106</f>
        <v>0</v>
      </c>
      <c r="E106" s="114">
        <f>VLOOKUP($B106,Parts!$A:$G,IF(E$1="t",4,3),FALSE)*$C106</f>
        <v>0</v>
      </c>
      <c r="F106" s="114">
        <f>IFERROR(IF(A106=B106,0,VLOOKUP(A106,Other_Summary!A:E,2,FALSE))*C106,0)</f>
        <v>0</v>
      </c>
    </row>
    <row r="107" spans="1:6" x14ac:dyDescent="0.4">
      <c r="A107" s="114" t="s">
        <v>1026</v>
      </c>
      <c r="B107" s="114" t="s">
        <v>268</v>
      </c>
      <c r="D107" s="114">
        <f>VLOOKUP($B107,Parts!$A:$G,IF(D$1="t",4,3),FALSE)*$C107</f>
        <v>0</v>
      </c>
      <c r="E107" s="114">
        <f>VLOOKUP($B107,Parts!$A:$G,IF(E$1="t",4,3),FALSE)*$C107</f>
        <v>0</v>
      </c>
      <c r="F107" s="114">
        <f>IFERROR(IF(A107=B107,0,VLOOKUP(A107,Other_Summary!A:E,2,FALSE))*C107,0)</f>
        <v>0</v>
      </c>
    </row>
    <row r="108" spans="1:6" x14ac:dyDescent="0.4">
      <c r="A108" s="114" t="s">
        <v>1031</v>
      </c>
      <c r="B108" s="114" t="s">
        <v>1031</v>
      </c>
      <c r="D108" s="114">
        <f>SUM(D109:D115)</f>
        <v>1.75</v>
      </c>
      <c r="E108" s="114">
        <f>SUM(E109:E115)</f>
        <v>28.25</v>
      </c>
      <c r="F108" s="114">
        <f>IFERROR(IF(A108=B108,0,VLOOKUP(A108,Other_Summary!A:E,2,FALSE))*C108,0)</f>
        <v>0</v>
      </c>
    </row>
    <row r="109" spans="1:6" x14ac:dyDescent="0.4">
      <c r="A109" s="114" t="s">
        <v>1031</v>
      </c>
      <c r="B109" s="114" t="s">
        <v>253</v>
      </c>
      <c r="C109" s="114">
        <v>1</v>
      </c>
      <c r="D109" s="114">
        <f>VLOOKUP($B109,Parts!$A:$G,IF(D$1="t",4,3),FALSE)*$C109</f>
        <v>0</v>
      </c>
      <c r="E109" s="114">
        <f>VLOOKUP($B109,Parts!$A:$G,IF(E$1="t",4,3),FALSE)*$C109</f>
        <v>8.4499999999999993</v>
      </c>
      <c r="F109" s="114">
        <f>IFERROR(IF(A109=B109,0,VLOOKUP(A109,Other_Summary!A:E,2,FALSE))*C109,0)</f>
        <v>0</v>
      </c>
    </row>
    <row r="110" spans="1:6" x14ac:dyDescent="0.4">
      <c r="A110" s="114" t="s">
        <v>1031</v>
      </c>
      <c r="B110" s="114" t="s">
        <v>998</v>
      </c>
      <c r="C110" s="114">
        <v>1</v>
      </c>
      <c r="D110" s="114">
        <f>VLOOKUP($B110,Parts!$A:$G,IF(D$1="t",4,3),FALSE)*$C110</f>
        <v>0</v>
      </c>
      <c r="E110" s="114">
        <f>VLOOKUP($B110,Parts!$A:$G,IF(E$1="t",4,3),FALSE)*$C110</f>
        <v>19.8</v>
      </c>
      <c r="F110" s="114">
        <f>IFERROR(IF(A110=B110,0,VLOOKUP(A110,Other_Summary!A:E,2,FALSE))*C110,0)</f>
        <v>0</v>
      </c>
    </row>
    <row r="111" spans="1:6" x14ac:dyDescent="0.4">
      <c r="A111" s="114" t="s">
        <v>1031</v>
      </c>
      <c r="B111" s="114" t="s">
        <v>268</v>
      </c>
      <c r="D111" s="114">
        <f>VLOOKUP($B111,Parts!$A:$G,IF(D$1="t",4,3),FALSE)*$C111</f>
        <v>0</v>
      </c>
      <c r="E111" s="114">
        <f>VLOOKUP($B111,Parts!$A:$G,IF(E$1="t",4,3),FALSE)*$C111</f>
        <v>0</v>
      </c>
      <c r="F111" s="114">
        <f>IFERROR(IF(A111=B111,0,VLOOKUP(A111,Other_Summary!A:E,2,FALSE))*C111,0)</f>
        <v>0</v>
      </c>
    </row>
    <row r="112" spans="1:6" x14ac:dyDescent="0.4">
      <c r="A112" s="114" t="s">
        <v>1031</v>
      </c>
      <c r="B112" s="114" t="s">
        <v>269</v>
      </c>
      <c r="D112" s="114">
        <f>VLOOKUP($B112,Parts!$A:$G,IF(D$1="t",4,3),FALSE)*$C112</f>
        <v>0</v>
      </c>
      <c r="E112" s="114">
        <f>VLOOKUP($B112,Parts!$A:$G,IF(E$1="t",4,3),FALSE)*$C112</f>
        <v>0</v>
      </c>
      <c r="F112" s="114">
        <f>IFERROR(IF(A112=B112,0,VLOOKUP(A112,Other_Summary!A:E,2,FALSE))*C112,0)</f>
        <v>0</v>
      </c>
    </row>
    <row r="113" spans="1:6" x14ac:dyDescent="0.4">
      <c r="A113" s="114" t="s">
        <v>1031</v>
      </c>
      <c r="B113" s="114" t="s">
        <v>1035</v>
      </c>
      <c r="C113" s="114">
        <v>1</v>
      </c>
      <c r="D113" s="114">
        <f>VLOOKUP($B113,Parts!$A:$G,IF(D$1="t",4,3),FALSE)*$C113</f>
        <v>0.5</v>
      </c>
      <c r="E113" s="114">
        <f>VLOOKUP($B113,Parts!$A:$G,IF(E$1="t",4,3),FALSE)*$C113</f>
        <v>0</v>
      </c>
      <c r="F113" s="114">
        <f>IFERROR(IF(A113=B113,0,VLOOKUP(A113,Other_Summary!A:E,2,FALSE))*C113,0)</f>
        <v>0</v>
      </c>
    </row>
    <row r="114" spans="1:6" x14ac:dyDescent="0.4">
      <c r="A114" s="114" t="s">
        <v>1031</v>
      </c>
      <c r="B114" s="114" t="s">
        <v>239</v>
      </c>
      <c r="C114" s="114">
        <v>1</v>
      </c>
      <c r="D114" s="114">
        <f>VLOOKUP($B114,Parts!$A:$G,IF(D$1="t",4,3),FALSE)*$C114</f>
        <v>1</v>
      </c>
      <c r="E114" s="114">
        <f>VLOOKUP($B114,Parts!$A:$G,IF(E$1="t",4,3),FALSE)*$C114</f>
        <v>0</v>
      </c>
      <c r="F114" s="114">
        <f>IFERROR(IF(A114=B114,0,VLOOKUP(A114,Other_Summary!A:E,2,FALSE))*C114,0)</f>
        <v>0</v>
      </c>
    </row>
    <row r="115" spans="1:6" x14ac:dyDescent="0.4">
      <c r="A115" s="114" t="s">
        <v>1031</v>
      </c>
      <c r="B115" s="114" t="s">
        <v>301</v>
      </c>
      <c r="C115" s="114">
        <v>1</v>
      </c>
      <c r="D115" s="114">
        <f>VLOOKUP($B115,Parts!$A:$G,IF(D$1="t",4,3),FALSE)*$C115</f>
        <v>0.25</v>
      </c>
      <c r="E115" s="114">
        <f>VLOOKUP($B115,Parts!$A:$G,IF(E$1="t",4,3),FALSE)*$C115</f>
        <v>0</v>
      </c>
      <c r="F115" s="114">
        <f>IFERROR(IF(A115=B115,0,VLOOKUP(A115,Other_Summary!A:E,2,FALSE))*C115,0)</f>
        <v>0</v>
      </c>
    </row>
    <row r="116" spans="1:6" x14ac:dyDescent="0.4">
      <c r="A116" s="114" t="s">
        <v>1432</v>
      </c>
      <c r="B116" s="114" t="s">
        <v>1432</v>
      </c>
      <c r="D116" s="114">
        <f>SUM(D117:D118)</f>
        <v>0</v>
      </c>
      <c r="E116" s="114">
        <f>SUM(E117:E118)</f>
        <v>11.46</v>
      </c>
      <c r="F116" s="114">
        <f>IFERROR(IF(A116=B116,0,VLOOKUP(A116,Other_Summary!A:E,2,FALSE))*C116,0)</f>
        <v>0</v>
      </c>
    </row>
    <row r="117" spans="1:6" x14ac:dyDescent="0.4">
      <c r="A117" s="114" t="s">
        <v>1432</v>
      </c>
      <c r="B117" s="114" t="s">
        <v>268</v>
      </c>
      <c r="D117" s="114">
        <f>VLOOKUP($B117,Parts!$A:$G,IF(D$1="t",4,3),FALSE)*$C117</f>
        <v>0</v>
      </c>
      <c r="E117" s="114">
        <f>VLOOKUP($B117,Parts!$A:$G,IF(E$1="t",4,3),FALSE)*$C117</f>
        <v>0</v>
      </c>
      <c r="F117" s="114">
        <f>IFERROR(IF(A117=B117,0,VLOOKUP(A117,Other_Summary!A:E,2,FALSE))*C117,0)</f>
        <v>0</v>
      </c>
    </row>
    <row r="118" spans="1:6" x14ac:dyDescent="0.4">
      <c r="A118" s="114" t="s">
        <v>1432</v>
      </c>
      <c r="B118" s="114" t="s">
        <v>1023</v>
      </c>
      <c r="C118" s="114">
        <v>1</v>
      </c>
      <c r="D118" s="114">
        <f>VLOOKUP($B118,Parts!$A:$G,IF(D$1="t",4,3),FALSE)*$C118</f>
        <v>0</v>
      </c>
      <c r="E118" s="114">
        <f>VLOOKUP($B118,Parts!$A:$G,IF(E$1="t",4,3),FALSE)*$C118</f>
        <v>11.46</v>
      </c>
      <c r="F118" s="114">
        <f>IFERROR(IF(A118=B118,0,VLOOKUP(A118,Other_Summary!A:E,2,FALSE))*C118,0)</f>
        <v>0</v>
      </c>
    </row>
    <row r="119" spans="1:6" x14ac:dyDescent="0.4">
      <c r="A119" s="114" t="s">
        <v>1048</v>
      </c>
      <c r="B119" s="114" t="s">
        <v>1048</v>
      </c>
      <c r="D119" s="114">
        <f>SUM(D120:D123)</f>
        <v>0</v>
      </c>
      <c r="E119" s="114">
        <f>SUM(E120:E123)</f>
        <v>89.9</v>
      </c>
      <c r="F119" s="114">
        <f>IFERROR(IF(A119=B119,0,VLOOKUP(A119,Other_Summary!A:E,2,FALSE))*C119,0)</f>
        <v>0</v>
      </c>
    </row>
    <row r="120" spans="1:6" x14ac:dyDescent="0.4">
      <c r="A120" s="114" t="s">
        <v>1048</v>
      </c>
      <c r="B120" s="114" t="s">
        <v>267</v>
      </c>
      <c r="D120" s="114">
        <f>VLOOKUP($B120,Parts!$A:$G,IF(D$1="t",4,3),FALSE)*$C120</f>
        <v>0</v>
      </c>
      <c r="E120" s="114">
        <f>VLOOKUP($B120,Parts!$A:$G,IF(E$1="t",4,3),FALSE)*$C120</f>
        <v>0</v>
      </c>
      <c r="F120" s="114">
        <f>IFERROR(IF(A120=B120,0,VLOOKUP(A120,Other_Summary!A:E,2,FALSE))*C120,0)</f>
        <v>0</v>
      </c>
    </row>
    <row r="121" spans="1:6" x14ac:dyDescent="0.4">
      <c r="A121" s="114" t="s">
        <v>1048</v>
      </c>
      <c r="B121" s="114" t="s">
        <v>1039</v>
      </c>
      <c r="C121" s="114">
        <v>1</v>
      </c>
      <c r="D121" s="114">
        <f>VLOOKUP($B121,Parts!$A:$G,IF(D$1="t",4,3),FALSE)*$C121</f>
        <v>0</v>
      </c>
      <c r="E121" s="114">
        <f>VLOOKUP($B121,Parts!$A:$G,IF(E$1="t",4,3),FALSE)*$C121</f>
        <v>46.46</v>
      </c>
      <c r="F121" s="114">
        <f>IFERROR(IF(A121=B121,0,VLOOKUP(A121,Other_Summary!A:E,2,FALSE))*C121,0)</f>
        <v>0</v>
      </c>
    </row>
    <row r="122" spans="1:6" x14ac:dyDescent="0.4">
      <c r="A122" s="114" t="s">
        <v>1048</v>
      </c>
      <c r="B122" s="114" t="s">
        <v>1040</v>
      </c>
      <c r="C122" s="114">
        <v>1</v>
      </c>
      <c r="D122" s="114">
        <f>VLOOKUP($B122,Parts!$A:$G,IF(D$1="t",4,3),FALSE)*$C122</f>
        <v>0</v>
      </c>
      <c r="E122" s="114">
        <f>VLOOKUP($B122,Parts!$A:$G,IF(E$1="t",4,3),FALSE)*$C122</f>
        <v>43.44</v>
      </c>
      <c r="F122" s="114">
        <f>IFERROR(IF(A122=B122,0,VLOOKUP(A122,Other_Summary!A:E,2,FALSE))*C122,0)</f>
        <v>0</v>
      </c>
    </row>
    <row r="123" spans="1:6" x14ac:dyDescent="0.4">
      <c r="A123" s="114" t="s">
        <v>886</v>
      </c>
      <c r="B123" s="114" t="s">
        <v>886</v>
      </c>
      <c r="C123" s="114">
        <v>0</v>
      </c>
      <c r="D123" s="114">
        <v>0</v>
      </c>
      <c r="E123" s="114">
        <v>0</v>
      </c>
      <c r="F123" s="114">
        <f>IFERROR(IF(A123=B123,0,VLOOKUP(A123,Other_Summary!A:E,2,FALSE))*C123,0)</f>
        <v>0</v>
      </c>
    </row>
    <row r="124" spans="1:6" x14ac:dyDescent="0.4">
      <c r="A124" s="114" t="s">
        <v>1299</v>
      </c>
      <c r="B124" s="114" t="s">
        <v>1299</v>
      </c>
      <c r="D124" s="114">
        <f>SUM(D125:D134)</f>
        <v>1</v>
      </c>
      <c r="E124" s="114">
        <f>SUM(E125:E134)</f>
        <v>726.90000000000009</v>
      </c>
      <c r="F124" s="114">
        <f>IFERROR(IF(A124=B124,0,VLOOKUP(A124,Other_Summary!A:E,2,FALSE))*C124,0)</f>
        <v>0</v>
      </c>
    </row>
    <row r="125" spans="1:6" x14ac:dyDescent="0.4">
      <c r="A125" s="114" t="s">
        <v>1299</v>
      </c>
      <c r="B125" s="114" t="s">
        <v>1039</v>
      </c>
      <c r="C125" s="114">
        <v>1</v>
      </c>
      <c r="D125" s="114">
        <f>VLOOKUP($B125,Parts!$A:$G,IF(D$1="t",4,3),FALSE)*$C125</f>
        <v>0</v>
      </c>
      <c r="E125" s="114">
        <f>VLOOKUP($B125,Parts!$A:$G,IF(E$1="t",4,3),FALSE)*$C125</f>
        <v>46.46</v>
      </c>
      <c r="F125" s="114">
        <f>IFERROR(IF(A125=B125,0,VLOOKUP(A125,Other_Summary!A:E,2,FALSE))*C125,0)</f>
        <v>0</v>
      </c>
    </row>
    <row r="126" spans="1:6" x14ac:dyDescent="0.4">
      <c r="A126" s="114" t="s">
        <v>1299</v>
      </c>
      <c r="B126" s="114" t="s">
        <v>1040</v>
      </c>
      <c r="C126" s="114">
        <v>1</v>
      </c>
      <c r="D126" s="114">
        <f>VLOOKUP($B126,Parts!$A:$G,IF(D$1="t",4,3),FALSE)*$C126</f>
        <v>0</v>
      </c>
      <c r="E126" s="114">
        <f>VLOOKUP($B126,Parts!$A:$G,IF(E$1="t",4,3),FALSE)*$C126</f>
        <v>43.44</v>
      </c>
      <c r="F126" s="114">
        <f>IFERROR(IF(A126=B126,0,VLOOKUP(A126,Other_Summary!A:E,2,FALSE))*C126,0)</f>
        <v>0</v>
      </c>
    </row>
    <row r="127" spans="1:6" x14ac:dyDescent="0.4">
      <c r="A127" s="114" t="s">
        <v>1299</v>
      </c>
      <c r="B127" s="114" t="s">
        <v>304</v>
      </c>
      <c r="C127" s="114">
        <v>1</v>
      </c>
      <c r="D127" s="114">
        <f>VLOOKUP($B127,Parts!$A:$G,IF(D$1="t",4,3),FALSE)*$C127</f>
        <v>1</v>
      </c>
      <c r="E127" s="114">
        <f>VLOOKUP($B127,Parts!$A:$G,IF(E$1="t",4,3),FALSE)*$C127</f>
        <v>57.95</v>
      </c>
      <c r="F127" s="114">
        <f>IFERROR(IF(A127=B127,0,VLOOKUP(A127,Other_Summary!A:E,2,FALSE))*C127,0)</f>
        <v>0</v>
      </c>
    </row>
    <row r="128" spans="1:6" x14ac:dyDescent="0.4">
      <c r="A128" s="114" t="s">
        <v>1299</v>
      </c>
      <c r="B128" s="114" t="s">
        <v>1344</v>
      </c>
      <c r="C128" s="114">
        <v>1</v>
      </c>
      <c r="D128" s="114">
        <f>VLOOKUP($B128,Parts!$A:$G,IF(D$1="t",4,3),FALSE)*$C128</f>
        <v>0</v>
      </c>
      <c r="E128" s="114">
        <f>VLOOKUP($B128,Parts!$A:$G,IF(E$1="t",4,3),FALSE)*$C128</f>
        <v>91.05</v>
      </c>
      <c r="F128" s="114">
        <f>IFERROR(IF(A128=B128,0,VLOOKUP(A128,Other_Summary!A:E,2,FALSE))*C128,0)</f>
        <v>0</v>
      </c>
    </row>
    <row r="129" spans="1:6" x14ac:dyDescent="0.4">
      <c r="A129" s="114" t="s">
        <v>1299</v>
      </c>
      <c r="B129" s="114" t="s">
        <v>1003</v>
      </c>
      <c r="C129" s="114">
        <v>2</v>
      </c>
      <c r="D129" s="114">
        <f>VLOOKUP($B129,Parts!$A:$G,IF(D$1="t",4,3),FALSE)*$C129</f>
        <v>0</v>
      </c>
      <c r="E129" s="114">
        <f>VLOOKUP($B129,Parts!$A:$G,IF(E$1="t",4,3),FALSE)*$C129</f>
        <v>32</v>
      </c>
      <c r="F129" s="114">
        <f>IFERROR(IF(A129=B129,0,VLOOKUP(A129,Other_Summary!A:E,2,FALSE))*C129,0)</f>
        <v>0</v>
      </c>
    </row>
    <row r="130" spans="1:6" x14ac:dyDescent="0.4">
      <c r="A130" s="114" t="s">
        <v>1299</v>
      </c>
      <c r="B130" s="114" t="s">
        <v>1004</v>
      </c>
      <c r="C130" s="114">
        <v>1</v>
      </c>
      <c r="D130" s="114">
        <f>VLOOKUP($B130,Parts!$A:$G,IF(D$1="t",4,3),FALSE)*$C130</f>
        <v>0</v>
      </c>
      <c r="E130" s="114">
        <f>VLOOKUP($B130,Parts!$A:$G,IF(E$1="t",4,3),FALSE)*$C130</f>
        <v>360</v>
      </c>
      <c r="F130" s="114">
        <f>IFERROR(IF(A130=B130,0,VLOOKUP(A130,Other_Summary!A:E,2,FALSE))*C130,0)</f>
        <v>0</v>
      </c>
    </row>
    <row r="131" spans="1:6" x14ac:dyDescent="0.4">
      <c r="A131" s="114" t="s">
        <v>1299</v>
      </c>
      <c r="B131" s="114" t="s">
        <v>1253</v>
      </c>
      <c r="C131" s="114">
        <v>1</v>
      </c>
      <c r="D131" s="114">
        <f>VLOOKUP($B131,Parts!$A:$G,IF(D$1="t",4,3),FALSE)*$C131</f>
        <v>0</v>
      </c>
      <c r="E131" s="114">
        <f>VLOOKUP($B131,Parts!$A:$G,IF(E$1="t",4,3),FALSE)*$C131</f>
        <v>60</v>
      </c>
      <c r="F131" s="114">
        <f>IFERROR(IF(A131=B131,0,VLOOKUP(A131,Other_Summary!A:E,2,FALSE))*C131,0)</f>
        <v>0</v>
      </c>
    </row>
    <row r="132" spans="1:6" x14ac:dyDescent="0.4">
      <c r="A132" s="114" t="s">
        <v>1299</v>
      </c>
      <c r="B132" s="114" t="s">
        <v>322</v>
      </c>
      <c r="C132" s="114">
        <v>1</v>
      </c>
      <c r="D132" s="114">
        <f>VLOOKUP($B132,Parts!$A:$G,IF(D$1="t",4,3),FALSE)*$C132</f>
        <v>0</v>
      </c>
      <c r="E132" s="114">
        <f>VLOOKUP($B132,Parts!$A:$G,IF(E$1="t",4,3),FALSE)*$C132</f>
        <v>0</v>
      </c>
      <c r="F132" s="114">
        <f>IFERROR(IF(A132=B132,0,VLOOKUP(A132,Other_Summary!A:E,2,FALSE))*C132,0)</f>
        <v>0</v>
      </c>
    </row>
    <row r="133" spans="1:6" x14ac:dyDescent="0.4">
      <c r="A133" s="114" t="s">
        <v>1299</v>
      </c>
      <c r="B133" s="114" t="s">
        <v>278</v>
      </c>
      <c r="C133" s="114">
        <v>1</v>
      </c>
      <c r="D133" s="114">
        <f>VLOOKUP($B133,Parts!$A:$G,IF(D$1="t",4,3),FALSE)*$C133</f>
        <v>0</v>
      </c>
      <c r="E133" s="114">
        <f>VLOOKUP($B133,Parts!$A:$G,IF(E$1="t",4,3),FALSE)*$C133</f>
        <v>36</v>
      </c>
      <c r="F133" s="114">
        <f>IFERROR(IF(A133=B133,0,VLOOKUP(A133,Other_Summary!A:E,2,FALSE))*C133,0)</f>
        <v>0</v>
      </c>
    </row>
    <row r="134" spans="1:6" x14ac:dyDescent="0.4">
      <c r="A134" s="114" t="s">
        <v>1299</v>
      </c>
      <c r="B134" s="114" t="s">
        <v>267</v>
      </c>
      <c r="D134" s="114">
        <f>VLOOKUP($B134,Parts!$A:$G,IF(D$1="t",4,3),FALSE)*$C134</f>
        <v>0</v>
      </c>
      <c r="E134" s="114">
        <f>VLOOKUP($B134,Parts!$A:$G,IF(E$1="t",4,3),FALSE)*$C134</f>
        <v>0</v>
      </c>
      <c r="F134" s="114">
        <f>IFERROR(IF(A134=B134,0,VLOOKUP(A134,Other_Summary!A:E,2,FALSE))*C134,0)</f>
        <v>0</v>
      </c>
    </row>
    <row r="135" spans="1:6" x14ac:dyDescent="0.4">
      <c r="A135" s="114" t="s">
        <v>1298</v>
      </c>
      <c r="B135" s="114" t="s">
        <v>1298</v>
      </c>
      <c r="D135" s="114">
        <f>SUM(D137:D145)</f>
        <v>1</v>
      </c>
      <c r="E135" s="114">
        <f>SUM(E137:E145)</f>
        <v>644.44000000000005</v>
      </c>
      <c r="F135" s="114">
        <f>IFERROR(IF(A135=B135,0,VLOOKUP(A135,Other_Summary!A:E,2,FALSE))*C135,0)</f>
        <v>0</v>
      </c>
    </row>
    <row r="136" spans="1:6" x14ac:dyDescent="0.4">
      <c r="A136" s="114" t="s">
        <v>1298</v>
      </c>
      <c r="B136" s="114" t="s">
        <v>1309</v>
      </c>
      <c r="F136" s="114">
        <f>IFERROR(IF(A136=B136,0,VLOOKUP(A136,Other_Summary!A:E,2,FALSE))*C136,0)</f>
        <v>0</v>
      </c>
    </row>
    <row r="137" spans="1:6" x14ac:dyDescent="0.4">
      <c r="A137" s="114" t="s">
        <v>1298</v>
      </c>
      <c r="B137" s="114" t="s">
        <v>1040</v>
      </c>
      <c r="C137" s="114">
        <v>1</v>
      </c>
      <c r="D137" s="114">
        <f>VLOOKUP($B137,Parts!$A:$G,IF(D$1="t",4,3),FALSE)*$C137</f>
        <v>0</v>
      </c>
      <c r="E137" s="114">
        <f>VLOOKUP($B137,Parts!$A:$G,IF(E$1="t",4,3),FALSE)*$C137</f>
        <v>43.44</v>
      </c>
      <c r="F137" s="114">
        <f>IFERROR(IF(A137=B137,0,VLOOKUP(A137,Other_Summary!A:E,2,FALSE))*C137,0)</f>
        <v>0</v>
      </c>
    </row>
    <row r="138" spans="1:6" x14ac:dyDescent="0.4">
      <c r="A138" s="114" t="s">
        <v>1298</v>
      </c>
      <c r="B138" s="114" t="s">
        <v>304</v>
      </c>
      <c r="C138" s="114">
        <v>1</v>
      </c>
      <c r="D138" s="114">
        <f>VLOOKUP($B138,Parts!$A:$G,IF(D$1="t",4,3),FALSE)*$C138</f>
        <v>1</v>
      </c>
      <c r="E138" s="114">
        <f>VLOOKUP($B138,Parts!$A:$G,IF(E$1="t",4,3),FALSE)*$C138</f>
        <v>57.95</v>
      </c>
      <c r="F138" s="114">
        <f>IFERROR(IF(A138=B138,0,VLOOKUP(A138,Other_Summary!A:E,2,FALSE))*C138,0)</f>
        <v>0</v>
      </c>
    </row>
    <row r="139" spans="1:6" x14ac:dyDescent="0.4">
      <c r="A139" s="114" t="s">
        <v>1298</v>
      </c>
      <c r="B139" s="114" t="s">
        <v>1344</v>
      </c>
      <c r="C139" s="114">
        <v>1</v>
      </c>
      <c r="D139" s="114">
        <f>VLOOKUP($B139,Parts!$A:$G,IF(D$1="t",4,3),FALSE)*$C139</f>
        <v>0</v>
      </c>
      <c r="E139" s="114">
        <f>VLOOKUP($B139,Parts!$A:$G,IF(E$1="t",4,3),FALSE)*$C139</f>
        <v>91.05</v>
      </c>
      <c r="F139" s="114">
        <f>IFERROR(IF(A139=B139,0,VLOOKUP(A139,Other_Summary!A:E,2,FALSE))*C139,0)</f>
        <v>0</v>
      </c>
    </row>
    <row r="140" spans="1:6" x14ac:dyDescent="0.4">
      <c r="A140" s="114" t="s">
        <v>1298</v>
      </c>
      <c r="B140" s="114" t="s">
        <v>1003</v>
      </c>
      <c r="C140" s="114">
        <v>2</v>
      </c>
      <c r="D140" s="114">
        <f>VLOOKUP($B140,Parts!$A:$G,IF(D$1="t",4,3),FALSE)*$C140</f>
        <v>0</v>
      </c>
      <c r="E140" s="114">
        <f>VLOOKUP($B140,Parts!$A:$G,IF(E$1="t",4,3),FALSE)*$C140</f>
        <v>32</v>
      </c>
      <c r="F140" s="114">
        <f>IFERROR(IF(A140=B140,0,VLOOKUP(A140,Other_Summary!A:E,2,FALSE))*C140,0)</f>
        <v>0</v>
      </c>
    </row>
    <row r="141" spans="1:6" x14ac:dyDescent="0.4">
      <c r="A141" s="114" t="s">
        <v>1298</v>
      </c>
      <c r="B141" s="114" t="s">
        <v>1004</v>
      </c>
      <c r="C141" s="114">
        <v>1</v>
      </c>
      <c r="D141" s="114">
        <f>VLOOKUP($B141,Parts!$A:$G,IF(D$1="t",4,3),FALSE)*$C141</f>
        <v>0</v>
      </c>
      <c r="E141" s="114">
        <f>VLOOKUP($B141,Parts!$A:$G,IF(E$1="t",4,3),FALSE)*$C141</f>
        <v>360</v>
      </c>
      <c r="F141" s="114">
        <f>IFERROR(IF(A141=B141,0,VLOOKUP(A141,Other_Summary!A:E,2,FALSE))*C141,0)</f>
        <v>0</v>
      </c>
    </row>
    <row r="142" spans="1:6" x14ac:dyDescent="0.4">
      <c r="A142" s="114" t="s">
        <v>1298</v>
      </c>
      <c r="B142" s="114" t="s">
        <v>1253</v>
      </c>
      <c r="C142" s="114">
        <v>1</v>
      </c>
      <c r="D142" s="114">
        <f>VLOOKUP($B142,Parts!$A:$G,IF(D$1="t",4,3),FALSE)*$C142</f>
        <v>0</v>
      </c>
      <c r="E142" s="114">
        <f>VLOOKUP($B142,Parts!$A:$G,IF(E$1="t",4,3),FALSE)*$C142</f>
        <v>60</v>
      </c>
      <c r="F142" s="114">
        <f>IFERROR(IF(A142=B142,0,VLOOKUP(A142,Other_Summary!A:E,2,FALSE))*C142,0)</f>
        <v>0</v>
      </c>
    </row>
    <row r="143" spans="1:6" x14ac:dyDescent="0.4">
      <c r="A143" s="114" t="s">
        <v>1298</v>
      </c>
      <c r="B143" s="114" t="s">
        <v>322</v>
      </c>
      <c r="C143" s="114">
        <v>1</v>
      </c>
      <c r="D143" s="114">
        <f>VLOOKUP($B143,Parts!$A:$G,IF(D$1="t",4,3),FALSE)*$C143</f>
        <v>0</v>
      </c>
      <c r="E143" s="114">
        <f>VLOOKUP($B143,Parts!$A:$G,IF(E$1="t",4,3),FALSE)*$C143</f>
        <v>0</v>
      </c>
      <c r="F143" s="114">
        <f>IFERROR(IF(A143=B143,0,VLOOKUP(A143,Other_Summary!A:E,2,FALSE))*C143,0)</f>
        <v>0</v>
      </c>
    </row>
    <row r="144" spans="1:6" x14ac:dyDescent="0.4">
      <c r="A144" s="114" t="s">
        <v>1298</v>
      </c>
      <c r="B144" s="441" t="s">
        <v>269</v>
      </c>
      <c r="D144" s="114">
        <f>VLOOKUP($B144,Parts!$A:$G,IF(D$1="t",4,3),FALSE)*$C144</f>
        <v>0</v>
      </c>
      <c r="E144" s="114">
        <f>VLOOKUP($B144,Parts!$A:$G,IF(E$1="t",4,3),FALSE)*$C144</f>
        <v>0</v>
      </c>
      <c r="F144" s="114">
        <f>IFERROR(IF(A144=B144,0,VLOOKUP(A144,Other_Summary!A:E,2,FALSE))*C144,0)</f>
        <v>0</v>
      </c>
    </row>
    <row r="145" spans="1:6" x14ac:dyDescent="0.4">
      <c r="A145" s="114" t="s">
        <v>1298</v>
      </c>
      <c r="B145" s="114" t="s">
        <v>267</v>
      </c>
      <c r="D145" s="114">
        <f>VLOOKUP($B145,Parts!$A:$G,IF(D$1="t",4,3),FALSE)*$C145</f>
        <v>0</v>
      </c>
      <c r="E145" s="114">
        <f>VLOOKUP($B145,Parts!$A:$G,IF(E$1="t",4,3),FALSE)*$C145</f>
        <v>0</v>
      </c>
      <c r="F145" s="114">
        <f>IFERROR(IF(A145=B145,0,VLOOKUP(A145,Other_Summary!A:E,2,FALSE))*C145,0)</f>
        <v>0</v>
      </c>
    </row>
    <row r="146" spans="1:6" x14ac:dyDescent="0.4">
      <c r="A146" s="114" t="s">
        <v>1300</v>
      </c>
      <c r="B146" s="114" t="s">
        <v>1300</v>
      </c>
      <c r="D146" s="114">
        <v>9999</v>
      </c>
      <c r="E146" s="114">
        <v>9999</v>
      </c>
      <c r="F146" s="114">
        <f>IFERROR(IF(A146=B146,0,VLOOKUP(A146,Other_Summary!A:E,2,FALSE))*C146,0)</f>
        <v>0</v>
      </c>
    </row>
    <row r="147" spans="1:6" x14ac:dyDescent="0.4">
      <c r="A147" s="114" t="s">
        <v>1301</v>
      </c>
      <c r="B147" s="114" t="s">
        <v>1301</v>
      </c>
      <c r="D147" s="114">
        <f>SUM(D148:D152)</f>
        <v>1</v>
      </c>
      <c r="E147" s="114">
        <f>SUM(E148:E152)</f>
        <v>584.44000000000005</v>
      </c>
      <c r="F147" s="114">
        <f>IFERROR(IF(A147=B147,0,VLOOKUP(A147,Other_Summary!A:E,2,FALSE))*C147,0)</f>
        <v>0</v>
      </c>
    </row>
    <row r="148" spans="1:6" x14ac:dyDescent="0.4">
      <c r="A148" s="114" t="s">
        <v>1301</v>
      </c>
      <c r="B148" s="114" t="s">
        <v>1040</v>
      </c>
      <c r="C148" s="114">
        <v>1</v>
      </c>
      <c r="D148" s="114">
        <f>VLOOKUP($B148,Parts!$A:$G,IF(D$1="t",4,3),FALSE)*$C148</f>
        <v>0</v>
      </c>
      <c r="E148" s="114">
        <f>VLOOKUP($B148,Parts!$A:$G,IF(E$1="t",4,3),FALSE)*$C148</f>
        <v>43.44</v>
      </c>
      <c r="F148" s="114">
        <f>IFERROR(IF(A148=B148,0,VLOOKUP(A148,Other_Summary!A:E,2,FALSE))*C148,0)</f>
        <v>0</v>
      </c>
    </row>
    <row r="149" spans="1:6" x14ac:dyDescent="0.4">
      <c r="A149" s="114" t="s">
        <v>1301</v>
      </c>
      <c r="B149" s="114" t="s">
        <v>304</v>
      </c>
      <c r="C149" s="114">
        <v>1</v>
      </c>
      <c r="D149" s="114">
        <f>VLOOKUP($B149,Parts!$A:$G,IF(D$1="t",4,3),FALSE)*$C149</f>
        <v>1</v>
      </c>
      <c r="E149" s="114">
        <f>VLOOKUP($B149,Parts!$A:$G,IF(E$1="t",4,3),FALSE)*$C149</f>
        <v>57.95</v>
      </c>
      <c r="F149" s="114">
        <f>IFERROR(IF(A149=B149,0,VLOOKUP(A149,Other_Summary!A:E,2,FALSE))*C149,0)</f>
        <v>0</v>
      </c>
    </row>
    <row r="150" spans="1:6" x14ac:dyDescent="0.4">
      <c r="A150" s="114" t="s">
        <v>1301</v>
      </c>
      <c r="B150" s="114" t="s">
        <v>1344</v>
      </c>
      <c r="C150" s="114">
        <v>1</v>
      </c>
      <c r="D150" s="114">
        <f>VLOOKUP($B150,Parts!$A:$G,IF(D$1="t",4,3),FALSE)*$C150</f>
        <v>0</v>
      </c>
      <c r="E150" s="114">
        <f>VLOOKUP($B150,Parts!$A:$G,IF(E$1="t",4,3),FALSE)*$C150</f>
        <v>91.05</v>
      </c>
      <c r="F150" s="114">
        <f>IFERROR(IF(A150=B150,0,VLOOKUP(A150,Other_Summary!A:E,2,FALSE))*C150,0)</f>
        <v>0</v>
      </c>
    </row>
    <row r="151" spans="1:6" x14ac:dyDescent="0.4">
      <c r="A151" s="114" t="s">
        <v>1301</v>
      </c>
      <c r="B151" s="114" t="s">
        <v>1003</v>
      </c>
      <c r="C151" s="114">
        <v>2</v>
      </c>
      <c r="D151" s="114">
        <f>VLOOKUP($B151,Parts!$A:$G,IF(D$1="t",4,3),FALSE)*$C151</f>
        <v>0</v>
      </c>
      <c r="E151" s="114">
        <f>VLOOKUP($B151,Parts!$A:$G,IF(E$1="t",4,3),FALSE)*$C151</f>
        <v>32</v>
      </c>
      <c r="F151" s="114">
        <f>IFERROR(IF(A151=B151,0,VLOOKUP(A151,Other_Summary!A:E,2,FALSE))*C151,0)</f>
        <v>0</v>
      </c>
    </row>
    <row r="152" spans="1:6" x14ac:dyDescent="0.4">
      <c r="A152" s="114" t="s">
        <v>1301</v>
      </c>
      <c r="B152" s="114" t="s">
        <v>1004</v>
      </c>
      <c r="C152" s="114">
        <v>1</v>
      </c>
      <c r="D152" s="114">
        <f>VLOOKUP($B152,Parts!$A:$G,IF(D$1="t",4,3),FALSE)*$C152</f>
        <v>0</v>
      </c>
      <c r="E152" s="114">
        <f>VLOOKUP($B152,Parts!$A:$G,IF(E$1="t",4,3),FALSE)*$C152</f>
        <v>360</v>
      </c>
      <c r="F152" s="114">
        <f>IFERROR(IF(A152=B152,0,VLOOKUP(A152,Other_Summary!A:E,2,FALSE))*C152,0)</f>
        <v>0</v>
      </c>
    </row>
    <row r="153" spans="1:6" x14ac:dyDescent="0.4">
      <c r="A153" s="114" t="s">
        <v>1301</v>
      </c>
      <c r="B153" s="114" t="s">
        <v>268</v>
      </c>
      <c r="D153" s="114">
        <f>VLOOKUP($B153,Parts!$A:$G,IF(D$1="t",4,3),FALSE)*$C153</f>
        <v>0</v>
      </c>
      <c r="E153" s="114">
        <f>VLOOKUP($B153,Parts!$A:$G,IF(E$1="t",4,3),FALSE)*$C153</f>
        <v>0</v>
      </c>
      <c r="F153" s="114">
        <f>IFERROR(IF(A153=B153,0,VLOOKUP(A153,Other_Summary!A:E,2,FALSE))*C153,0)</f>
        <v>0</v>
      </c>
    </row>
    <row r="154" spans="1:6" x14ac:dyDescent="0.4">
      <c r="A154" s="114" t="s">
        <v>1301</v>
      </c>
      <c r="B154" s="114" t="s">
        <v>418</v>
      </c>
      <c r="D154" s="114">
        <f>VLOOKUP($B154,Parts!$A:$G,IF(D$1="t",4,3),FALSE)*$C154</f>
        <v>0</v>
      </c>
      <c r="E154" s="114">
        <f>VLOOKUP($B154,Parts!$A:$G,IF(E$1="t",4,3),FALSE)*$C154</f>
        <v>0</v>
      </c>
      <c r="F154" s="114">
        <f>IFERROR(IF(A154=B154,0,VLOOKUP(A154,Other_Summary!A:E,2,FALSE))*C154,0)</f>
        <v>0</v>
      </c>
    </row>
    <row r="155" spans="1:6" x14ac:dyDescent="0.4">
      <c r="A155" s="114" t="s">
        <v>1296</v>
      </c>
      <c r="B155" s="114" t="s">
        <v>1296</v>
      </c>
      <c r="D155" s="114">
        <f>SUM(D156:D157)</f>
        <v>1</v>
      </c>
      <c r="E155" s="114">
        <f>SUM(E156:E157)</f>
        <v>276</v>
      </c>
      <c r="F155" s="114">
        <f>IFERROR(IF(A155=B155,0,VLOOKUP(A155,Other_Summary!A:E,2,FALSE))*C155,0)</f>
        <v>0</v>
      </c>
    </row>
    <row r="156" spans="1:6" x14ac:dyDescent="0.4">
      <c r="A156" s="114" t="s">
        <v>1296</v>
      </c>
      <c r="B156" s="114" t="s">
        <v>325</v>
      </c>
      <c r="C156" s="114">
        <v>1</v>
      </c>
      <c r="D156" s="114">
        <f>VLOOKUP($B156,Parts!$A:$G,IF(D$1="t",4,3),FALSE)*$C156</f>
        <v>1</v>
      </c>
      <c r="E156" s="114">
        <f>VLOOKUP($B156,Parts!$A:$G,IF(E$1="t",4,3),FALSE)*$C156</f>
        <v>240</v>
      </c>
      <c r="F156" s="114">
        <f>IFERROR(IF(A156=B156,0,VLOOKUP(A156,Other_Summary!A:E,2,FALSE))*C156,0)</f>
        <v>0</v>
      </c>
    </row>
    <row r="157" spans="1:6" x14ac:dyDescent="0.4">
      <c r="A157" s="114" t="s">
        <v>1296</v>
      </c>
      <c r="B157" s="114" t="s">
        <v>278</v>
      </c>
      <c r="C157" s="114">
        <v>1</v>
      </c>
      <c r="D157" s="114">
        <f>VLOOKUP($B157,Parts!$A:$G,IF(D$1="t",4,3),FALSE)*$C157</f>
        <v>0</v>
      </c>
      <c r="E157" s="114">
        <f>VLOOKUP($B157,Parts!$A:$G,IF(E$1="t",4,3),FALSE)*$C157</f>
        <v>36</v>
      </c>
      <c r="F157" s="114">
        <f>IFERROR(IF(A157=B157,0,VLOOKUP(A157,Other_Summary!A:E,2,FALSE))*C157,0)</f>
        <v>0</v>
      </c>
    </row>
    <row r="158" spans="1:6" x14ac:dyDescent="0.4">
      <c r="A158" s="114" t="s">
        <v>1434</v>
      </c>
      <c r="B158" s="114" t="s">
        <v>1434</v>
      </c>
      <c r="D158" s="114">
        <f>SUM(D159:D160)</f>
        <v>2</v>
      </c>
      <c r="E158" s="114">
        <f>SUM(E159:E160)</f>
        <v>587.66000000000008</v>
      </c>
      <c r="F158" s="114">
        <f>IFERROR(IF(A158=B158,0,VLOOKUP(A158,Other_Summary!A:E,2,FALSE))*C158,0)</f>
        <v>0</v>
      </c>
    </row>
    <row r="159" spans="1:6" x14ac:dyDescent="0.4">
      <c r="A159" s="114" t="s">
        <v>1434</v>
      </c>
      <c r="B159" s="114" t="s">
        <v>1306</v>
      </c>
      <c r="C159" s="114">
        <v>1</v>
      </c>
      <c r="D159" s="114">
        <f>VLOOKUP($B159,Parts!$A:$G,IF(D$1="t",4,3),FALSE)*$C159</f>
        <v>2</v>
      </c>
      <c r="E159" s="114">
        <f>VLOOKUP($B159,Parts!$A:$G,IF(E$1="t",4,3),FALSE)*$C159</f>
        <v>541.20000000000005</v>
      </c>
      <c r="F159" s="114">
        <f>IFERROR(IF(A159=B159,0,VLOOKUP(A159,Other_Summary!A:E,2,FALSE))*C159,0)</f>
        <v>0</v>
      </c>
    </row>
    <row r="160" spans="1:6" x14ac:dyDescent="0.4">
      <c r="A160" s="114" t="s">
        <v>1434</v>
      </c>
      <c r="B160" s="114" t="s">
        <v>1039</v>
      </c>
      <c r="C160" s="114">
        <v>1</v>
      </c>
      <c r="D160" s="114">
        <f>VLOOKUP($B160,Parts!$A:$G,IF(D$1="t",4,3),FALSE)*$C160</f>
        <v>0</v>
      </c>
      <c r="E160" s="114">
        <f>VLOOKUP($B160,Parts!$A:$G,IF(E$1="t",4,3),FALSE)*$C160</f>
        <v>46.46</v>
      </c>
      <c r="F160" s="114">
        <f>IFERROR(IF(A160=B160,0,VLOOKUP(A160,Other_Summary!A:E,2,FALSE))*C160,0)</f>
        <v>0</v>
      </c>
    </row>
    <row r="161" spans="1:6" x14ac:dyDescent="0.4">
      <c r="A161" s="114" t="s">
        <v>1435</v>
      </c>
      <c r="B161" s="114" t="s">
        <v>1435</v>
      </c>
      <c r="D161" s="114">
        <f>SUM(D162:D163)</f>
        <v>2</v>
      </c>
      <c r="E161" s="114">
        <f>SUM(E162:E163)</f>
        <v>768.06000000000006</v>
      </c>
      <c r="F161" s="114">
        <f>IFERROR(IF(A161=B161,0,VLOOKUP(A161,Other_Summary!A:E,2,FALSE))*C161,0)</f>
        <v>0</v>
      </c>
    </row>
    <row r="162" spans="1:6" x14ac:dyDescent="0.4">
      <c r="A162" s="114" t="s">
        <v>1435</v>
      </c>
      <c r="B162" s="114" t="s">
        <v>1307</v>
      </c>
      <c r="C162" s="114">
        <v>1</v>
      </c>
      <c r="D162" s="114">
        <f>VLOOKUP($B162,Parts!$A:$G,IF(D$1="t",4,3),FALSE)*$C162</f>
        <v>2</v>
      </c>
      <c r="E162" s="114">
        <f>VLOOKUP($B162,Parts!$A:$G,IF(E$1="t",4,3),FALSE)*$C162</f>
        <v>721.6</v>
      </c>
      <c r="F162" s="114">
        <f>IFERROR(IF(A162=B162,0,VLOOKUP(A162,Other_Summary!A:E,2,FALSE))*C162,0)</f>
        <v>0</v>
      </c>
    </row>
    <row r="163" spans="1:6" x14ac:dyDescent="0.4">
      <c r="A163" s="114" t="s">
        <v>1435</v>
      </c>
      <c r="B163" s="114" t="s">
        <v>1039</v>
      </c>
      <c r="C163" s="114">
        <v>1</v>
      </c>
      <c r="D163" s="114">
        <f>VLOOKUP($B163,Parts!$A:$G,IF(D$1="t",4,3),FALSE)*$C163</f>
        <v>0</v>
      </c>
      <c r="E163" s="114">
        <f>VLOOKUP($B163,Parts!$A:$G,IF(E$1="t",4,3),FALSE)*$C163</f>
        <v>46.46</v>
      </c>
      <c r="F163" s="114">
        <f>IFERROR(IF(A163=B163,0,VLOOKUP(A163,Other_Summary!A:E,2,FALSE))*C163,0)</f>
        <v>0</v>
      </c>
    </row>
    <row r="164" spans="1:6" x14ac:dyDescent="0.4">
      <c r="A164" s="114" t="s">
        <v>1436</v>
      </c>
      <c r="B164" s="114" t="s">
        <v>1436</v>
      </c>
      <c r="D164" s="114">
        <f>SUM(D165:D166)</f>
        <v>2</v>
      </c>
      <c r="E164" s="114">
        <f>SUM(E165:E166)</f>
        <v>1068.3599999999999</v>
      </c>
      <c r="F164" s="114">
        <f>IFERROR(IF(A164=B164,0,VLOOKUP(A164,Other_Summary!A:E,2,FALSE))*C164,0)</f>
        <v>0</v>
      </c>
    </row>
    <row r="165" spans="1:6" x14ac:dyDescent="0.4">
      <c r="A165" s="114" t="s">
        <v>1436</v>
      </c>
      <c r="B165" s="114" t="s">
        <v>1308</v>
      </c>
      <c r="C165" s="114">
        <v>1</v>
      </c>
      <c r="D165" s="114">
        <f>VLOOKUP($B165,Parts!$A:$G,IF(D$1="t",4,3),FALSE)*$C165</f>
        <v>2</v>
      </c>
      <c r="E165" s="114">
        <f>VLOOKUP($B165,Parts!$A:$G,IF(E$1="t",4,3),FALSE)*$C165</f>
        <v>1021.9</v>
      </c>
      <c r="F165" s="114">
        <f>IFERROR(IF(A165=B165,0,VLOOKUP(A165,Other_Summary!A:E,2,FALSE))*C165,0)</f>
        <v>0</v>
      </c>
    </row>
    <row r="166" spans="1:6" x14ac:dyDescent="0.4">
      <c r="A166" s="114" t="s">
        <v>1436</v>
      </c>
      <c r="B166" s="114" t="s">
        <v>1039</v>
      </c>
      <c r="C166" s="114">
        <v>1</v>
      </c>
      <c r="D166" s="114">
        <f>VLOOKUP($B166,Parts!$A:$G,IF(D$1="t",4,3),FALSE)*$C166</f>
        <v>0</v>
      </c>
      <c r="E166" s="114">
        <f>VLOOKUP($B166,Parts!$A:$G,IF(E$1="t",4,3),FALSE)*$C166</f>
        <v>46.46</v>
      </c>
      <c r="F166" s="114">
        <f>IFERROR(IF(A166=B166,0,VLOOKUP(A166,Other_Summary!A:E,2,FALSE))*C166,0)</f>
        <v>0</v>
      </c>
    </row>
    <row r="167" spans="1:6" x14ac:dyDescent="0.4">
      <c r="A167" s="114" t="s">
        <v>1302</v>
      </c>
      <c r="B167" s="114" t="s">
        <v>1302</v>
      </c>
      <c r="D167" s="114">
        <f>SUM(D168:D177)+2</f>
        <v>2</v>
      </c>
      <c r="E167" s="114">
        <f>SUM(E168:E177)</f>
        <v>1076.95</v>
      </c>
      <c r="F167" s="114">
        <f>IFERROR(IF(A167=B167,0,VLOOKUP(A167,Other_Summary!A:E,2,FALSE))*C167,0)</f>
        <v>0</v>
      </c>
    </row>
    <row r="168" spans="1:6" x14ac:dyDescent="0.4">
      <c r="A168" s="114" t="s">
        <v>1302</v>
      </c>
      <c r="B168" s="114" t="s">
        <v>1039</v>
      </c>
      <c r="C168" s="114">
        <v>1</v>
      </c>
      <c r="D168" s="114">
        <f>VLOOKUP($B168,Parts!$A:$G,IF(D$1="t",4,3),FALSE)*$C168</f>
        <v>0</v>
      </c>
      <c r="E168" s="114">
        <f>VLOOKUP($B168,Parts!$A:$G,IF(E$1="t",4,3),FALSE)*$C168</f>
        <v>46.46</v>
      </c>
      <c r="F168" s="114">
        <f>IFERROR(IF(A168=B168,0,VLOOKUP(A168,Other_Summary!A:E,2,FALSE))*C168,0)</f>
        <v>0</v>
      </c>
    </row>
    <row r="169" spans="1:6" x14ac:dyDescent="0.4">
      <c r="A169" s="114" t="s">
        <v>1302</v>
      </c>
      <c r="B169" s="114" t="s">
        <v>1040</v>
      </c>
      <c r="C169" s="114">
        <v>1</v>
      </c>
      <c r="D169" s="114">
        <f>VLOOKUP($B169,Parts!$A:$G,IF(D$1="t",4,3),FALSE)*$C169</f>
        <v>0</v>
      </c>
      <c r="E169" s="114">
        <f>VLOOKUP($B169,Parts!$A:$G,IF(E$1="t",4,3),FALSE)*$C169</f>
        <v>43.44</v>
      </c>
      <c r="F169" s="114">
        <f>IFERROR(IF(A169=B169,0,VLOOKUP(A169,Other_Summary!A:E,2,FALSE))*C169,0)</f>
        <v>0</v>
      </c>
    </row>
    <row r="170" spans="1:6" x14ac:dyDescent="0.4">
      <c r="A170" s="114" t="s">
        <v>1302</v>
      </c>
      <c r="B170" s="114" t="s">
        <v>1004</v>
      </c>
      <c r="C170" s="114">
        <v>1</v>
      </c>
      <c r="D170" s="114">
        <f>VLOOKUP($B170,Parts!$A:$G,IF(D$1="t",4,3),FALSE)*$C170</f>
        <v>0</v>
      </c>
      <c r="E170" s="114">
        <f>VLOOKUP($B170,Parts!$A:$G,IF(E$1="t",4,3),FALSE)*$C170</f>
        <v>360</v>
      </c>
      <c r="F170" s="114">
        <f>IFERROR(IF(A170=B170,0,VLOOKUP(A170,Other_Summary!A:E,2,FALSE))*C170,0)</f>
        <v>0</v>
      </c>
    </row>
    <row r="171" spans="1:6" x14ac:dyDescent="0.4">
      <c r="A171" s="114" t="s">
        <v>1302</v>
      </c>
      <c r="B171" s="114" t="s">
        <v>476</v>
      </c>
      <c r="C171" s="114">
        <v>1</v>
      </c>
      <c r="D171" s="114">
        <f>VLOOKUP($B171,Parts!$A:$G,IF(D$1="t",4,3),FALSE)*$C171</f>
        <v>0</v>
      </c>
      <c r="E171" s="114">
        <f>VLOOKUP($B171,Parts!$A:$G,IF(E$1="t",4,3),FALSE)*$C171</f>
        <v>324</v>
      </c>
      <c r="F171" s="114">
        <f>IFERROR(IF(A171=B171,0,VLOOKUP(A171,Other_Summary!A:E,2,FALSE))*C171,0)</f>
        <v>0</v>
      </c>
    </row>
    <row r="172" spans="1:6" x14ac:dyDescent="0.4">
      <c r="A172" s="114" t="s">
        <v>1302</v>
      </c>
      <c r="B172" s="114" t="s">
        <v>477</v>
      </c>
      <c r="C172" s="114">
        <v>1</v>
      </c>
      <c r="D172" s="114">
        <f>VLOOKUP($B172,Parts!$A:$G,IF(D$1="t",4,3),FALSE)*$C172</f>
        <v>0</v>
      </c>
      <c r="E172" s="114">
        <f>VLOOKUP($B172,Parts!$A:$G,IF(E$1="t",4,3),FALSE)*$C172</f>
        <v>180</v>
      </c>
      <c r="F172" s="114">
        <f>IFERROR(IF(A172=B172,0,VLOOKUP(A172,Other_Summary!A:E,2,FALSE))*C172,0)</f>
        <v>0</v>
      </c>
    </row>
    <row r="173" spans="1:6" x14ac:dyDescent="0.4">
      <c r="A173" s="114" t="s">
        <v>1302</v>
      </c>
      <c r="B173" s="114" t="s">
        <v>1344</v>
      </c>
      <c r="C173" s="114">
        <v>1</v>
      </c>
      <c r="D173" s="114">
        <f>VLOOKUP($B173,Parts!$A:$G,IF(D$1="t",4,3),FALSE)*$C173</f>
        <v>0</v>
      </c>
      <c r="E173" s="114">
        <f>VLOOKUP($B173,Parts!$A:$G,IF(E$1="t",4,3),FALSE)*$C173</f>
        <v>91.05</v>
      </c>
      <c r="F173" s="114">
        <f>IFERROR(IF(A173=B173,0,VLOOKUP(A173,Other_Summary!A:E,2,FALSE))*C173,0)</f>
        <v>0</v>
      </c>
    </row>
    <row r="174" spans="1:6" x14ac:dyDescent="0.4">
      <c r="A174" s="114" t="s">
        <v>1302</v>
      </c>
      <c r="B174" s="114" t="s">
        <v>1003</v>
      </c>
      <c r="C174" s="114">
        <v>2</v>
      </c>
      <c r="D174" s="114">
        <f>VLOOKUP($B174,Parts!$A:$G,IF(D$1="t",4,3),FALSE)*$C174</f>
        <v>0</v>
      </c>
      <c r="E174" s="114">
        <f>VLOOKUP($B174,Parts!$A:$G,IF(E$1="t",4,3),FALSE)*$C174</f>
        <v>32</v>
      </c>
      <c r="F174" s="114">
        <f>IFERROR(IF(A174=B174,0,VLOOKUP(A174,Other_Summary!A:E,2,FALSE))*C174,0)</f>
        <v>0</v>
      </c>
    </row>
    <row r="175" spans="1:6" x14ac:dyDescent="0.4">
      <c r="A175" s="114" t="s">
        <v>1302</v>
      </c>
      <c r="B175" s="114" t="s">
        <v>322</v>
      </c>
      <c r="C175" s="114">
        <v>1</v>
      </c>
      <c r="D175" s="114">
        <f>VLOOKUP($B175,Parts!$A:$G,IF(D$1="t",4,3),FALSE)*$C175</f>
        <v>0</v>
      </c>
      <c r="E175" s="114">
        <f>VLOOKUP($B175,Parts!$A:$G,IF(E$1="t",4,3),FALSE)*$C175</f>
        <v>0</v>
      </c>
      <c r="F175" s="114">
        <f>IFERROR(IF(A175=B175,0,VLOOKUP(A175,Other_Summary!A:E,2,FALSE))*C175,0)</f>
        <v>0</v>
      </c>
    </row>
    <row r="176" spans="1:6" x14ac:dyDescent="0.4">
      <c r="A176" s="114" t="s">
        <v>1302</v>
      </c>
      <c r="B176" s="441" t="s">
        <v>269</v>
      </c>
      <c r="D176" s="114">
        <f>VLOOKUP($B176,Parts!$A:$G,IF(D$1="t",4,3),FALSE)*$C176</f>
        <v>0</v>
      </c>
      <c r="E176" s="114">
        <f>VLOOKUP($B176,Parts!$A:$G,IF(E$1="t",4,3),FALSE)*$C176</f>
        <v>0</v>
      </c>
      <c r="F176" s="114">
        <f>IFERROR(IF(A176=B176,0,VLOOKUP(A176,Other_Summary!A:E,2,FALSE))*C176,0)</f>
        <v>0</v>
      </c>
    </row>
    <row r="177" spans="1:6" x14ac:dyDescent="0.4">
      <c r="A177" s="114" t="s">
        <v>1302</v>
      </c>
      <c r="B177" s="114" t="s">
        <v>267</v>
      </c>
      <c r="D177" s="114">
        <f>VLOOKUP($B177,Parts!$A:$G,IF(D$1="t",4,3),FALSE)*$C177</f>
        <v>0</v>
      </c>
      <c r="E177" s="114">
        <f>VLOOKUP($B177,Parts!$A:$G,IF(E$1="t",4,3),FALSE)*$C177</f>
        <v>0</v>
      </c>
      <c r="F177" s="114">
        <f>IFERROR(IF(A177=B177,0,VLOOKUP(A177,Other_Summary!A:E,2,FALSE))*C177,0)</f>
        <v>0</v>
      </c>
    </row>
    <row r="178" spans="1:6" x14ac:dyDescent="0.4">
      <c r="A178" s="114" t="s">
        <v>1330</v>
      </c>
      <c r="B178" s="114" t="s">
        <v>1330</v>
      </c>
      <c r="C178" s="114">
        <v>1</v>
      </c>
      <c r="D178" s="114">
        <v>9999</v>
      </c>
      <c r="E178" s="114">
        <v>9999</v>
      </c>
      <c r="F178" s="114">
        <f>IFERROR(IF(A178=B178,0,VLOOKUP(A178,Other_Summary!A:E,2,FALSE))*C178,0)</f>
        <v>0</v>
      </c>
    </row>
    <row r="179" spans="1:6" x14ac:dyDescent="0.4">
      <c r="A179" s="114" t="s">
        <v>1331</v>
      </c>
      <c r="B179" s="114" t="s">
        <v>1331</v>
      </c>
      <c r="C179" s="114">
        <v>1</v>
      </c>
      <c r="D179" s="114">
        <v>9999</v>
      </c>
      <c r="E179" s="114">
        <v>9999</v>
      </c>
      <c r="F179" s="114">
        <f>IFERROR(IF(A179=B179,0,VLOOKUP(A179,Other_Summary!A:E,2,FALSE))*C179,0)</f>
        <v>0</v>
      </c>
    </row>
    <row r="180" spans="1:6" x14ac:dyDescent="0.4">
      <c r="A180" s="114" t="s">
        <v>1438</v>
      </c>
      <c r="B180" s="114" t="s">
        <v>1438</v>
      </c>
      <c r="C180" s="114">
        <v>1</v>
      </c>
      <c r="D180" s="114">
        <v>0.5</v>
      </c>
      <c r="E180" s="114">
        <v>0</v>
      </c>
      <c r="F180" s="114">
        <f>IFERROR(IF(A180=B180,0,VLOOKUP(A180,Other_Summary!A:E,2,FALSE))*C180,0)</f>
        <v>0</v>
      </c>
    </row>
    <row r="181" spans="1:6" x14ac:dyDescent="0.4">
      <c r="A181" s="114" t="s">
        <v>1439</v>
      </c>
      <c r="B181" s="114" t="s">
        <v>1439</v>
      </c>
      <c r="C181" s="114">
        <v>1</v>
      </c>
      <c r="D181" s="114">
        <v>0.25</v>
      </c>
      <c r="E181" s="114">
        <v>0</v>
      </c>
      <c r="F181" s="114">
        <f>IFERROR(IF(A181=B181,0,VLOOKUP(A181,Other_Summary!A:E,2,FALSE))*C181,0)</f>
        <v>0</v>
      </c>
    </row>
  </sheetData>
  <autoFilter ref="G1:G166" xr:uid="{0763B477-688F-48AF-91A5-4BB6C86C0A17}"/>
  <conditionalFormatting sqref="F1 B1:E75 B77:E82 C76:E76 B84:E89 C83:E83 B90:B91 B93:C96 C92:E92 B98:C98 B97:E97 B99:B115 A119:A122 B117:B122 C103:E122 C124:E124 C145 C135:E135 C146:E147 C157 C155:E155 C149:C154 B182:E1048576 C158:E158 C168:C177 C167:E167 C178:E181">
    <cfRule type="cellIs" dxfId="149" priority="45" operator="equal">
      <formula>""</formula>
    </cfRule>
  </conditionalFormatting>
  <conditionalFormatting sqref="A57:A68">
    <cfRule type="cellIs" dxfId="148" priority="26" operator="equal">
      <formula>""</formula>
    </cfRule>
  </conditionalFormatting>
  <conditionalFormatting sqref="A69:A72">
    <cfRule type="cellIs" dxfId="147" priority="25" operator="equal">
      <formula>""</formula>
    </cfRule>
  </conditionalFormatting>
  <conditionalFormatting sqref="A73:A75">
    <cfRule type="cellIs" dxfId="146" priority="24" operator="equal">
      <formula>""</formula>
    </cfRule>
  </conditionalFormatting>
  <conditionalFormatting sqref="A34:A36">
    <cfRule type="cellIs" dxfId="145" priority="34" operator="equal">
      <formula>""</formula>
    </cfRule>
  </conditionalFormatting>
  <conditionalFormatting sqref="A48:A49">
    <cfRule type="cellIs" dxfId="144" priority="30" operator="equal">
      <formula>""</formula>
    </cfRule>
  </conditionalFormatting>
  <conditionalFormatting sqref="A8:A13">
    <cfRule type="cellIs" dxfId="143" priority="44" operator="equal">
      <formula>""</formula>
    </cfRule>
  </conditionalFormatting>
  <conditionalFormatting sqref="A2:A7">
    <cfRule type="cellIs" dxfId="142" priority="43" operator="equal">
      <formula>""</formula>
    </cfRule>
  </conditionalFormatting>
  <conditionalFormatting sqref="A14:A15">
    <cfRule type="cellIs" dxfId="141" priority="42" operator="equal">
      <formula>""</formula>
    </cfRule>
  </conditionalFormatting>
  <conditionalFormatting sqref="A16:A17">
    <cfRule type="cellIs" dxfId="140" priority="41" operator="equal">
      <formula>""</formula>
    </cfRule>
  </conditionalFormatting>
  <conditionalFormatting sqref="A18:A19">
    <cfRule type="cellIs" dxfId="139" priority="40" operator="equal">
      <formula>""</formula>
    </cfRule>
  </conditionalFormatting>
  <conditionalFormatting sqref="A20:A21">
    <cfRule type="cellIs" dxfId="138" priority="39" operator="equal">
      <formula>""</formula>
    </cfRule>
  </conditionalFormatting>
  <conditionalFormatting sqref="A22:A23">
    <cfRule type="cellIs" dxfId="137" priority="38" operator="equal">
      <formula>""</formula>
    </cfRule>
  </conditionalFormatting>
  <conditionalFormatting sqref="A24:A25">
    <cfRule type="cellIs" dxfId="136" priority="37" operator="equal">
      <formula>""</formula>
    </cfRule>
  </conditionalFormatting>
  <conditionalFormatting sqref="A26:A27">
    <cfRule type="cellIs" dxfId="135" priority="36" operator="equal">
      <formula>""</formula>
    </cfRule>
  </conditionalFormatting>
  <conditionalFormatting sqref="A28:A33">
    <cfRule type="cellIs" dxfId="134" priority="35" operator="equal">
      <formula>""</formula>
    </cfRule>
  </conditionalFormatting>
  <conditionalFormatting sqref="A37:A39">
    <cfRule type="cellIs" dxfId="133" priority="33" operator="equal">
      <formula>""</formula>
    </cfRule>
  </conditionalFormatting>
  <conditionalFormatting sqref="A40:A43">
    <cfRule type="cellIs" dxfId="132" priority="32" operator="equal">
      <formula>""</formula>
    </cfRule>
  </conditionalFormatting>
  <conditionalFormatting sqref="A44:A47">
    <cfRule type="cellIs" dxfId="131" priority="31" operator="equal">
      <formula>""</formula>
    </cfRule>
  </conditionalFormatting>
  <conditionalFormatting sqref="A50:A51">
    <cfRule type="cellIs" dxfId="130" priority="29" operator="equal">
      <formula>""</formula>
    </cfRule>
  </conditionalFormatting>
  <conditionalFormatting sqref="A52:A53">
    <cfRule type="cellIs" dxfId="129" priority="28" operator="equal">
      <formula>""</formula>
    </cfRule>
  </conditionalFormatting>
  <conditionalFormatting sqref="A54:A56">
    <cfRule type="cellIs" dxfId="128" priority="27" operator="equal">
      <formula>""</formula>
    </cfRule>
  </conditionalFormatting>
  <conditionalFormatting sqref="C90:E91">
    <cfRule type="cellIs" dxfId="127" priority="23" operator="equal">
      <formula>""</formula>
    </cfRule>
  </conditionalFormatting>
  <conditionalFormatting sqref="D93:E96">
    <cfRule type="cellIs" dxfId="126" priority="22" operator="equal">
      <formula>""</formula>
    </cfRule>
  </conditionalFormatting>
  <conditionalFormatting sqref="C99:C102">
    <cfRule type="cellIs" dxfId="125" priority="21" operator="equal">
      <formula>""</formula>
    </cfRule>
  </conditionalFormatting>
  <conditionalFormatting sqref="D99:E102">
    <cfRule type="cellIs" dxfId="124" priority="20" operator="equal">
      <formula>""</formula>
    </cfRule>
  </conditionalFormatting>
  <conditionalFormatting sqref="D98:E98">
    <cfRule type="cellIs" dxfId="123" priority="19" operator="equal">
      <formula>""</formula>
    </cfRule>
  </conditionalFormatting>
  <conditionalFormatting sqref="B123:E123">
    <cfRule type="cellIs" dxfId="122" priority="18" operator="equal">
      <formula>""</formula>
    </cfRule>
  </conditionalFormatting>
  <conditionalFormatting sqref="C125:E134">
    <cfRule type="cellIs" dxfId="121" priority="17" operator="equal">
      <formula>""</formula>
    </cfRule>
  </conditionalFormatting>
  <conditionalFormatting sqref="D145:E145 C136:E144">
    <cfRule type="cellIs" dxfId="120" priority="16" operator="equal">
      <formula>""</formula>
    </cfRule>
  </conditionalFormatting>
  <conditionalFormatting sqref="C148:E148 D149:E154">
    <cfRule type="cellIs" dxfId="119" priority="15" operator="equal">
      <formula>""</formula>
    </cfRule>
  </conditionalFormatting>
  <conditionalFormatting sqref="C156">
    <cfRule type="cellIs" dxfId="118" priority="14" operator="equal">
      <formula>""</formula>
    </cfRule>
  </conditionalFormatting>
  <conditionalFormatting sqref="D156:E157">
    <cfRule type="cellIs" dxfId="117" priority="13" operator="equal">
      <formula>""</formula>
    </cfRule>
  </conditionalFormatting>
  <conditionalFormatting sqref="C160">
    <cfRule type="cellIs" dxfId="116" priority="12" operator="equal">
      <formula>""</formula>
    </cfRule>
  </conditionalFormatting>
  <conditionalFormatting sqref="C159">
    <cfRule type="cellIs" dxfId="115" priority="11" operator="equal">
      <formula>""</formula>
    </cfRule>
  </conditionalFormatting>
  <conditionalFormatting sqref="D159:E160">
    <cfRule type="cellIs" dxfId="114" priority="10" operator="equal">
      <formula>""</formula>
    </cfRule>
  </conditionalFormatting>
  <conditionalFormatting sqref="C161:E161">
    <cfRule type="cellIs" dxfId="113" priority="9" operator="equal">
      <formula>""</formula>
    </cfRule>
  </conditionalFormatting>
  <conditionalFormatting sqref="C163">
    <cfRule type="cellIs" dxfId="112" priority="8" operator="equal">
      <formula>""</formula>
    </cfRule>
  </conditionalFormatting>
  <conditionalFormatting sqref="C162">
    <cfRule type="cellIs" dxfId="111" priority="7" operator="equal">
      <formula>""</formula>
    </cfRule>
  </conditionalFormatting>
  <conditionalFormatting sqref="D162:E163">
    <cfRule type="cellIs" dxfId="110" priority="6" operator="equal">
      <formula>""</formula>
    </cfRule>
  </conditionalFormatting>
  <conditionalFormatting sqref="C164:E164">
    <cfRule type="cellIs" dxfId="109" priority="5" operator="equal">
      <formula>""</formula>
    </cfRule>
  </conditionalFormatting>
  <conditionalFormatting sqref="C166">
    <cfRule type="cellIs" dxfId="108" priority="4" operator="equal">
      <formula>""</formula>
    </cfRule>
  </conditionalFormatting>
  <conditionalFormatting sqref="C165">
    <cfRule type="cellIs" dxfId="107" priority="3" operator="equal">
      <formula>""</formula>
    </cfRule>
  </conditionalFormatting>
  <conditionalFormatting sqref="D165:E166">
    <cfRule type="cellIs" dxfId="106" priority="2" operator="equal">
      <formula>""</formula>
    </cfRule>
  </conditionalFormatting>
  <conditionalFormatting sqref="D168:E177">
    <cfRule type="cellIs" dxfId="105" priority="1" operator="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9C665DDF-54A6-4DCA-BC62-6BE51A333F9E}">
          <x14:formula1>
            <xm:f>'D:\Github\IGOC-Workspace\Mech Elec Template\[AAA-MechElec - 1.0_SS.xlsx]Part List'!#REF!</xm:f>
          </x14:formula1>
          <xm:sqref>B125 B160 B163 B166 B168</xm:sqref>
        </x14:dataValidation>
        <x14:dataValidation type="list" allowBlank="1" showInputMessage="1" showErrorMessage="1" xr:uid="{F51DF650-B88A-48E8-BD4B-0153028AA60D}">
          <x14:formula1>
            <xm:f>'D:\Github\IGOC-Workspace\Mech Elec Template\[AAA-MechElec - 1.0_SS.xlsx]Part List'!#REF!</xm:f>
          </x14:formula1>
          <xm:sqref>B35:B36 B38:B39 B41:B43 B45:B47 B49 B51 B53 B101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A8A1B-1BBB-4395-B2BC-51FB66E4B192}">
  <dimension ref="A1:O24"/>
  <sheetViews>
    <sheetView workbookViewId="0">
      <selection activeCell="D33" sqref="D33"/>
    </sheetView>
  </sheetViews>
  <sheetFormatPr defaultRowHeight="14.6" x14ac:dyDescent="0.4"/>
  <cols>
    <col min="1" max="1" width="21.07421875" style="114" bestFit="1" customWidth="1"/>
    <col min="2" max="8" width="24.921875" style="114" customWidth="1"/>
    <col min="9" max="16384" width="9.23046875" style="114"/>
  </cols>
  <sheetData>
    <row r="1" spans="1:15" x14ac:dyDescent="0.4">
      <c r="A1" s="114" t="s">
        <v>1032</v>
      </c>
      <c r="C1" s="318"/>
      <c r="D1" s="318"/>
      <c r="E1" s="318"/>
      <c r="F1" s="318"/>
      <c r="G1" s="318"/>
      <c r="H1" s="318"/>
      <c r="I1" s="318"/>
      <c r="J1" s="318"/>
      <c r="K1" s="318"/>
      <c r="O1" s="114" t="s">
        <v>1018</v>
      </c>
    </row>
    <row r="2" spans="1:15" x14ac:dyDescent="0.4">
      <c r="A2" s="114" t="s">
        <v>1330</v>
      </c>
      <c r="O2" s="117" t="s">
        <v>1403</v>
      </c>
    </row>
    <row r="3" spans="1:15" x14ac:dyDescent="0.4">
      <c r="A3" s="114" t="s">
        <v>1331</v>
      </c>
      <c r="O3" s="117" t="s">
        <v>1404</v>
      </c>
    </row>
    <row r="4" spans="1:15" x14ac:dyDescent="0.4">
      <c r="A4" s="114" t="s">
        <v>1438</v>
      </c>
      <c r="O4" s="117" t="s">
        <v>1405</v>
      </c>
    </row>
    <row r="5" spans="1:15" x14ac:dyDescent="0.4">
      <c r="A5" s="114" t="s">
        <v>1439</v>
      </c>
      <c r="O5" s="117" t="s">
        <v>1406</v>
      </c>
    </row>
    <row r="6" spans="1:15" x14ac:dyDescent="0.4">
      <c r="A6" s="114" t="s">
        <v>1482</v>
      </c>
      <c r="O6" s="117" t="s">
        <v>1407</v>
      </c>
    </row>
    <row r="7" spans="1:15" x14ac:dyDescent="0.4">
      <c r="O7" s="117" t="s">
        <v>1408</v>
      </c>
    </row>
    <row r="8" spans="1:15" x14ac:dyDescent="0.4">
      <c r="O8" s="117" t="s">
        <v>1409</v>
      </c>
    </row>
    <row r="10" spans="1:15" x14ac:dyDescent="0.4">
      <c r="C10" s="318"/>
      <c r="D10" s="318"/>
      <c r="E10" s="318"/>
      <c r="F10" s="318"/>
      <c r="G10" s="318"/>
      <c r="H10" s="318"/>
      <c r="I10" s="318"/>
      <c r="J10" s="318"/>
      <c r="K10" s="318"/>
      <c r="L10" s="318"/>
      <c r="M10" s="318"/>
    </row>
    <row r="19" spans="1:8" x14ac:dyDescent="0.4">
      <c r="B19" s="117" t="s">
        <v>1403</v>
      </c>
      <c r="C19" s="117" t="s">
        <v>1404</v>
      </c>
      <c r="D19" s="117" t="s">
        <v>1405</v>
      </c>
      <c r="E19" s="117" t="s">
        <v>1406</v>
      </c>
      <c r="F19" s="117" t="s">
        <v>1407</v>
      </c>
      <c r="G19" s="117" t="s">
        <v>1408</v>
      </c>
      <c r="H19" s="117" t="s">
        <v>1409</v>
      </c>
    </row>
    <row r="20" spans="1:8" x14ac:dyDescent="0.4">
      <c r="A20" s="114" t="s">
        <v>1330</v>
      </c>
    </row>
    <row r="21" spans="1:8" x14ac:dyDescent="0.4">
      <c r="A21" s="114" t="s">
        <v>1331</v>
      </c>
    </row>
    <row r="22" spans="1:8" x14ac:dyDescent="0.4">
      <c r="A22" s="114" t="s">
        <v>1438</v>
      </c>
    </row>
    <row r="23" spans="1:8" x14ac:dyDescent="0.4">
      <c r="A23" s="114" t="s">
        <v>1439</v>
      </c>
      <c r="D23" s="446"/>
    </row>
    <row r="24" spans="1:8" x14ac:dyDescent="0.4">
      <c r="A24" s="114" t="s">
        <v>1482</v>
      </c>
      <c r="B24" s="114">
        <v>10</v>
      </c>
      <c r="D24" s="114">
        <v>10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92"/>
  <sheetViews>
    <sheetView workbookViewId="0"/>
  </sheetViews>
  <sheetFormatPr defaultColWidth="9.23046875" defaultRowHeight="14.6" x14ac:dyDescent="0.4"/>
  <cols>
    <col min="1" max="1" width="13.69140625" style="114" bestFit="1" customWidth="1"/>
    <col min="2" max="2" width="7.69140625" style="114" bestFit="1" customWidth="1"/>
    <col min="3" max="3" width="18.84375" style="114" bestFit="1" customWidth="1"/>
    <col min="4" max="4" width="19.07421875" style="423" customWidth="1"/>
    <col min="5" max="5" width="5.69140625" style="114" bestFit="1" customWidth="1"/>
    <col min="6" max="6" width="16.69140625" style="114" bestFit="1" customWidth="1"/>
    <col min="7" max="7" width="3.07421875" style="114" bestFit="1" customWidth="1"/>
    <col min="8" max="8" width="5.07421875" style="114" bestFit="1" customWidth="1"/>
    <col min="9" max="9" width="5.69140625" style="114" bestFit="1" customWidth="1"/>
    <col min="10" max="16384" width="9.23046875" style="114"/>
  </cols>
  <sheetData>
    <row r="1" spans="1:9" s="33" customFormat="1" x14ac:dyDescent="0.4">
      <c r="A1" s="33" t="s">
        <v>1232</v>
      </c>
      <c r="B1" s="33" t="s">
        <v>749</v>
      </c>
      <c r="C1" s="33" t="s">
        <v>1232</v>
      </c>
      <c r="D1" s="442" t="s">
        <v>932</v>
      </c>
      <c r="E1" s="33" t="s">
        <v>929</v>
      </c>
      <c r="F1" s="33" t="s">
        <v>1233</v>
      </c>
      <c r="G1" s="33" t="s">
        <v>1232</v>
      </c>
      <c r="H1" s="33" t="s">
        <v>932</v>
      </c>
      <c r="I1" s="33" t="s">
        <v>929</v>
      </c>
    </row>
    <row r="2" spans="1:9" x14ac:dyDescent="0.4">
      <c r="A2" s="114" t="s">
        <v>1061</v>
      </c>
      <c r="B2" s="114" t="s">
        <v>833</v>
      </c>
      <c r="C2" s="114" t="s">
        <v>960</v>
      </c>
      <c r="D2" s="423">
        <f>VLOOKUP(C2,'Part List'!B:D,2,FALSE)</f>
        <v>243.55</v>
      </c>
      <c r="H2" s="423" t="e">
        <f>VLOOKUP(G2,'Part List'!B:D,2,FALSE)</f>
        <v>#N/A</v>
      </c>
    </row>
    <row r="3" spans="1:9" x14ac:dyDescent="0.4">
      <c r="A3" s="114" t="s">
        <v>1062</v>
      </c>
      <c r="B3" s="114" t="s">
        <v>833</v>
      </c>
      <c r="C3" s="114" t="s">
        <v>745</v>
      </c>
      <c r="D3" s="423">
        <f>VLOOKUP(C3,'Part List'!B:D,2,FALSE)</f>
        <v>294.60000000000002</v>
      </c>
      <c r="H3" s="423" t="e">
        <f>VLOOKUP(G3,'Part List'!B:D,2,FALSE)</f>
        <v>#N/A</v>
      </c>
    </row>
    <row r="4" spans="1:9" x14ac:dyDescent="0.4">
      <c r="A4" s="114" t="s">
        <v>1063</v>
      </c>
      <c r="B4" s="114" t="s">
        <v>833</v>
      </c>
      <c r="C4" s="114" t="s">
        <v>963</v>
      </c>
      <c r="D4" s="423">
        <f>VLOOKUP(C4,'Part List'!B:D,2,FALSE)</f>
        <v>488.25</v>
      </c>
      <c r="H4" s="423" t="e">
        <f>VLOOKUP(G4,'Part List'!B:D,2,FALSE)</f>
        <v>#N/A</v>
      </c>
    </row>
    <row r="5" spans="1:9" x14ac:dyDescent="0.4">
      <c r="A5" s="114" t="s">
        <v>1234</v>
      </c>
      <c r="B5" s="114" t="s">
        <v>833</v>
      </c>
      <c r="C5" s="114" t="s">
        <v>967</v>
      </c>
      <c r="D5" s="423" t="e">
        <f>VLOOKUP(C5,'Part List'!B:D,2,FALSE)</f>
        <v>#N/A</v>
      </c>
      <c r="H5" s="423" t="e">
        <f>VLOOKUP(G5,'Part List'!B:D,2,FALSE)</f>
        <v>#N/A</v>
      </c>
    </row>
    <row r="6" spans="1:9" x14ac:dyDescent="0.4">
      <c r="A6" s="114" t="s">
        <v>1064</v>
      </c>
      <c r="B6" s="114" t="s">
        <v>833</v>
      </c>
      <c r="C6" s="114" t="s">
        <v>969</v>
      </c>
      <c r="D6" s="423">
        <f>VLOOKUP(C6,'Part List'!B:D,2,FALSE)</f>
        <v>700.9</v>
      </c>
      <c r="H6" s="423" t="e">
        <f>VLOOKUP(G6,'Part List'!B:D,2,FALSE)</f>
        <v>#N/A</v>
      </c>
    </row>
    <row r="7" spans="1:9" x14ac:dyDescent="0.4">
      <c r="A7" s="114" t="s">
        <v>1065</v>
      </c>
      <c r="B7" s="114" t="s">
        <v>833</v>
      </c>
      <c r="C7" s="114" t="s">
        <v>970</v>
      </c>
      <c r="D7" s="423">
        <f>VLOOKUP(C7,'Part List'!B:D,2,FALSE)</f>
        <v>243.55</v>
      </c>
      <c r="H7" s="423" t="e">
        <f>VLOOKUP(G7,'Part List'!B:D,2,FALSE)</f>
        <v>#N/A</v>
      </c>
    </row>
    <row r="8" spans="1:9" x14ac:dyDescent="0.4">
      <c r="A8" s="114" t="s">
        <v>1066</v>
      </c>
      <c r="B8" s="114" t="s">
        <v>833</v>
      </c>
      <c r="C8" s="114" t="s">
        <v>971</v>
      </c>
      <c r="D8" s="423">
        <f>VLOOKUP(C8,'Part List'!B:D,2,FALSE)</f>
        <v>356.4</v>
      </c>
      <c r="H8" s="423" t="e">
        <f>VLOOKUP(G8,'Part List'!B:D,2,FALSE)</f>
        <v>#N/A</v>
      </c>
    </row>
    <row r="9" spans="1:9" x14ac:dyDescent="0.4">
      <c r="A9" s="114" t="s">
        <v>1067</v>
      </c>
      <c r="B9" s="114" t="s">
        <v>833</v>
      </c>
      <c r="C9" s="114" t="s">
        <v>972</v>
      </c>
      <c r="D9" s="423">
        <f>VLOOKUP(C9,'Part List'!B:D,2,FALSE)</f>
        <v>541.75</v>
      </c>
      <c r="H9" s="423" t="e">
        <f>VLOOKUP(G9,'Part List'!B:D,2,FALSE)</f>
        <v>#N/A</v>
      </c>
    </row>
    <row r="10" spans="1:9" x14ac:dyDescent="0.4">
      <c r="A10" s="114" t="s">
        <v>1068</v>
      </c>
      <c r="B10" s="114" t="s">
        <v>833</v>
      </c>
      <c r="C10" s="114" t="s">
        <v>973</v>
      </c>
      <c r="D10" s="423">
        <f>VLOOKUP(C10,'Part List'!B:D,2,FALSE)</f>
        <v>651</v>
      </c>
      <c r="H10" s="423" t="e">
        <f>VLOOKUP(G10,'Part List'!B:D,2,FALSE)</f>
        <v>#N/A</v>
      </c>
    </row>
    <row r="11" spans="1:9" x14ac:dyDescent="0.4">
      <c r="A11" s="114" t="s">
        <v>1069</v>
      </c>
      <c r="B11" s="114" t="s">
        <v>833</v>
      </c>
      <c r="C11" s="114" t="s">
        <v>969</v>
      </c>
      <c r="D11" s="423">
        <f>VLOOKUP(C11,'Part List'!B:D,2,FALSE)</f>
        <v>700.9</v>
      </c>
      <c r="H11" s="423" t="e">
        <f>VLOOKUP(G11,'Part List'!B:D,2,FALSE)</f>
        <v>#N/A</v>
      </c>
    </row>
    <row r="12" spans="1:9" x14ac:dyDescent="0.4">
      <c r="A12" s="114" t="s">
        <v>1070</v>
      </c>
      <c r="B12" s="114" t="s">
        <v>1072</v>
      </c>
      <c r="C12" s="114" t="s">
        <v>1071</v>
      </c>
      <c r="D12" s="423">
        <f>VLOOKUP(C12,'Part List'!B:D,2,FALSE)</f>
        <v>999999</v>
      </c>
      <c r="H12" s="423" t="e">
        <f>VLOOKUP(G12,'Part List'!B:D,2,FALSE)</f>
        <v>#N/A</v>
      </c>
    </row>
    <row r="13" spans="1:9" x14ac:dyDescent="0.4">
      <c r="A13" s="114" t="s">
        <v>1073</v>
      </c>
      <c r="B13" s="114" t="s">
        <v>1072</v>
      </c>
      <c r="C13" s="114" t="s">
        <v>1074</v>
      </c>
      <c r="D13" s="423">
        <f>VLOOKUP(C13,'Part List'!B:D,2,FALSE)</f>
        <v>999999</v>
      </c>
      <c r="H13" s="423" t="e">
        <f>VLOOKUP(G13,'Part List'!B:D,2,FALSE)</f>
        <v>#N/A</v>
      </c>
    </row>
    <row r="14" spans="1:9" x14ac:dyDescent="0.4">
      <c r="A14" s="114" t="s">
        <v>1075</v>
      </c>
      <c r="B14" s="114" t="s">
        <v>1072</v>
      </c>
      <c r="C14" s="114" t="s">
        <v>1076</v>
      </c>
      <c r="D14" s="423">
        <f>VLOOKUP(C14,'Part List'!B:D,2,FALSE)</f>
        <v>999999</v>
      </c>
      <c r="H14" s="423" t="e">
        <f>VLOOKUP(G14,'Part List'!B:D,2,FALSE)</f>
        <v>#N/A</v>
      </c>
    </row>
    <row r="15" spans="1:9" x14ac:dyDescent="0.4">
      <c r="A15" s="114" t="s">
        <v>1077</v>
      </c>
      <c r="B15" s="114" t="s">
        <v>1072</v>
      </c>
      <c r="C15" s="114" t="s">
        <v>1078</v>
      </c>
      <c r="D15" s="423">
        <f>VLOOKUP(C15,'Part List'!B:D,2,FALSE)</f>
        <v>999999</v>
      </c>
      <c r="H15" s="423" t="e">
        <f>VLOOKUP(G15,'Part List'!B:D,2,FALSE)</f>
        <v>#N/A</v>
      </c>
    </row>
    <row r="16" spans="1:9" x14ac:dyDescent="0.4">
      <c r="A16" s="114" t="s">
        <v>1079</v>
      </c>
      <c r="B16" s="114" t="s">
        <v>1072</v>
      </c>
      <c r="C16" s="114" t="s">
        <v>1080</v>
      </c>
      <c r="D16" s="423">
        <f>VLOOKUP(C16,'Part List'!B:D,2,FALSE)</f>
        <v>999999</v>
      </c>
      <c r="H16" s="423" t="e">
        <f>VLOOKUP(G16,'Part List'!B:D,2,FALSE)</f>
        <v>#N/A</v>
      </c>
    </row>
    <row r="17" spans="1:8" x14ac:dyDescent="0.4">
      <c r="A17" s="114" t="s">
        <v>1081</v>
      </c>
      <c r="B17" s="114" t="s">
        <v>1072</v>
      </c>
      <c r="C17" s="114" t="s">
        <v>1082</v>
      </c>
      <c r="D17" s="423">
        <f>VLOOKUP(C17,'Part List'!B:D,2,FALSE)</f>
        <v>999999</v>
      </c>
      <c r="H17" s="423" t="e">
        <f>VLOOKUP(G17,'Part List'!B:D,2,FALSE)</f>
        <v>#N/A</v>
      </c>
    </row>
    <row r="18" spans="1:8" x14ac:dyDescent="0.4">
      <c r="A18" s="114" t="s">
        <v>1083</v>
      </c>
      <c r="B18" s="114" t="s">
        <v>1072</v>
      </c>
      <c r="C18" s="114" t="s">
        <v>1084</v>
      </c>
      <c r="D18" s="423">
        <f>VLOOKUP(C18,'Part List'!B:D,2,FALSE)</f>
        <v>999999</v>
      </c>
      <c r="H18" s="423" t="e">
        <f>VLOOKUP(G18,'Part List'!B:D,2,FALSE)</f>
        <v>#N/A</v>
      </c>
    </row>
    <row r="19" spans="1:8" x14ac:dyDescent="0.4">
      <c r="A19" s="114" t="s">
        <v>1085</v>
      </c>
      <c r="B19" s="114" t="s">
        <v>1072</v>
      </c>
      <c r="C19" s="114" t="s">
        <v>1086</v>
      </c>
      <c r="D19" s="423">
        <f>VLOOKUP(C19,'Part List'!B:D,2,FALSE)</f>
        <v>999999</v>
      </c>
      <c r="H19" s="423" t="e">
        <f>VLOOKUP(G19,'Part List'!B:D,2,FALSE)</f>
        <v>#N/A</v>
      </c>
    </row>
    <row r="20" spans="1:8" x14ac:dyDescent="0.4">
      <c r="A20" s="114" t="s">
        <v>1087</v>
      </c>
      <c r="B20" s="114" t="s">
        <v>1072</v>
      </c>
      <c r="C20" s="114" t="s">
        <v>1088</v>
      </c>
      <c r="D20" s="423">
        <f>VLOOKUP(C20,'Part List'!B:D,2,FALSE)</f>
        <v>999999</v>
      </c>
      <c r="H20" s="423" t="e">
        <f>VLOOKUP(G20,'Part List'!B:D,2,FALSE)</f>
        <v>#N/A</v>
      </c>
    </row>
    <row r="21" spans="1:8" x14ac:dyDescent="0.4">
      <c r="A21" s="114" t="s">
        <v>1089</v>
      </c>
      <c r="B21" s="114" t="s">
        <v>1072</v>
      </c>
      <c r="C21" s="114" t="s">
        <v>1090</v>
      </c>
      <c r="D21" s="423">
        <f>VLOOKUP(C21,'Part List'!B:D,2,FALSE)</f>
        <v>999999</v>
      </c>
      <c r="H21" s="423" t="e">
        <f>VLOOKUP(G21,'Part List'!B:D,2,FALSE)</f>
        <v>#N/A</v>
      </c>
    </row>
    <row r="22" spans="1:8" x14ac:dyDescent="0.4">
      <c r="A22" s="114" t="s">
        <v>1091</v>
      </c>
      <c r="B22" s="114" t="s">
        <v>1072</v>
      </c>
      <c r="C22" s="114" t="s">
        <v>1092</v>
      </c>
      <c r="D22" s="423">
        <f>VLOOKUP(C22,'Part List'!B:D,2,FALSE)</f>
        <v>999999</v>
      </c>
      <c r="H22" s="423" t="e">
        <f>VLOOKUP(G22,'Part List'!B:D,2,FALSE)</f>
        <v>#N/A</v>
      </c>
    </row>
    <row r="23" spans="1:8" x14ac:dyDescent="0.4">
      <c r="A23" s="114" t="s">
        <v>1093</v>
      </c>
      <c r="B23" s="114" t="s">
        <v>1072</v>
      </c>
      <c r="C23" s="114" t="s">
        <v>1094</v>
      </c>
      <c r="D23" s="423">
        <f>VLOOKUP(C23,'Part List'!B:D,2,FALSE)</f>
        <v>999999</v>
      </c>
      <c r="H23" s="423" t="e">
        <f>VLOOKUP(G23,'Part List'!B:D,2,FALSE)</f>
        <v>#N/A</v>
      </c>
    </row>
    <row r="24" spans="1:8" x14ac:dyDescent="0.4">
      <c r="A24" s="114" t="s">
        <v>1095</v>
      </c>
      <c r="B24" s="114" t="s">
        <v>1072</v>
      </c>
      <c r="C24" s="114" t="s">
        <v>1096</v>
      </c>
      <c r="D24" s="423">
        <f>VLOOKUP(C24,'Part List'!B:D,2,FALSE)</f>
        <v>999999</v>
      </c>
      <c r="H24" s="423" t="e">
        <f>VLOOKUP(G24,'Part List'!B:D,2,FALSE)</f>
        <v>#N/A</v>
      </c>
    </row>
    <row r="25" spans="1:8" x14ac:dyDescent="0.4">
      <c r="A25" s="114" t="s">
        <v>1097</v>
      </c>
      <c r="B25" s="114" t="s">
        <v>1072</v>
      </c>
      <c r="C25" s="114" t="s">
        <v>1098</v>
      </c>
      <c r="D25" s="423">
        <f>VLOOKUP(C25,'Part List'!B:D,2,FALSE)</f>
        <v>999999</v>
      </c>
      <c r="H25" s="423" t="e">
        <f>VLOOKUP(G25,'Part List'!B:D,2,FALSE)</f>
        <v>#N/A</v>
      </c>
    </row>
    <row r="26" spans="1:8" x14ac:dyDescent="0.4">
      <c r="A26" s="114" t="s">
        <v>1099</v>
      </c>
      <c r="B26" s="114" t="s">
        <v>1072</v>
      </c>
      <c r="C26" s="114" t="s">
        <v>1100</v>
      </c>
      <c r="D26" s="423">
        <f>VLOOKUP(C26,'Part List'!B:D,2,FALSE)</f>
        <v>999999</v>
      </c>
      <c r="H26" s="423" t="e">
        <f>VLOOKUP(G26,'Part List'!B:D,2,FALSE)</f>
        <v>#N/A</v>
      </c>
    </row>
    <row r="27" spans="1:8" x14ac:dyDescent="0.4">
      <c r="A27" s="114" t="s">
        <v>1101</v>
      </c>
      <c r="B27" s="114" t="s">
        <v>1072</v>
      </c>
      <c r="C27" s="114" t="s">
        <v>1102</v>
      </c>
      <c r="D27" s="423">
        <f>VLOOKUP(C27,'Part List'!B:D,2,FALSE)</f>
        <v>999999</v>
      </c>
      <c r="H27" s="423" t="e">
        <f>VLOOKUP(G27,'Part List'!B:D,2,FALSE)</f>
        <v>#N/A</v>
      </c>
    </row>
    <row r="28" spans="1:8" x14ac:dyDescent="0.4">
      <c r="A28" s="114" t="s">
        <v>1103</v>
      </c>
      <c r="B28" s="114" t="s">
        <v>1072</v>
      </c>
      <c r="C28" s="114" t="s">
        <v>1104</v>
      </c>
      <c r="D28" s="423">
        <f>VLOOKUP(C28,'Part List'!B:D,2,FALSE)</f>
        <v>999999</v>
      </c>
      <c r="H28" s="423" t="e">
        <f>VLOOKUP(G28,'Part List'!B:D,2,FALSE)</f>
        <v>#N/A</v>
      </c>
    </row>
    <row r="29" spans="1:8" x14ac:dyDescent="0.4">
      <c r="A29" s="114" t="s">
        <v>1105</v>
      </c>
      <c r="B29" s="114" t="s">
        <v>1072</v>
      </c>
      <c r="C29" s="114" t="s">
        <v>1106</v>
      </c>
      <c r="D29" s="423">
        <f>VLOOKUP(C29,'Part List'!B:D,2,FALSE)</f>
        <v>999999</v>
      </c>
      <c r="H29" s="423" t="e">
        <f>VLOOKUP(G29,'Part List'!B:D,2,FALSE)</f>
        <v>#N/A</v>
      </c>
    </row>
    <row r="30" spans="1:8" x14ac:dyDescent="0.4">
      <c r="A30" s="114" t="s">
        <v>1107</v>
      </c>
      <c r="B30" s="114" t="s">
        <v>1072</v>
      </c>
      <c r="C30" s="114" t="s">
        <v>1108</v>
      </c>
      <c r="D30" s="423">
        <f>VLOOKUP(C30,'Part List'!B:D,2,FALSE)</f>
        <v>999999</v>
      </c>
      <c r="H30" s="423" t="e">
        <f>VLOOKUP(G30,'Part List'!B:D,2,FALSE)</f>
        <v>#N/A</v>
      </c>
    </row>
    <row r="31" spans="1:8" x14ac:dyDescent="0.4">
      <c r="A31" s="114" t="s">
        <v>1109</v>
      </c>
      <c r="B31" s="114" t="s">
        <v>1072</v>
      </c>
      <c r="C31" s="114" t="s">
        <v>1110</v>
      </c>
      <c r="D31" s="423">
        <f>VLOOKUP(C31,'Part List'!B:D,2,FALSE)</f>
        <v>999999</v>
      </c>
      <c r="H31" s="423" t="e">
        <f>VLOOKUP(G31,'Part List'!B:D,2,FALSE)</f>
        <v>#N/A</v>
      </c>
    </row>
    <row r="32" spans="1:8" x14ac:dyDescent="0.4">
      <c r="A32" s="114" t="s">
        <v>1111</v>
      </c>
      <c r="B32" s="114" t="s">
        <v>1072</v>
      </c>
      <c r="C32" s="114" t="s">
        <v>1112</v>
      </c>
      <c r="D32" s="423">
        <f>VLOOKUP(C32,'Part List'!B:D,2,FALSE)</f>
        <v>999999</v>
      </c>
      <c r="H32" s="423" t="e">
        <f>VLOOKUP(G32,'Part List'!B:D,2,FALSE)</f>
        <v>#N/A</v>
      </c>
    </row>
    <row r="33" spans="1:8" x14ac:dyDescent="0.4">
      <c r="A33" s="114" t="s">
        <v>1113</v>
      </c>
      <c r="B33" s="114" t="s">
        <v>1072</v>
      </c>
      <c r="C33" s="114" t="s">
        <v>1114</v>
      </c>
      <c r="D33" s="423">
        <f>VLOOKUP(C33,'Part List'!B:D,2,FALSE)</f>
        <v>999999</v>
      </c>
      <c r="H33" s="423" t="e">
        <f>VLOOKUP(G33,'Part List'!B:D,2,FALSE)</f>
        <v>#N/A</v>
      </c>
    </row>
    <row r="34" spans="1:8" x14ac:dyDescent="0.4">
      <c r="A34" s="114" t="s">
        <v>1115</v>
      </c>
      <c r="B34" s="114" t="s">
        <v>1072</v>
      </c>
      <c r="C34" s="114" t="s">
        <v>1116</v>
      </c>
      <c r="D34" s="423">
        <f>VLOOKUP(C34,'Part List'!B:D,2,FALSE)</f>
        <v>999999</v>
      </c>
      <c r="H34" s="423" t="e">
        <f>VLOOKUP(G34,'Part List'!B:D,2,FALSE)</f>
        <v>#N/A</v>
      </c>
    </row>
    <row r="35" spans="1:8" x14ac:dyDescent="0.4">
      <c r="A35" s="114" t="s">
        <v>1117</v>
      </c>
      <c r="B35" s="114" t="s">
        <v>1072</v>
      </c>
      <c r="C35" s="114" t="s">
        <v>1118</v>
      </c>
      <c r="D35" s="423">
        <f>VLOOKUP(C35,'Part List'!B:D,2,FALSE)</f>
        <v>999999</v>
      </c>
      <c r="H35" s="423" t="e">
        <f>VLOOKUP(G35,'Part List'!B:D,2,FALSE)</f>
        <v>#N/A</v>
      </c>
    </row>
    <row r="36" spans="1:8" x14ac:dyDescent="0.4">
      <c r="A36" s="114" t="s">
        <v>1119</v>
      </c>
      <c r="B36" s="114" t="s">
        <v>1072</v>
      </c>
      <c r="C36" s="114" t="s">
        <v>1120</v>
      </c>
      <c r="D36" s="423">
        <f>VLOOKUP(C36,'Part List'!B:D,2,FALSE)</f>
        <v>999999</v>
      </c>
      <c r="H36" s="423" t="e">
        <f>VLOOKUP(G36,'Part List'!B:D,2,FALSE)</f>
        <v>#N/A</v>
      </c>
    </row>
    <row r="37" spans="1:8" x14ac:dyDescent="0.4">
      <c r="A37" s="114" t="s">
        <v>1121</v>
      </c>
      <c r="B37" s="114" t="s">
        <v>1072</v>
      </c>
      <c r="C37" s="114" t="s">
        <v>1122</v>
      </c>
      <c r="D37" s="423">
        <f>VLOOKUP(C37,'Part List'!B:D,2,FALSE)</f>
        <v>999999</v>
      </c>
      <c r="H37" s="423" t="e">
        <f>VLOOKUP(G37,'Part List'!B:D,2,FALSE)</f>
        <v>#N/A</v>
      </c>
    </row>
    <row r="38" spans="1:8" x14ac:dyDescent="0.4">
      <c r="A38" s="114" t="s">
        <v>1123</v>
      </c>
      <c r="B38" s="114" t="s">
        <v>1072</v>
      </c>
      <c r="C38" s="114" t="s">
        <v>1124</v>
      </c>
      <c r="D38" s="423">
        <f>VLOOKUP(C38,'Part List'!B:D,2,FALSE)</f>
        <v>999999</v>
      </c>
      <c r="H38" s="423" t="e">
        <f>VLOOKUP(G38,'Part List'!B:D,2,FALSE)</f>
        <v>#N/A</v>
      </c>
    </row>
    <row r="39" spans="1:8" x14ac:dyDescent="0.4">
      <c r="A39" s="114" t="s">
        <v>1125</v>
      </c>
      <c r="B39" s="114" t="s">
        <v>1072</v>
      </c>
      <c r="C39" s="114" t="s">
        <v>1126</v>
      </c>
      <c r="D39" s="423">
        <f>VLOOKUP(C39,'Part List'!B:D,2,FALSE)</f>
        <v>999999</v>
      </c>
      <c r="H39" s="423" t="e">
        <f>VLOOKUP(G39,'Part List'!B:D,2,FALSE)</f>
        <v>#N/A</v>
      </c>
    </row>
    <row r="40" spans="1:8" x14ac:dyDescent="0.4">
      <c r="A40" s="114" t="s">
        <v>1127</v>
      </c>
      <c r="B40" s="114" t="s">
        <v>1072</v>
      </c>
      <c r="C40" s="114" t="s">
        <v>1128</v>
      </c>
      <c r="D40" s="423">
        <f>VLOOKUP(C40,'Part List'!B:D,2,FALSE)</f>
        <v>999999</v>
      </c>
      <c r="H40" s="423" t="e">
        <f>VLOOKUP(G40,'Part List'!B:D,2,FALSE)</f>
        <v>#N/A</v>
      </c>
    </row>
    <row r="41" spans="1:8" x14ac:dyDescent="0.4">
      <c r="A41" s="114" t="s">
        <v>1129</v>
      </c>
      <c r="B41" s="114" t="s">
        <v>1072</v>
      </c>
      <c r="C41" s="114" t="s">
        <v>1130</v>
      </c>
      <c r="D41" s="423">
        <f>VLOOKUP(C41,'Part List'!B:D,2,FALSE)</f>
        <v>999999</v>
      </c>
      <c r="H41" s="423" t="e">
        <f>VLOOKUP(G41,'Part List'!B:D,2,FALSE)</f>
        <v>#N/A</v>
      </c>
    </row>
    <row r="42" spans="1:8" x14ac:dyDescent="0.4">
      <c r="A42" s="114" t="s">
        <v>1131</v>
      </c>
      <c r="B42" s="114" t="s">
        <v>1072</v>
      </c>
      <c r="C42" s="114" t="s">
        <v>1132</v>
      </c>
      <c r="D42" s="423">
        <f>VLOOKUP(C42,'Part List'!B:D,2,FALSE)</f>
        <v>999999</v>
      </c>
      <c r="H42" s="423" t="e">
        <f>VLOOKUP(G42,'Part List'!B:D,2,FALSE)</f>
        <v>#N/A</v>
      </c>
    </row>
    <row r="43" spans="1:8" x14ac:dyDescent="0.4">
      <c r="A43" s="114" t="s">
        <v>1133</v>
      </c>
      <c r="B43" s="114" t="s">
        <v>1072</v>
      </c>
      <c r="C43" s="114" t="s">
        <v>1134</v>
      </c>
      <c r="D43" s="423">
        <f>VLOOKUP(C43,'Part List'!B:D,2,FALSE)</f>
        <v>999999</v>
      </c>
      <c r="H43" s="423" t="e">
        <f>VLOOKUP(G43,'Part List'!B:D,2,FALSE)</f>
        <v>#N/A</v>
      </c>
    </row>
    <row r="44" spans="1:8" x14ac:dyDescent="0.4">
      <c r="A44" s="114" t="s">
        <v>1135</v>
      </c>
      <c r="B44" s="114" t="s">
        <v>1072</v>
      </c>
      <c r="C44" s="114" t="s">
        <v>1136</v>
      </c>
      <c r="D44" s="423">
        <f>VLOOKUP(C44,'Part List'!B:D,2,FALSE)</f>
        <v>999999</v>
      </c>
      <c r="H44" s="423" t="e">
        <f>VLOOKUP(G44,'Part List'!B:D,2,FALSE)</f>
        <v>#N/A</v>
      </c>
    </row>
    <row r="45" spans="1:8" x14ac:dyDescent="0.4">
      <c r="A45" s="114" t="s">
        <v>1137</v>
      </c>
      <c r="B45" s="114" t="s">
        <v>1072</v>
      </c>
      <c r="C45" s="114" t="s">
        <v>1138</v>
      </c>
      <c r="D45" s="423">
        <f>VLOOKUP(C45,'Part List'!B:D,2,FALSE)</f>
        <v>999999</v>
      </c>
      <c r="H45" s="423" t="e">
        <f>VLOOKUP(G45,'Part List'!B:D,2,FALSE)</f>
        <v>#N/A</v>
      </c>
    </row>
    <row r="46" spans="1:8" x14ac:dyDescent="0.4">
      <c r="A46" s="114" t="s">
        <v>1139</v>
      </c>
      <c r="B46" s="114" t="s">
        <v>1072</v>
      </c>
      <c r="C46" s="114" t="s">
        <v>1140</v>
      </c>
      <c r="D46" s="423">
        <f>VLOOKUP(C46,'Part List'!B:D,2,FALSE)</f>
        <v>999999</v>
      </c>
      <c r="H46" s="423" t="e">
        <f>VLOOKUP(G46,'Part List'!B:D,2,FALSE)</f>
        <v>#N/A</v>
      </c>
    </row>
    <row r="47" spans="1:8" x14ac:dyDescent="0.4">
      <c r="A47" s="114" t="s">
        <v>1141</v>
      </c>
      <c r="B47" s="114" t="s">
        <v>1072</v>
      </c>
      <c r="C47" s="114" t="s">
        <v>1142</v>
      </c>
      <c r="D47" s="423">
        <f>VLOOKUP(C47,'Part List'!B:D,2,FALSE)</f>
        <v>999999</v>
      </c>
      <c r="H47" s="423" t="e">
        <f>VLOOKUP(G47,'Part List'!B:D,2,FALSE)</f>
        <v>#N/A</v>
      </c>
    </row>
    <row r="48" spans="1:8" x14ac:dyDescent="0.4">
      <c r="A48" s="114" t="s">
        <v>1143</v>
      </c>
      <c r="B48" s="114" t="s">
        <v>1072</v>
      </c>
      <c r="C48" s="114" t="s">
        <v>1144</v>
      </c>
      <c r="D48" s="423">
        <f>VLOOKUP(C48,'Part List'!B:D,2,FALSE)</f>
        <v>999999</v>
      </c>
      <c r="H48" s="423" t="e">
        <f>VLOOKUP(G48,'Part List'!B:D,2,FALSE)</f>
        <v>#N/A</v>
      </c>
    </row>
    <row r="49" spans="1:8" x14ac:dyDescent="0.4">
      <c r="A49" s="114" t="s">
        <v>1145</v>
      </c>
      <c r="B49" s="114" t="s">
        <v>1072</v>
      </c>
      <c r="C49" s="114" t="s">
        <v>1146</v>
      </c>
      <c r="D49" s="423">
        <f>VLOOKUP(C49,'Part List'!B:D,2,FALSE)</f>
        <v>999999</v>
      </c>
      <c r="H49" s="423" t="e">
        <f>VLOOKUP(G49,'Part List'!B:D,2,FALSE)</f>
        <v>#N/A</v>
      </c>
    </row>
    <row r="50" spans="1:8" x14ac:dyDescent="0.4">
      <c r="A50" s="114" t="s">
        <v>1147</v>
      </c>
      <c r="B50" s="114" t="s">
        <v>1072</v>
      </c>
      <c r="C50" s="114" t="s">
        <v>1148</v>
      </c>
      <c r="D50" s="423">
        <f>VLOOKUP(C50,'Part List'!B:D,2,FALSE)</f>
        <v>999999</v>
      </c>
      <c r="H50" s="423" t="e">
        <f>VLOOKUP(G50,'Part List'!B:D,2,FALSE)</f>
        <v>#N/A</v>
      </c>
    </row>
    <row r="51" spans="1:8" x14ac:dyDescent="0.4">
      <c r="A51" s="114" t="s">
        <v>1149</v>
      </c>
      <c r="B51" s="114" t="s">
        <v>1072</v>
      </c>
      <c r="C51" s="114" t="s">
        <v>1150</v>
      </c>
      <c r="D51" s="423">
        <f>VLOOKUP(C51,'Part List'!B:D,2,FALSE)</f>
        <v>999999</v>
      </c>
      <c r="H51" s="423" t="e">
        <f>VLOOKUP(G51,'Part List'!B:D,2,FALSE)</f>
        <v>#N/A</v>
      </c>
    </row>
    <row r="52" spans="1:8" x14ac:dyDescent="0.4">
      <c r="A52" s="114" t="s">
        <v>1151</v>
      </c>
      <c r="B52" s="114" t="s">
        <v>1072</v>
      </c>
      <c r="C52" s="114" t="s">
        <v>1152</v>
      </c>
      <c r="D52" s="423">
        <f>VLOOKUP(C52,'Part List'!B:D,2,FALSE)</f>
        <v>999999</v>
      </c>
      <c r="H52" s="423" t="e">
        <f>VLOOKUP(G52,'Part List'!B:D,2,FALSE)</f>
        <v>#N/A</v>
      </c>
    </row>
    <row r="53" spans="1:8" x14ac:dyDescent="0.4">
      <c r="A53" s="114" t="s">
        <v>1153</v>
      </c>
      <c r="B53" s="114" t="s">
        <v>1072</v>
      </c>
      <c r="C53" s="114" t="s">
        <v>1154</v>
      </c>
      <c r="D53" s="423">
        <f>VLOOKUP(C53,'Part List'!B:D,2,FALSE)</f>
        <v>999999</v>
      </c>
      <c r="H53" s="423" t="e">
        <f>VLOOKUP(G53,'Part List'!B:D,2,FALSE)</f>
        <v>#N/A</v>
      </c>
    </row>
    <row r="54" spans="1:8" x14ac:dyDescent="0.4">
      <c r="A54" s="114" t="s">
        <v>1155</v>
      </c>
      <c r="B54" s="114" t="s">
        <v>1072</v>
      </c>
      <c r="C54" s="114" t="s">
        <v>1156</v>
      </c>
      <c r="D54" s="423">
        <f>VLOOKUP(C54,'Part List'!B:D,2,FALSE)</f>
        <v>999999</v>
      </c>
      <c r="H54" s="423" t="e">
        <f>VLOOKUP(G54,'Part List'!B:D,2,FALSE)</f>
        <v>#N/A</v>
      </c>
    </row>
    <row r="55" spans="1:8" x14ac:dyDescent="0.4">
      <c r="A55" s="114" t="s">
        <v>1157</v>
      </c>
      <c r="B55" s="114" t="s">
        <v>1072</v>
      </c>
      <c r="C55" s="114" t="s">
        <v>1158</v>
      </c>
      <c r="D55" s="423">
        <f>VLOOKUP(C55,'Part List'!B:D,2,FALSE)</f>
        <v>999999</v>
      </c>
      <c r="H55" s="423" t="e">
        <f>VLOOKUP(G55,'Part List'!B:D,2,FALSE)</f>
        <v>#N/A</v>
      </c>
    </row>
    <row r="56" spans="1:8" x14ac:dyDescent="0.4">
      <c r="A56" s="114" t="s">
        <v>1159</v>
      </c>
      <c r="B56" s="114" t="s">
        <v>1072</v>
      </c>
      <c r="C56" s="114" t="s">
        <v>1160</v>
      </c>
      <c r="D56" s="423">
        <f>VLOOKUP(C56,'Part List'!B:D,2,FALSE)</f>
        <v>999999</v>
      </c>
      <c r="H56" s="423" t="e">
        <f>VLOOKUP(G56,'Part List'!B:D,2,FALSE)</f>
        <v>#N/A</v>
      </c>
    </row>
    <row r="57" spans="1:8" x14ac:dyDescent="0.4">
      <c r="A57" s="114" t="s">
        <v>1161</v>
      </c>
      <c r="B57" s="114" t="s">
        <v>1072</v>
      </c>
      <c r="C57" s="114" t="s">
        <v>1162</v>
      </c>
      <c r="D57" s="423">
        <f>VLOOKUP(C57,'Part List'!B:D,2,FALSE)</f>
        <v>999999</v>
      </c>
      <c r="H57" s="423" t="e">
        <f>VLOOKUP(G57,'Part List'!B:D,2,FALSE)</f>
        <v>#N/A</v>
      </c>
    </row>
    <row r="58" spans="1:8" x14ac:dyDescent="0.4">
      <c r="A58" s="114" t="s">
        <v>1163</v>
      </c>
      <c r="B58" s="114" t="s">
        <v>1072</v>
      </c>
      <c r="C58" s="114" t="s">
        <v>1164</v>
      </c>
      <c r="D58" s="423">
        <f>VLOOKUP(C58,'Part List'!B:D,2,FALSE)</f>
        <v>999999</v>
      </c>
      <c r="H58" s="423" t="e">
        <f>VLOOKUP(G58,'Part List'!B:D,2,FALSE)</f>
        <v>#N/A</v>
      </c>
    </row>
    <row r="59" spans="1:8" x14ac:dyDescent="0.4">
      <c r="A59" s="114" t="s">
        <v>1165</v>
      </c>
      <c r="B59" s="114" t="s">
        <v>1072</v>
      </c>
      <c r="C59" s="114" t="s">
        <v>1166</v>
      </c>
      <c r="D59" s="423">
        <f>VLOOKUP(C59,'Part List'!B:D,2,FALSE)</f>
        <v>999999</v>
      </c>
      <c r="H59" s="423" t="e">
        <f>VLOOKUP(G59,'Part List'!B:D,2,FALSE)</f>
        <v>#N/A</v>
      </c>
    </row>
    <row r="60" spans="1:8" x14ac:dyDescent="0.4">
      <c r="A60" s="114" t="s">
        <v>1167</v>
      </c>
      <c r="B60" s="114" t="s">
        <v>1072</v>
      </c>
      <c r="C60" s="114" t="s">
        <v>1168</v>
      </c>
      <c r="D60" s="423">
        <f>VLOOKUP(C60,'Part List'!B:D,2,FALSE)</f>
        <v>999999</v>
      </c>
      <c r="H60" s="423" t="e">
        <f>VLOOKUP(G60,'Part List'!B:D,2,FALSE)</f>
        <v>#N/A</v>
      </c>
    </row>
    <row r="61" spans="1:8" x14ac:dyDescent="0.4">
      <c r="A61" s="114" t="s">
        <v>1169</v>
      </c>
      <c r="B61" s="114" t="s">
        <v>1072</v>
      </c>
      <c r="C61" s="114" t="s">
        <v>1170</v>
      </c>
      <c r="D61" s="423">
        <f>VLOOKUP(C61,'Part List'!B:D,2,FALSE)</f>
        <v>999999</v>
      </c>
      <c r="H61" s="423" t="e">
        <f>VLOOKUP(G61,'Part List'!B:D,2,FALSE)</f>
        <v>#N/A</v>
      </c>
    </row>
    <row r="62" spans="1:8" x14ac:dyDescent="0.4">
      <c r="A62" s="114" t="s">
        <v>1171</v>
      </c>
      <c r="B62" s="114" t="s">
        <v>1072</v>
      </c>
      <c r="C62" s="114" t="s">
        <v>1172</v>
      </c>
      <c r="D62" s="423">
        <f>VLOOKUP(C62,'Part List'!B:D,2,FALSE)</f>
        <v>999999</v>
      </c>
      <c r="H62" s="423" t="e">
        <f>VLOOKUP(G62,'Part List'!B:D,2,FALSE)</f>
        <v>#N/A</v>
      </c>
    </row>
    <row r="63" spans="1:8" x14ac:dyDescent="0.4">
      <c r="A63" s="114" t="s">
        <v>1173</v>
      </c>
      <c r="B63" s="114" t="s">
        <v>1072</v>
      </c>
      <c r="C63" s="114" t="s">
        <v>1174</v>
      </c>
      <c r="D63" s="423">
        <f>VLOOKUP(C63,'Part List'!B:D,2,FALSE)</f>
        <v>999999</v>
      </c>
      <c r="H63" s="423" t="e">
        <f>VLOOKUP(G63,'Part List'!B:D,2,FALSE)</f>
        <v>#N/A</v>
      </c>
    </row>
    <row r="64" spans="1:8" x14ac:dyDescent="0.4">
      <c r="A64" s="114" t="s">
        <v>1175</v>
      </c>
      <c r="B64" s="114" t="s">
        <v>1072</v>
      </c>
      <c r="C64" s="114" t="s">
        <v>1176</v>
      </c>
      <c r="D64" s="423">
        <f>VLOOKUP(C64,'Part List'!B:D,2,FALSE)</f>
        <v>999999</v>
      </c>
      <c r="H64" s="423" t="e">
        <f>VLOOKUP(G64,'Part List'!B:D,2,FALSE)</f>
        <v>#N/A</v>
      </c>
    </row>
    <row r="65" spans="1:8" x14ac:dyDescent="0.4">
      <c r="A65" s="114" t="s">
        <v>1177</v>
      </c>
      <c r="B65" s="114" t="s">
        <v>1072</v>
      </c>
      <c r="C65" s="114" t="s">
        <v>1178</v>
      </c>
      <c r="D65" s="423">
        <f>VLOOKUP(C65,'Part List'!B:D,2,FALSE)</f>
        <v>999999</v>
      </c>
      <c r="H65" s="423" t="e">
        <f>VLOOKUP(G65,'Part List'!B:D,2,FALSE)</f>
        <v>#N/A</v>
      </c>
    </row>
    <row r="66" spans="1:8" x14ac:dyDescent="0.4">
      <c r="A66" s="114" t="s">
        <v>1179</v>
      </c>
      <c r="B66" s="114" t="s">
        <v>1072</v>
      </c>
      <c r="C66" s="114" t="s">
        <v>1180</v>
      </c>
      <c r="D66" s="423">
        <f>VLOOKUP(C66,'Part List'!B:D,2,FALSE)</f>
        <v>999999</v>
      </c>
      <c r="H66" s="423" t="e">
        <f>VLOOKUP(G66,'Part List'!B:D,2,FALSE)</f>
        <v>#N/A</v>
      </c>
    </row>
    <row r="67" spans="1:8" x14ac:dyDescent="0.4">
      <c r="A67" s="114" t="s">
        <v>1181</v>
      </c>
      <c r="B67" s="114" t="s">
        <v>1072</v>
      </c>
      <c r="C67" s="114" t="s">
        <v>1182</v>
      </c>
      <c r="D67" s="423">
        <f>VLOOKUP(C67,'Part List'!B:D,2,FALSE)</f>
        <v>999999</v>
      </c>
      <c r="H67" s="423" t="e">
        <f>VLOOKUP(G67,'Part List'!B:D,2,FALSE)</f>
        <v>#N/A</v>
      </c>
    </row>
    <row r="68" spans="1:8" x14ac:dyDescent="0.4">
      <c r="A68" s="114" t="s">
        <v>1183</v>
      </c>
      <c r="B68" s="114" t="s">
        <v>1072</v>
      </c>
      <c r="C68" s="114" t="s">
        <v>1184</v>
      </c>
      <c r="D68" s="423">
        <f>VLOOKUP(C68,'Part List'!B:D,2,FALSE)</f>
        <v>999999</v>
      </c>
      <c r="H68" s="423" t="e">
        <f>VLOOKUP(G68,'Part List'!B:D,2,FALSE)</f>
        <v>#N/A</v>
      </c>
    </row>
    <row r="69" spans="1:8" x14ac:dyDescent="0.4">
      <c r="A69" s="114" t="s">
        <v>1185</v>
      </c>
      <c r="B69" s="114" t="s">
        <v>1072</v>
      </c>
      <c r="C69" s="114" t="s">
        <v>1186</v>
      </c>
      <c r="D69" s="423">
        <f>VLOOKUP(C69,'Part List'!B:D,2,FALSE)</f>
        <v>999999</v>
      </c>
      <c r="H69" s="423" t="e">
        <f>VLOOKUP(G69,'Part List'!B:D,2,FALSE)</f>
        <v>#N/A</v>
      </c>
    </row>
    <row r="70" spans="1:8" x14ac:dyDescent="0.4">
      <c r="A70" s="114" t="s">
        <v>1187</v>
      </c>
      <c r="B70" s="114" t="s">
        <v>1072</v>
      </c>
      <c r="C70" s="114" t="s">
        <v>1188</v>
      </c>
      <c r="D70" s="423">
        <f>VLOOKUP(C70,'Part List'!B:D,2,FALSE)</f>
        <v>999999</v>
      </c>
      <c r="H70" s="423" t="e">
        <f>VLOOKUP(G70,'Part List'!B:D,2,FALSE)</f>
        <v>#N/A</v>
      </c>
    </row>
    <row r="71" spans="1:8" x14ac:dyDescent="0.4">
      <c r="A71" s="114" t="s">
        <v>1189</v>
      </c>
      <c r="B71" s="114" t="s">
        <v>1072</v>
      </c>
      <c r="C71" s="114" t="s">
        <v>1190</v>
      </c>
      <c r="D71" s="423">
        <f>VLOOKUP(C71,'Part List'!B:D,2,FALSE)</f>
        <v>999999</v>
      </c>
      <c r="H71" s="423" t="e">
        <f>VLOOKUP(G71,'Part List'!B:D,2,FALSE)</f>
        <v>#N/A</v>
      </c>
    </row>
    <row r="72" spans="1:8" x14ac:dyDescent="0.4">
      <c r="A72" s="114" t="s">
        <v>1191</v>
      </c>
      <c r="B72" s="114" t="s">
        <v>1072</v>
      </c>
      <c r="C72" s="114" t="s">
        <v>1192</v>
      </c>
      <c r="D72" s="423">
        <f>VLOOKUP(C72,'Part List'!B:D,2,FALSE)</f>
        <v>999999</v>
      </c>
      <c r="H72" s="423" t="e">
        <f>VLOOKUP(G72,'Part List'!B:D,2,FALSE)</f>
        <v>#N/A</v>
      </c>
    </row>
    <row r="73" spans="1:8" x14ac:dyDescent="0.4">
      <c r="A73" s="114" t="s">
        <v>1193</v>
      </c>
      <c r="B73" s="114" t="s">
        <v>1072</v>
      </c>
      <c r="C73" s="114" t="s">
        <v>1194</v>
      </c>
      <c r="D73" s="423">
        <f>VLOOKUP(C73,'Part List'!B:D,2,FALSE)</f>
        <v>999999</v>
      </c>
      <c r="H73" s="423" t="e">
        <f>VLOOKUP(G73,'Part List'!B:D,2,FALSE)</f>
        <v>#N/A</v>
      </c>
    </row>
    <row r="74" spans="1:8" x14ac:dyDescent="0.4">
      <c r="A74" s="114" t="s">
        <v>1195</v>
      </c>
      <c r="B74" s="114" t="s">
        <v>1072</v>
      </c>
      <c r="C74" s="114" t="s">
        <v>1196</v>
      </c>
      <c r="D74" s="423">
        <f>VLOOKUP(C74,'Part List'!B:D,2,FALSE)</f>
        <v>999999</v>
      </c>
      <c r="H74" s="423" t="e">
        <f>VLOOKUP(G74,'Part List'!B:D,2,FALSE)</f>
        <v>#N/A</v>
      </c>
    </row>
    <row r="75" spans="1:8" x14ac:dyDescent="0.4">
      <c r="A75" s="114" t="s">
        <v>1197</v>
      </c>
      <c r="B75" s="114" t="s">
        <v>1072</v>
      </c>
      <c r="C75" s="114" t="s">
        <v>1198</v>
      </c>
      <c r="D75" s="423">
        <f>VLOOKUP(C75,'Part List'!B:D,2,FALSE)</f>
        <v>999999</v>
      </c>
      <c r="H75" s="423" t="e">
        <f>VLOOKUP(G75,'Part List'!B:D,2,FALSE)</f>
        <v>#N/A</v>
      </c>
    </row>
    <row r="76" spans="1:8" x14ac:dyDescent="0.4">
      <c r="A76" s="114" t="s">
        <v>1199</v>
      </c>
      <c r="B76" s="114" t="s">
        <v>1072</v>
      </c>
      <c r="C76" s="114" t="s">
        <v>1200</v>
      </c>
      <c r="D76" s="423">
        <f>VLOOKUP(C76,'Part List'!B:D,2,FALSE)</f>
        <v>999999</v>
      </c>
      <c r="H76" s="423" t="e">
        <f>VLOOKUP(G76,'Part List'!B:D,2,FALSE)</f>
        <v>#N/A</v>
      </c>
    </row>
    <row r="77" spans="1:8" x14ac:dyDescent="0.4">
      <c r="A77" s="114" t="s">
        <v>1201</v>
      </c>
      <c r="B77" s="114" t="s">
        <v>1072</v>
      </c>
      <c r="C77" s="114" t="s">
        <v>1202</v>
      </c>
      <c r="D77" s="423">
        <f>VLOOKUP(C77,'Part List'!B:D,2,FALSE)</f>
        <v>999999</v>
      </c>
      <c r="H77" s="423" t="e">
        <f>VLOOKUP(G77,'Part List'!B:D,2,FALSE)</f>
        <v>#N/A</v>
      </c>
    </row>
    <row r="78" spans="1:8" x14ac:dyDescent="0.4">
      <c r="A78" s="114" t="s">
        <v>1203</v>
      </c>
      <c r="B78" s="114" t="s">
        <v>1072</v>
      </c>
      <c r="C78" s="114" t="s">
        <v>1204</v>
      </c>
      <c r="D78" s="423">
        <f>VLOOKUP(C78,'Part List'!B:D,2,FALSE)</f>
        <v>999999</v>
      </c>
      <c r="H78" s="423" t="e">
        <f>VLOOKUP(G78,'Part List'!B:D,2,FALSE)</f>
        <v>#N/A</v>
      </c>
    </row>
    <row r="79" spans="1:8" x14ac:dyDescent="0.4">
      <c r="A79" s="114" t="s">
        <v>1205</v>
      </c>
      <c r="B79" s="114" t="s">
        <v>1072</v>
      </c>
      <c r="C79" s="114" t="s">
        <v>1206</v>
      </c>
      <c r="D79" s="423">
        <f>VLOOKUP(C79,'Part List'!B:D,2,FALSE)</f>
        <v>999999</v>
      </c>
      <c r="H79" s="423" t="e">
        <f>VLOOKUP(G79,'Part List'!B:D,2,FALSE)</f>
        <v>#N/A</v>
      </c>
    </row>
    <row r="80" spans="1:8" x14ac:dyDescent="0.4">
      <c r="A80" s="114" t="s">
        <v>1207</v>
      </c>
      <c r="B80" s="114" t="s">
        <v>1072</v>
      </c>
      <c r="C80" s="114" t="s">
        <v>1208</v>
      </c>
      <c r="D80" s="423">
        <f>VLOOKUP(C80,'Part List'!B:D,2,FALSE)</f>
        <v>999999</v>
      </c>
      <c r="H80" s="423" t="e">
        <f>VLOOKUP(G80,'Part List'!B:D,2,FALSE)</f>
        <v>#N/A</v>
      </c>
    </row>
    <row r="81" spans="1:8" x14ac:dyDescent="0.4">
      <c r="A81" s="114" t="s">
        <v>1209</v>
      </c>
      <c r="B81" s="114" t="s">
        <v>1072</v>
      </c>
      <c r="C81" s="114" t="s">
        <v>1210</v>
      </c>
      <c r="D81" s="423">
        <f>VLOOKUP(C81,'Part List'!B:D,2,FALSE)</f>
        <v>999999</v>
      </c>
      <c r="H81" s="423" t="e">
        <f>VLOOKUP(G81,'Part List'!B:D,2,FALSE)</f>
        <v>#N/A</v>
      </c>
    </row>
    <row r="82" spans="1:8" x14ac:dyDescent="0.4">
      <c r="A82" s="114" t="s">
        <v>1211</v>
      </c>
      <c r="B82" s="114" t="s">
        <v>1072</v>
      </c>
      <c r="C82" s="114" t="s">
        <v>1212</v>
      </c>
      <c r="D82" s="423">
        <f>VLOOKUP(C82,'Part List'!B:D,2,FALSE)</f>
        <v>999999</v>
      </c>
      <c r="H82" s="423" t="e">
        <f>VLOOKUP(G82,'Part List'!B:D,2,FALSE)</f>
        <v>#N/A</v>
      </c>
    </row>
    <row r="83" spans="1:8" x14ac:dyDescent="0.4">
      <c r="A83" s="114" t="s">
        <v>1213</v>
      </c>
      <c r="B83" s="114" t="s">
        <v>1072</v>
      </c>
      <c r="C83" s="114" t="s">
        <v>1214</v>
      </c>
      <c r="D83" s="423">
        <f>VLOOKUP(C83,'Part List'!B:D,2,FALSE)</f>
        <v>999999</v>
      </c>
      <c r="H83" s="423" t="e">
        <f>VLOOKUP(G83,'Part List'!B:D,2,FALSE)</f>
        <v>#N/A</v>
      </c>
    </row>
    <row r="84" spans="1:8" x14ac:dyDescent="0.4">
      <c r="A84" s="114" t="s">
        <v>1215</v>
      </c>
      <c r="B84" s="114" t="s">
        <v>1072</v>
      </c>
      <c r="C84" s="114" t="s">
        <v>1216</v>
      </c>
      <c r="D84" s="423">
        <f>VLOOKUP(C84,'Part List'!B:D,2,FALSE)</f>
        <v>999999</v>
      </c>
      <c r="H84" s="423" t="e">
        <f>VLOOKUP(G84,'Part List'!B:D,2,FALSE)</f>
        <v>#N/A</v>
      </c>
    </row>
    <row r="85" spans="1:8" x14ac:dyDescent="0.4">
      <c r="A85" s="114" t="s">
        <v>1217</v>
      </c>
      <c r="B85" s="114" t="s">
        <v>1072</v>
      </c>
      <c r="C85" s="114" t="s">
        <v>1218</v>
      </c>
      <c r="D85" s="423">
        <f>VLOOKUP(C85,'Part List'!B:D,2,FALSE)</f>
        <v>999999</v>
      </c>
      <c r="H85" s="423" t="e">
        <f>VLOOKUP(G85,'Part List'!B:D,2,FALSE)</f>
        <v>#N/A</v>
      </c>
    </row>
    <row r="86" spans="1:8" x14ac:dyDescent="0.4">
      <c r="A86" s="114" t="s">
        <v>1219</v>
      </c>
      <c r="B86" s="114" t="s">
        <v>1072</v>
      </c>
      <c r="C86" s="114" t="s">
        <v>1220</v>
      </c>
      <c r="D86" s="423">
        <f>VLOOKUP(C86,'Part List'!B:D,2,FALSE)</f>
        <v>999999</v>
      </c>
      <c r="H86" s="423" t="e">
        <f>VLOOKUP(G86,'Part List'!B:D,2,FALSE)</f>
        <v>#N/A</v>
      </c>
    </row>
    <row r="87" spans="1:8" x14ac:dyDescent="0.4">
      <c r="A87" s="114" t="s">
        <v>1221</v>
      </c>
      <c r="B87" s="114" t="s">
        <v>1072</v>
      </c>
      <c r="C87" s="114" t="s">
        <v>1222</v>
      </c>
      <c r="D87" s="423">
        <f>VLOOKUP(C87,'Part List'!B:D,2,FALSE)</f>
        <v>999999</v>
      </c>
      <c r="H87" s="423" t="e">
        <f>VLOOKUP(G87,'Part List'!B:D,2,FALSE)</f>
        <v>#N/A</v>
      </c>
    </row>
    <row r="88" spans="1:8" x14ac:dyDescent="0.4">
      <c r="A88" s="114" t="s">
        <v>1223</v>
      </c>
      <c r="B88" s="114" t="s">
        <v>1072</v>
      </c>
      <c r="C88" s="114" t="s">
        <v>1224</v>
      </c>
      <c r="D88" s="423">
        <f>VLOOKUP(C88,'Part List'!B:D,2,FALSE)</f>
        <v>999999</v>
      </c>
      <c r="H88" s="423" t="e">
        <f>VLOOKUP(G88,'Part List'!B:D,2,FALSE)</f>
        <v>#N/A</v>
      </c>
    </row>
    <row r="89" spans="1:8" x14ac:dyDescent="0.4">
      <c r="A89" s="114" t="s">
        <v>1225</v>
      </c>
      <c r="B89" s="114" t="s">
        <v>1072</v>
      </c>
      <c r="C89" s="114" t="s">
        <v>1226</v>
      </c>
      <c r="D89" s="423">
        <f>VLOOKUP(C89,'Part List'!B:D,2,FALSE)</f>
        <v>999999</v>
      </c>
      <c r="H89" s="423" t="e">
        <f>VLOOKUP(G89,'Part List'!B:D,2,FALSE)</f>
        <v>#N/A</v>
      </c>
    </row>
    <row r="90" spans="1:8" x14ac:dyDescent="0.4">
      <c r="A90" s="114" t="s">
        <v>1227</v>
      </c>
      <c r="B90" s="114" t="s">
        <v>1072</v>
      </c>
      <c r="C90" s="114" t="s">
        <v>1228</v>
      </c>
      <c r="D90" s="423">
        <f>VLOOKUP(C90,'Part List'!B:D,2,FALSE)</f>
        <v>999999</v>
      </c>
      <c r="H90" s="423" t="e">
        <f>VLOOKUP(G90,'Part List'!B:D,2,FALSE)</f>
        <v>#N/A</v>
      </c>
    </row>
    <row r="91" spans="1:8" x14ac:dyDescent="0.4">
      <c r="A91" s="114" t="s">
        <v>1229</v>
      </c>
      <c r="B91" s="114" t="s">
        <v>1072</v>
      </c>
      <c r="C91" s="114" t="s">
        <v>1230</v>
      </c>
      <c r="D91" s="423">
        <f>VLOOKUP(C91,'Part List'!B:D,2,FALSE)</f>
        <v>999999</v>
      </c>
      <c r="H91" s="423" t="e">
        <f>VLOOKUP(G91,'Part List'!B:D,2,FALSE)</f>
        <v>#N/A</v>
      </c>
    </row>
    <row r="92" spans="1:8" x14ac:dyDescent="0.4">
      <c r="A92" s="114" t="s">
        <v>1231</v>
      </c>
      <c r="B92" s="114" t="s">
        <v>833</v>
      </c>
      <c r="C92" s="114" t="s">
        <v>1231</v>
      </c>
      <c r="D92" s="423">
        <f>VLOOKUP(C92,'Part List'!B:D,2,FALSE)</f>
        <v>62</v>
      </c>
      <c r="H92" s="423" t="e">
        <f>VLOOKUP(G92,'Part List'!B:D,2,FALSE)</f>
        <v>#N/A</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55" zoomScaleNormal="55" zoomScaleSheetLayoutView="30" workbookViewId="0">
      <pane ySplit="1" topLeftCell="A210" activePane="bottomLeft" state="frozen"/>
      <selection activeCell="J2" sqref="J2"/>
      <selection pane="bottomLeft" activeCell="J2" sqref="J2"/>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074218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07421875" style="32" customWidth="1"/>
    <col min="28" max="28" width="51.69140625" style="32" customWidth="1"/>
    <col min="29" max="30" width="21.074218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074218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0</v>
      </c>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576" t="str">
        <f ca="1">C14</f>
        <v>AAA-MechElec - 1.0.xlsx</v>
      </c>
      <c r="D5" s="576"/>
      <c r="E5" s="576"/>
      <c r="F5" s="576"/>
      <c r="G5" s="576"/>
      <c r="H5" s="576"/>
      <c r="I5" s="577"/>
      <c r="J5" s="576"/>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576"/>
      <c r="D6" s="576"/>
      <c r="E6" s="576"/>
      <c r="F6" s="576"/>
      <c r="G6" s="576"/>
      <c r="H6" s="576"/>
      <c r="I6" s="577"/>
      <c r="J6" s="576"/>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576"/>
      <c r="D7" s="576"/>
      <c r="E7" s="576"/>
      <c r="F7" s="576"/>
      <c r="G7" s="576"/>
      <c r="H7" s="576"/>
      <c r="I7" s="577"/>
      <c r="J7" s="576"/>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hidden="1" x14ac:dyDescent="0.8">
      <c r="A8" s="262">
        <f>ROW()</f>
        <v>8</v>
      </c>
      <c r="B8" s="170" t="s">
        <v>491</v>
      </c>
      <c r="C8" s="209" t="s">
        <v>353</v>
      </c>
      <c r="D8" s="225" t="s">
        <v>369</v>
      </c>
      <c r="E8" s="209"/>
      <c r="F8" s="209"/>
      <c r="G8" s="209"/>
      <c r="H8" s="209"/>
      <c r="I8" s="294"/>
      <c r="J8" s="209" t="s">
        <v>368</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hidden="1" x14ac:dyDescent="0.9">
      <c r="A9" s="262">
        <f>ROW()</f>
        <v>9</v>
      </c>
      <c r="B9" s="170" t="s">
        <v>491</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hidden="1" x14ac:dyDescent="0.9">
      <c r="A11" s="262">
        <f>ROW()</f>
        <v>11</v>
      </c>
      <c r="B11" s="170" t="s">
        <v>491</v>
      </c>
      <c r="C11" s="208" t="s">
        <v>779</v>
      </c>
      <c r="D11" s="224" t="s">
        <v>582</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hidden="1" customHeight="1" x14ac:dyDescent="1.55">
      <c r="A14" s="262">
        <f>ROW()</f>
        <v>14</v>
      </c>
      <c r="B14" s="170" t="s">
        <v>491</v>
      </c>
      <c r="C14" s="578" t="str">
        <f ca="1">MID(CELL("filename",A1),FIND("[",CELL("filename",A1))+1,FIND("]", CELL("filename",A1))-FIND("[",CELL("filename",A1))-1)</f>
        <v>AAA-MechElec - 1.0.xlsx</v>
      </c>
      <c r="D14" s="579"/>
      <c r="E14" s="580"/>
      <c r="F14" s="580"/>
      <c r="G14" s="580"/>
      <c r="H14" s="580"/>
      <c r="I14" s="581"/>
      <c r="J14" s="582"/>
      <c r="K14" s="243"/>
      <c r="Z14" s="68"/>
      <c r="AA14" s="68"/>
      <c r="AG14" s="68"/>
      <c r="AH14" s="68"/>
      <c r="AM14" s="256"/>
      <c r="AN14" s="222" t="s">
        <v>605</v>
      </c>
    </row>
    <row r="15" spans="1:97" s="255" customFormat="1" ht="61.3" x14ac:dyDescent="0.9">
      <c r="A15" s="262">
        <f>ROW()</f>
        <v>15</v>
      </c>
      <c r="B15" s="170" t="s">
        <v>491</v>
      </c>
      <c r="C15" s="254"/>
      <c r="D15" s="259"/>
      <c r="E15" s="200"/>
      <c r="F15" s="200"/>
      <c r="G15" s="200"/>
      <c r="H15" s="200"/>
      <c r="I15" s="274" t="s">
        <v>695</v>
      </c>
      <c r="J15" s="275">
        <f ca="1">NOW()</f>
        <v>43363.614495717593</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491</v>
      </c>
      <c r="C16" s="222" t="s">
        <v>492</v>
      </c>
      <c r="D16" s="222" t="s">
        <v>676</v>
      </c>
      <c r="I16" s="293" t="s">
        <v>0</v>
      </c>
      <c r="J16" s="222" t="s">
        <v>386</v>
      </c>
      <c r="K16" s="222" t="s">
        <v>607</v>
      </c>
      <c r="L16" s="222" t="s">
        <v>375</v>
      </c>
      <c r="M16" s="222" t="s">
        <v>107</v>
      </c>
      <c r="N16" s="222" t="s">
        <v>108</v>
      </c>
      <c r="O16" s="222" t="s">
        <v>386</v>
      </c>
      <c r="P16" s="222" t="s">
        <v>533</v>
      </c>
      <c r="R16" s="222" t="s">
        <v>452</v>
      </c>
      <c r="S16" s="222" t="s">
        <v>0</v>
      </c>
      <c r="U16" s="222" t="s">
        <v>287</v>
      </c>
      <c r="V16" s="222" t="s">
        <v>288</v>
      </c>
      <c r="W16" s="222" t="s">
        <v>291</v>
      </c>
      <c r="Y16" s="222" t="s">
        <v>289</v>
      </c>
      <c r="Z16" s="222" t="s">
        <v>354</v>
      </c>
      <c r="AA16" s="222" t="s">
        <v>355</v>
      </c>
      <c r="AB16" s="222" t="s">
        <v>317</v>
      </c>
      <c r="AC16" s="222" t="s">
        <v>318</v>
      </c>
      <c r="AD16" s="222" t="s">
        <v>316</v>
      </c>
      <c r="AF16" s="222" t="s">
        <v>293</v>
      </c>
      <c r="AG16" s="222" t="s">
        <v>354</v>
      </c>
      <c r="AH16" s="222" t="s">
        <v>355</v>
      </c>
      <c r="AI16" s="222" t="s">
        <v>296</v>
      </c>
      <c r="AJ16" s="222" t="s">
        <v>294</v>
      </c>
      <c r="AK16" s="222" t="s">
        <v>295</v>
      </c>
      <c r="AO16" s="288"/>
      <c r="AP16" s="285" t="s">
        <v>715</v>
      </c>
      <c r="AQ16" s="285" t="s">
        <v>716</v>
      </c>
      <c r="AR16" s="285" t="s">
        <v>717</v>
      </c>
      <c r="AS16" s="285" t="s">
        <v>718</v>
      </c>
      <c r="AT16" s="285" t="s">
        <v>680</v>
      </c>
      <c r="AU16" s="285" t="s">
        <v>719</v>
      </c>
      <c r="AV16" s="285" t="s">
        <v>720</v>
      </c>
    </row>
    <row r="17" spans="1:46" s="261" customFormat="1" ht="92.6" hidden="1" x14ac:dyDescent="1.2">
      <c r="A17" s="262">
        <f>ROW()</f>
        <v>17</v>
      </c>
      <c r="B17" s="261" t="s">
        <v>491</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452</v>
      </c>
      <c r="M18" s="116" t="s">
        <v>107</v>
      </c>
      <c r="N18" s="116" t="s">
        <v>108</v>
      </c>
      <c r="O18" s="170" t="s">
        <v>386</v>
      </c>
      <c r="P18" s="573" t="s">
        <v>375</v>
      </c>
      <c r="Q18" s="573"/>
      <c r="R18" s="101" t="s">
        <v>452</v>
      </c>
      <c r="S18" s="116" t="s">
        <v>0</v>
      </c>
      <c r="T18" s="118"/>
      <c r="U18" s="116" t="s">
        <v>287</v>
      </c>
      <c r="V18" s="116" t="s">
        <v>288</v>
      </c>
      <c r="W18" s="116" t="s">
        <v>291</v>
      </c>
      <c r="X18" s="140"/>
      <c r="Y18" s="116" t="s">
        <v>289</v>
      </c>
      <c r="Z18" s="116" t="s">
        <v>354</v>
      </c>
      <c r="AA18" s="116" t="s">
        <v>355</v>
      </c>
      <c r="AB18" s="116" t="s">
        <v>317</v>
      </c>
      <c r="AC18" s="116" t="s">
        <v>318</v>
      </c>
      <c r="AD18" s="116" t="s">
        <v>316</v>
      </c>
      <c r="AE18" s="140"/>
      <c r="AF18" s="116" t="s">
        <v>293</v>
      </c>
      <c r="AG18" s="116" t="s">
        <v>354</v>
      </c>
      <c r="AH18" s="116" t="s">
        <v>355</v>
      </c>
      <c r="AI18" s="116" t="s">
        <v>296</v>
      </c>
      <c r="AJ18" s="116" t="s">
        <v>294</v>
      </c>
      <c r="AK18" s="116" t="s">
        <v>295</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526</v>
      </c>
      <c r="O19" s="121" t="s">
        <v>195</v>
      </c>
      <c r="P19" s="173" t="s">
        <v>379</v>
      </c>
      <c r="Q19" s="173" t="s">
        <v>375</v>
      </c>
      <c r="R19" s="173"/>
      <c r="S19" s="174">
        <f>M19</f>
        <v>0</v>
      </c>
      <c r="T19" s="175"/>
      <c r="U19" s="175" t="s">
        <v>292</v>
      </c>
      <c r="V19" s="174">
        <f>S19</f>
        <v>0</v>
      </c>
      <c r="W19" s="174">
        <f>VLOOKUP(U19,Sheet1!$B$6:$C$45,2,FALSE)*V19</f>
        <v>0</v>
      </c>
      <c r="X19" s="174"/>
      <c r="Y19" s="175" t="s">
        <v>292</v>
      </c>
      <c r="Z19" s="168">
        <f>VLOOKUP(Takeoffs!Y19,Sheet1!$B$6:$C$124,2,FALSE)</f>
        <v>0</v>
      </c>
      <c r="AA19" s="168">
        <f>Z19*AB19</f>
        <v>0</v>
      </c>
      <c r="AB19" s="176">
        <f>AD19*AC19</f>
        <v>0</v>
      </c>
      <c r="AC19" s="174">
        <f>S19</f>
        <v>0</v>
      </c>
      <c r="AD19" s="174">
        <v>1</v>
      </c>
      <c r="AE19" s="174"/>
      <c r="AF19" s="175" t="s">
        <v>292</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534</v>
      </c>
      <c r="P20" s="175"/>
      <c r="Q20" s="175"/>
      <c r="R20" s="175"/>
      <c r="S20" s="174">
        <f>M19</f>
        <v>0</v>
      </c>
      <c r="T20" s="172"/>
      <c r="U20" s="175" t="s">
        <v>292</v>
      </c>
      <c r="V20" s="174">
        <f t="shared" ref="V20:V39" si="1">S20</f>
        <v>0</v>
      </c>
      <c r="W20" s="174">
        <f>VLOOKUP(U20,Sheet1!$B$6:$C$45,2,FALSE)*V20</f>
        <v>0</v>
      </c>
      <c r="X20" s="174"/>
      <c r="Y20" s="175" t="s">
        <v>292</v>
      </c>
      <c r="Z20" s="168">
        <f>VLOOKUP(Takeoffs!Y20,Sheet1!$B$6:$C$124,2,FALSE)</f>
        <v>0</v>
      </c>
      <c r="AA20" s="168">
        <f t="shared" ref="AA20:AA39" si="2">Z20*AB20</f>
        <v>0</v>
      </c>
      <c r="AB20" s="176">
        <f t="shared" ref="AB20:AB39" si="3">AD20*AC20</f>
        <v>0</v>
      </c>
      <c r="AC20" s="174">
        <f>S20</f>
        <v>0</v>
      </c>
      <c r="AD20" s="174">
        <v>1</v>
      </c>
      <c r="AE20" s="174"/>
      <c r="AF20" s="175" t="s">
        <v>292</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399</v>
      </c>
      <c r="P21" s="175"/>
      <c r="Q21" s="175"/>
      <c r="R21" s="175"/>
      <c r="S21" s="174">
        <f>M19</f>
        <v>0</v>
      </c>
      <c r="T21" s="172"/>
      <c r="U21" s="175" t="s">
        <v>292</v>
      </c>
      <c r="V21" s="174">
        <f t="shared" si="1"/>
        <v>0</v>
      </c>
      <c r="W21" s="174">
        <f>VLOOKUP(U21,Sheet1!$B$6:$C$45,2,FALSE)*V21</f>
        <v>0</v>
      </c>
      <c r="X21" s="174"/>
      <c r="Y21" s="175" t="s">
        <v>292</v>
      </c>
      <c r="Z21" s="168">
        <f>VLOOKUP(Takeoffs!Y21,Sheet1!$B$6:$C$124,2,FALSE)</f>
        <v>0</v>
      </c>
      <c r="AA21" s="168">
        <f t="shared" si="2"/>
        <v>0</v>
      </c>
      <c r="AB21" s="176">
        <f t="shared" si="3"/>
        <v>0</v>
      </c>
      <c r="AC21" s="174">
        <f>S21</f>
        <v>0</v>
      </c>
      <c r="AD21" s="174">
        <v>1</v>
      </c>
      <c r="AE21" s="174"/>
      <c r="AF21" s="175" t="s">
        <v>292</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400</v>
      </c>
      <c r="P22" s="175"/>
      <c r="Q22" s="175"/>
      <c r="R22" s="175"/>
      <c r="S22" s="174">
        <f>M19</f>
        <v>0</v>
      </c>
      <c r="T22" s="172"/>
      <c r="U22" s="175" t="s">
        <v>292</v>
      </c>
      <c r="V22" s="174">
        <f t="shared" si="1"/>
        <v>0</v>
      </c>
      <c r="W22" s="174">
        <f>VLOOKUP(U22,Sheet1!$B$6:$C$45,2,FALSE)*V22</f>
        <v>0</v>
      </c>
      <c r="X22" s="174"/>
      <c r="Y22" s="175" t="s">
        <v>292</v>
      </c>
      <c r="Z22" s="168">
        <f>VLOOKUP(Takeoffs!Y22,Sheet1!$B$6:$C$124,2,FALSE)</f>
        <v>0</v>
      </c>
      <c r="AA22" s="168">
        <f t="shared" si="2"/>
        <v>0</v>
      </c>
      <c r="AB22" s="176">
        <f t="shared" si="3"/>
        <v>0</v>
      </c>
      <c r="AC22" s="174">
        <f t="shared" ref="AC22:AC39" si="13">S22</f>
        <v>0</v>
      </c>
      <c r="AD22" s="174">
        <v>1</v>
      </c>
      <c r="AE22" s="174"/>
      <c r="AF22" s="175" t="s">
        <v>292</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401</v>
      </c>
      <c r="P23" s="175"/>
      <c r="Q23" s="175"/>
      <c r="R23" s="175"/>
      <c r="S23" s="174">
        <f>M19</f>
        <v>0</v>
      </c>
      <c r="T23" s="172"/>
      <c r="U23" s="175" t="s">
        <v>292</v>
      </c>
      <c r="V23" s="174">
        <f t="shared" si="1"/>
        <v>0</v>
      </c>
      <c r="W23" s="174">
        <f>VLOOKUP(U23,Sheet1!$B$6:$C$45,2,FALSE)*V23</f>
        <v>0</v>
      </c>
      <c r="X23" s="174"/>
      <c r="Y23" s="175" t="s">
        <v>292</v>
      </c>
      <c r="Z23" s="168">
        <f>VLOOKUP(Takeoffs!Y23,Sheet1!$B$6:$C$124,2,FALSE)</f>
        <v>0</v>
      </c>
      <c r="AA23" s="168">
        <f t="shared" si="2"/>
        <v>0</v>
      </c>
      <c r="AB23" s="176">
        <f t="shared" si="3"/>
        <v>0</v>
      </c>
      <c r="AC23" s="174">
        <f t="shared" si="13"/>
        <v>0</v>
      </c>
      <c r="AD23" s="174">
        <v>1</v>
      </c>
      <c r="AE23" s="174"/>
      <c r="AF23" s="175" t="s">
        <v>292</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402</v>
      </c>
      <c r="P24" s="175"/>
      <c r="Q24" s="175"/>
      <c r="R24" s="175"/>
      <c r="S24" s="174">
        <f>M19</f>
        <v>0</v>
      </c>
      <c r="T24" s="172"/>
      <c r="U24" s="175" t="s">
        <v>292</v>
      </c>
      <c r="V24" s="174">
        <f t="shared" si="1"/>
        <v>0</v>
      </c>
      <c r="W24" s="174">
        <f>VLOOKUP(U24,Sheet1!$B$6:$C$45,2,FALSE)*V24</f>
        <v>0</v>
      </c>
      <c r="X24" s="174"/>
      <c r="Y24" s="175" t="s">
        <v>292</v>
      </c>
      <c r="Z24" s="168">
        <f>VLOOKUP(Takeoffs!Y24,Sheet1!$B$6:$C$124,2,FALSE)</f>
        <v>0</v>
      </c>
      <c r="AA24" s="168">
        <f t="shared" si="2"/>
        <v>0</v>
      </c>
      <c r="AB24" s="176">
        <f t="shared" si="3"/>
        <v>0</v>
      </c>
      <c r="AC24" s="174">
        <f t="shared" si="13"/>
        <v>0</v>
      </c>
      <c r="AD24" s="174">
        <v>1</v>
      </c>
      <c r="AE24" s="174"/>
      <c r="AF24" s="175" t="s">
        <v>292</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403</v>
      </c>
      <c r="P25" s="175"/>
      <c r="Q25" s="175"/>
      <c r="R25" s="175"/>
      <c r="S25" s="174">
        <f>M19</f>
        <v>0</v>
      </c>
      <c r="T25" s="172"/>
      <c r="U25" s="175" t="s">
        <v>292</v>
      </c>
      <c r="V25" s="174">
        <f t="shared" si="1"/>
        <v>0</v>
      </c>
      <c r="W25" s="174">
        <f>VLOOKUP(U25,Sheet1!$B$6:$C$45,2,FALSE)*V25</f>
        <v>0</v>
      </c>
      <c r="X25" s="174"/>
      <c r="Y25" s="175" t="s">
        <v>292</v>
      </c>
      <c r="Z25" s="168">
        <f>VLOOKUP(Takeoffs!Y25,Sheet1!$B$6:$C$124,2,FALSE)</f>
        <v>0</v>
      </c>
      <c r="AA25" s="168">
        <f t="shared" si="2"/>
        <v>0</v>
      </c>
      <c r="AB25" s="176">
        <f t="shared" si="3"/>
        <v>0</v>
      </c>
      <c r="AC25" s="174">
        <f t="shared" si="13"/>
        <v>0</v>
      </c>
      <c r="AD25" s="174">
        <v>1</v>
      </c>
      <c r="AE25" s="174"/>
      <c r="AF25" s="175" t="s">
        <v>292</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404</v>
      </c>
      <c r="P26" s="175"/>
      <c r="Q26" s="175"/>
      <c r="R26" s="175"/>
      <c r="S26" s="174">
        <f>M19</f>
        <v>0</v>
      </c>
      <c r="T26" s="172"/>
      <c r="U26" s="175" t="s">
        <v>292</v>
      </c>
      <c r="V26" s="174">
        <f t="shared" si="1"/>
        <v>0</v>
      </c>
      <c r="W26" s="174">
        <f>VLOOKUP(U26,Sheet1!$B$6:$C$45,2,FALSE)*V26</f>
        <v>0</v>
      </c>
      <c r="X26" s="174"/>
      <c r="Y26" s="175" t="s">
        <v>292</v>
      </c>
      <c r="Z26" s="168">
        <f>VLOOKUP(Takeoffs!Y26,Sheet1!$B$6:$C$124,2,FALSE)</f>
        <v>0</v>
      </c>
      <c r="AA26" s="168">
        <f t="shared" si="2"/>
        <v>0</v>
      </c>
      <c r="AB26" s="176">
        <f t="shared" si="3"/>
        <v>0</v>
      </c>
      <c r="AC26" s="174">
        <f t="shared" si="13"/>
        <v>0</v>
      </c>
      <c r="AD26" s="174">
        <v>1</v>
      </c>
      <c r="AE26" s="174"/>
      <c r="AF26" s="175" t="s">
        <v>292</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509</v>
      </c>
      <c r="P27" s="175"/>
      <c r="Q27" s="175"/>
      <c r="R27" s="175"/>
      <c r="S27" s="174">
        <f>M19</f>
        <v>0</v>
      </c>
      <c r="T27" s="172"/>
      <c r="U27" s="175" t="s">
        <v>292</v>
      </c>
      <c r="V27" s="174">
        <f t="shared" si="1"/>
        <v>0</v>
      </c>
      <c r="W27" s="174">
        <f>VLOOKUP(U27,Sheet1!$B$6:$C$45,2,FALSE)*V27</f>
        <v>0</v>
      </c>
      <c r="X27" s="174"/>
      <c r="Y27" s="175" t="s">
        <v>292</v>
      </c>
      <c r="Z27" s="168">
        <f>VLOOKUP(Takeoffs!Y27,Sheet1!$B$6:$C$124,2,FALSE)</f>
        <v>0</v>
      </c>
      <c r="AA27" s="168">
        <f t="shared" si="2"/>
        <v>0</v>
      </c>
      <c r="AB27" s="176">
        <f t="shared" si="3"/>
        <v>0</v>
      </c>
      <c r="AC27" s="174">
        <f t="shared" si="13"/>
        <v>0</v>
      </c>
      <c r="AD27" s="174">
        <v>1</v>
      </c>
      <c r="AE27" s="174"/>
      <c r="AF27" s="175" t="s">
        <v>292</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440</v>
      </c>
      <c r="P28" s="175"/>
      <c r="Q28" s="175"/>
      <c r="R28" s="175"/>
      <c r="S28" s="174">
        <f>M19</f>
        <v>0</v>
      </c>
      <c r="T28" s="172"/>
      <c r="U28" s="175" t="s">
        <v>292</v>
      </c>
      <c r="V28" s="174">
        <f t="shared" si="1"/>
        <v>0</v>
      </c>
      <c r="W28" s="174">
        <f>VLOOKUP(U28,Sheet1!$B$6:$C$45,2,FALSE)*V28</f>
        <v>0</v>
      </c>
      <c r="X28" s="174"/>
      <c r="Y28" s="175" t="s">
        <v>292</v>
      </c>
      <c r="Z28" s="168">
        <f>VLOOKUP(Takeoffs!Y28,Sheet1!$B$6:$C$124,2,FALSE)</f>
        <v>0</v>
      </c>
      <c r="AA28" s="168">
        <f t="shared" si="2"/>
        <v>0</v>
      </c>
      <c r="AB28" s="176">
        <f t="shared" si="3"/>
        <v>0</v>
      </c>
      <c r="AC28" s="174">
        <f t="shared" si="13"/>
        <v>0</v>
      </c>
      <c r="AD28" s="174">
        <v>1</v>
      </c>
      <c r="AE28" s="174"/>
      <c r="AF28" s="175" t="s">
        <v>292</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532</v>
      </c>
      <c r="P29" s="175"/>
      <c r="Q29" s="175"/>
      <c r="R29" s="175"/>
      <c r="S29" s="174">
        <f>M19</f>
        <v>0</v>
      </c>
      <c r="T29" s="172"/>
      <c r="U29" s="175" t="s">
        <v>292</v>
      </c>
      <c r="V29" s="174">
        <f t="shared" si="1"/>
        <v>0</v>
      </c>
      <c r="W29" s="174">
        <f>VLOOKUP(U29,Sheet1!$B$6:$C$45,2,FALSE)*V29</f>
        <v>0</v>
      </c>
      <c r="X29" s="174"/>
      <c r="Y29" s="175" t="s">
        <v>292</v>
      </c>
      <c r="Z29" s="168">
        <f>VLOOKUP(Takeoffs!Y29,Sheet1!$B$6:$C$124,2,FALSE)</f>
        <v>0</v>
      </c>
      <c r="AA29" s="168">
        <f t="shared" si="2"/>
        <v>0</v>
      </c>
      <c r="AB29" s="176">
        <f t="shared" si="3"/>
        <v>0</v>
      </c>
      <c r="AC29" s="174">
        <f t="shared" si="13"/>
        <v>0</v>
      </c>
      <c r="AD29" s="174">
        <v>1</v>
      </c>
      <c r="AE29" s="174"/>
      <c r="AF29" s="175" t="s">
        <v>292</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292</v>
      </c>
      <c r="V30" s="174">
        <f t="shared" si="1"/>
        <v>0</v>
      </c>
      <c r="W30" s="174">
        <f>VLOOKUP(U30,Sheet1!$B$6:$C$45,2,FALSE)*V30</f>
        <v>0</v>
      </c>
      <c r="X30" s="174"/>
      <c r="Y30" s="175" t="s">
        <v>292</v>
      </c>
      <c r="Z30" s="168">
        <f>VLOOKUP(Takeoffs!Y30,Sheet1!$B$6:$C$124,2,FALSE)</f>
        <v>0</v>
      </c>
      <c r="AA30" s="168">
        <f t="shared" si="2"/>
        <v>0</v>
      </c>
      <c r="AB30" s="176">
        <f t="shared" si="3"/>
        <v>0</v>
      </c>
      <c r="AC30" s="174">
        <f t="shared" si="13"/>
        <v>0</v>
      </c>
      <c r="AD30" s="174">
        <v>1</v>
      </c>
      <c r="AE30" s="174"/>
      <c r="AF30" s="175" t="s">
        <v>292</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292</v>
      </c>
      <c r="V31" s="174">
        <f t="shared" si="1"/>
        <v>0</v>
      </c>
      <c r="W31" s="174">
        <f>VLOOKUP(U31,Sheet1!$B$6:$C$45,2,FALSE)*V31</f>
        <v>0</v>
      </c>
      <c r="X31" s="174"/>
      <c r="Y31" s="175" t="s">
        <v>292</v>
      </c>
      <c r="Z31" s="168">
        <f>VLOOKUP(Takeoffs!Y31,Sheet1!$B$6:$C$124,2,FALSE)</f>
        <v>0</v>
      </c>
      <c r="AA31" s="168">
        <f t="shared" si="2"/>
        <v>0</v>
      </c>
      <c r="AB31" s="176">
        <f t="shared" si="3"/>
        <v>0</v>
      </c>
      <c r="AC31" s="174">
        <f t="shared" si="13"/>
        <v>0</v>
      </c>
      <c r="AD31" s="174">
        <v>1</v>
      </c>
      <c r="AE31" s="174"/>
      <c r="AF31" s="175" t="s">
        <v>292</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292</v>
      </c>
      <c r="V32" s="174">
        <f t="shared" si="1"/>
        <v>0</v>
      </c>
      <c r="W32" s="174">
        <f>VLOOKUP(U32,Sheet1!$B$6:$C$45,2,FALSE)*V32</f>
        <v>0</v>
      </c>
      <c r="X32" s="174"/>
      <c r="Y32" s="175" t="s">
        <v>292</v>
      </c>
      <c r="Z32" s="168">
        <f>VLOOKUP(Takeoffs!Y32,Sheet1!$B$6:$C$124,2,FALSE)</f>
        <v>0</v>
      </c>
      <c r="AA32" s="168">
        <f t="shared" si="2"/>
        <v>0</v>
      </c>
      <c r="AB32" s="176">
        <f t="shared" si="3"/>
        <v>0</v>
      </c>
      <c r="AC32" s="174">
        <f t="shared" si="13"/>
        <v>0</v>
      </c>
      <c r="AD32" s="174">
        <v>1</v>
      </c>
      <c r="AE32" s="174"/>
      <c r="AF32" s="175" t="s">
        <v>292</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292</v>
      </c>
      <c r="V33" s="174">
        <f t="shared" si="1"/>
        <v>0</v>
      </c>
      <c r="W33" s="174">
        <f>VLOOKUP(U33,Sheet1!$B$6:$C$45,2,FALSE)*V33</f>
        <v>0</v>
      </c>
      <c r="X33" s="174"/>
      <c r="Y33" s="175" t="s">
        <v>292</v>
      </c>
      <c r="Z33" s="168">
        <f>VLOOKUP(Takeoffs!Y33,Sheet1!$B$6:$C$124,2,FALSE)</f>
        <v>0</v>
      </c>
      <c r="AA33" s="168">
        <f t="shared" si="2"/>
        <v>0</v>
      </c>
      <c r="AB33" s="176">
        <f t="shared" si="3"/>
        <v>0</v>
      </c>
      <c r="AC33" s="174">
        <f t="shared" si="13"/>
        <v>0</v>
      </c>
      <c r="AD33" s="174">
        <v>1</v>
      </c>
      <c r="AE33" s="174"/>
      <c r="AF33" s="175" t="s">
        <v>292</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292</v>
      </c>
      <c r="V34" s="174">
        <f t="shared" si="1"/>
        <v>0</v>
      </c>
      <c r="W34" s="174">
        <f>VLOOKUP(U34,Sheet1!$B$6:$C$45,2,FALSE)*V34</f>
        <v>0</v>
      </c>
      <c r="X34" s="174"/>
      <c r="Y34" s="175" t="s">
        <v>292</v>
      </c>
      <c r="Z34" s="168">
        <f>VLOOKUP(Takeoffs!Y34,Sheet1!$B$6:$C$124,2,FALSE)</f>
        <v>0</v>
      </c>
      <c r="AA34" s="168">
        <f t="shared" si="2"/>
        <v>0</v>
      </c>
      <c r="AB34" s="176">
        <f t="shared" si="3"/>
        <v>0</v>
      </c>
      <c r="AC34" s="174">
        <f t="shared" si="13"/>
        <v>0</v>
      </c>
      <c r="AD34" s="174">
        <v>2</v>
      </c>
      <c r="AE34" s="174"/>
      <c r="AF34" s="175" t="s">
        <v>292</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292</v>
      </c>
      <c r="V35" s="174">
        <f t="shared" si="1"/>
        <v>0</v>
      </c>
      <c r="W35" s="174">
        <f>VLOOKUP(U35,Sheet1!$B$6:$C$45,2,FALSE)*V35</f>
        <v>0</v>
      </c>
      <c r="X35" s="174"/>
      <c r="Y35" s="175" t="s">
        <v>292</v>
      </c>
      <c r="Z35" s="168">
        <f>VLOOKUP(Takeoffs!Y35,Sheet1!$B$6:$C$124,2,FALSE)</f>
        <v>0</v>
      </c>
      <c r="AA35" s="168">
        <f t="shared" si="2"/>
        <v>0</v>
      </c>
      <c r="AB35" s="176">
        <f t="shared" si="3"/>
        <v>0</v>
      </c>
      <c r="AC35" s="174">
        <f t="shared" si="13"/>
        <v>0</v>
      </c>
      <c r="AD35" s="174">
        <v>1</v>
      </c>
      <c r="AE35" s="174"/>
      <c r="AF35" s="175" t="s">
        <v>292</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292</v>
      </c>
      <c r="V36" s="174">
        <f t="shared" si="1"/>
        <v>0</v>
      </c>
      <c r="W36" s="174">
        <f>VLOOKUP(U36,Sheet1!$B$6:$C$45,2,FALSE)*V36</f>
        <v>0</v>
      </c>
      <c r="X36" s="174"/>
      <c r="Y36" s="175" t="s">
        <v>292</v>
      </c>
      <c r="Z36" s="168">
        <f>VLOOKUP(Takeoffs!Y36,Sheet1!$B$6:$C$124,2,FALSE)</f>
        <v>0</v>
      </c>
      <c r="AA36" s="168">
        <f t="shared" si="2"/>
        <v>0</v>
      </c>
      <c r="AB36" s="176">
        <f t="shared" si="3"/>
        <v>0</v>
      </c>
      <c r="AC36" s="174">
        <f t="shared" si="13"/>
        <v>0</v>
      </c>
      <c r="AD36" s="174">
        <v>1</v>
      </c>
      <c r="AE36" s="174"/>
      <c r="AF36" s="175" t="s">
        <v>292</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292</v>
      </c>
      <c r="V37" s="174">
        <f t="shared" si="1"/>
        <v>0</v>
      </c>
      <c r="W37" s="174">
        <f>VLOOKUP(U37,Sheet1!$B$6:$C$45,2,FALSE)*V37</f>
        <v>0</v>
      </c>
      <c r="X37" s="174"/>
      <c r="Y37" s="175" t="s">
        <v>292</v>
      </c>
      <c r="Z37" s="168">
        <f>VLOOKUP(Takeoffs!Y37,Sheet1!$B$6:$C$124,2,FALSE)</f>
        <v>0</v>
      </c>
      <c r="AA37" s="168">
        <f t="shared" si="2"/>
        <v>0</v>
      </c>
      <c r="AB37" s="176">
        <f t="shared" si="3"/>
        <v>0</v>
      </c>
      <c r="AC37" s="174">
        <f t="shared" si="13"/>
        <v>0</v>
      </c>
      <c r="AD37" s="174">
        <v>1</v>
      </c>
      <c r="AE37" s="174"/>
      <c r="AF37" s="175" t="s">
        <v>292</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292</v>
      </c>
      <c r="V38" s="174">
        <f t="shared" si="1"/>
        <v>0</v>
      </c>
      <c r="W38" s="174">
        <f>VLOOKUP(U38,Sheet1!$B$6:$C$45,2,FALSE)*V38</f>
        <v>0</v>
      </c>
      <c r="X38" s="174"/>
      <c r="Y38" s="175" t="s">
        <v>292</v>
      </c>
      <c r="Z38" s="168">
        <f>VLOOKUP(Takeoffs!Y38,Sheet1!$B$6:$C$124,2,FALSE)</f>
        <v>0</v>
      </c>
      <c r="AA38" s="168">
        <f t="shared" si="2"/>
        <v>0</v>
      </c>
      <c r="AB38" s="176">
        <f t="shared" si="3"/>
        <v>0</v>
      </c>
      <c r="AC38" s="174">
        <f t="shared" si="13"/>
        <v>0</v>
      </c>
      <c r="AD38" s="174">
        <v>1</v>
      </c>
      <c r="AE38" s="174"/>
      <c r="AF38" s="175" t="s">
        <v>292</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292</v>
      </c>
      <c r="V39" s="174">
        <f t="shared" si="1"/>
        <v>0</v>
      </c>
      <c r="W39" s="174">
        <f>VLOOKUP(U39,Sheet1!$B$6:$C$45,2,FALSE)*V39</f>
        <v>0</v>
      </c>
      <c r="X39" s="174"/>
      <c r="Y39" s="175" t="s">
        <v>292</v>
      </c>
      <c r="Z39" s="168">
        <f>VLOOKUP(Takeoffs!Y39,Sheet1!$B$6:$C$124,2,FALSE)</f>
        <v>0</v>
      </c>
      <c r="AA39" s="168">
        <f t="shared" si="2"/>
        <v>0</v>
      </c>
      <c r="AB39" s="176">
        <f t="shared" si="3"/>
        <v>0</v>
      </c>
      <c r="AC39" s="174">
        <f t="shared" si="13"/>
        <v>0</v>
      </c>
      <c r="AD39" s="174">
        <v>1</v>
      </c>
      <c r="AE39" s="174"/>
      <c r="AF39" s="175" t="s">
        <v>292</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377</v>
      </c>
      <c r="L40" s="128" t="s">
        <v>378</v>
      </c>
      <c r="N40" s="129"/>
      <c r="O40" s="130" t="s">
        <v>357</v>
      </c>
      <c r="P40" s="172">
        <f>P41*M19</f>
        <v>0</v>
      </c>
      <c r="Q40" s="172"/>
      <c r="R40" s="172"/>
      <c r="S40" s="175"/>
      <c r="T40" s="172"/>
      <c r="U40" s="175" t="s">
        <v>351</v>
      </c>
      <c r="V40" s="172">
        <f>W40*80</f>
        <v>0</v>
      </c>
      <c r="W40" s="177">
        <f>SUM(W19:W39)</f>
        <v>0</v>
      </c>
      <c r="X40" s="178"/>
      <c r="Y40" s="172" t="s">
        <v>352</v>
      </c>
      <c r="Z40" s="168"/>
      <c r="AA40" s="168">
        <f>SUM(AA19:AA39)</f>
        <v>0</v>
      </c>
      <c r="AB40" s="179"/>
      <c r="AC40" s="179"/>
      <c r="AD40" s="179"/>
      <c r="AE40" s="179"/>
      <c r="AF40" s="172" t="s">
        <v>356</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hidden="1" x14ac:dyDescent="0.8">
      <c r="A41" s="262">
        <f>ROW()</f>
        <v>41</v>
      </c>
      <c r="B41" s="234" t="s">
        <v>491</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367</v>
      </c>
      <c r="N41" s="160" t="str">
        <f>N19</f>
        <v>large-sized weatherproof CHILLER MSSB</v>
      </c>
      <c r="O41" s="160" t="s">
        <v>365</v>
      </c>
      <c r="P41" s="64">
        <f>15000+500</f>
        <v>15500</v>
      </c>
      <c r="Q41" s="161"/>
      <c r="R41" s="161"/>
      <c r="S41" s="160"/>
      <c r="T41" s="161"/>
      <c r="U41" s="571" t="s">
        <v>366</v>
      </c>
      <c r="V41" s="571"/>
      <c r="W41" s="162" t="e">
        <f>W40/M19</f>
        <v>#DIV/0!</v>
      </c>
      <c r="X41" s="163"/>
      <c r="Y41" s="570" t="s">
        <v>365</v>
      </c>
      <c r="Z41" s="570"/>
      <c r="AA41" s="164" t="e">
        <f>AA40/M19</f>
        <v>#DIV/0!</v>
      </c>
      <c r="AB41" s="161"/>
      <c r="AC41" s="161"/>
      <c r="AD41" s="161"/>
      <c r="AE41" s="161"/>
      <c r="AF41" s="570" t="s">
        <v>365</v>
      </c>
      <c r="AG41" s="570"/>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452</v>
      </c>
      <c r="M42" s="116" t="s">
        <v>107</v>
      </c>
      <c r="N42" s="116" t="s">
        <v>108</v>
      </c>
      <c r="O42" s="170" t="s">
        <v>386</v>
      </c>
      <c r="P42" s="572" t="s">
        <v>375</v>
      </c>
      <c r="Q42" s="572"/>
      <c r="R42" s="101" t="s">
        <v>452</v>
      </c>
      <c r="S42" s="116" t="s">
        <v>0</v>
      </c>
      <c r="T42" s="118"/>
      <c r="U42" s="116" t="s">
        <v>287</v>
      </c>
      <c r="V42" s="116" t="s">
        <v>288</v>
      </c>
      <c r="W42" s="116" t="s">
        <v>291</v>
      </c>
      <c r="X42" s="140"/>
      <c r="Y42" s="116" t="s">
        <v>289</v>
      </c>
      <c r="Z42" s="116" t="s">
        <v>354</v>
      </c>
      <c r="AA42" s="116" t="s">
        <v>355</v>
      </c>
      <c r="AB42" s="116" t="s">
        <v>317</v>
      </c>
      <c r="AC42" s="116" t="s">
        <v>318</v>
      </c>
      <c r="AD42" s="116" t="s">
        <v>316</v>
      </c>
      <c r="AE42" s="140"/>
      <c r="AF42" s="116" t="s">
        <v>293</v>
      </c>
      <c r="AG42" s="116" t="s">
        <v>354</v>
      </c>
      <c r="AH42" s="116" t="s">
        <v>355</v>
      </c>
      <c r="AI42" s="116" t="s">
        <v>296</v>
      </c>
      <c r="AJ42" s="116" t="s">
        <v>294</v>
      </c>
      <c r="AK42" s="116" t="s">
        <v>295</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525</v>
      </c>
      <c r="O43" s="121" t="s">
        <v>195</v>
      </c>
      <c r="P43" s="173" t="s">
        <v>379</v>
      </c>
      <c r="Q43" s="173" t="s">
        <v>375</v>
      </c>
      <c r="R43" s="173"/>
      <c r="S43" s="174">
        <f>M43</f>
        <v>0</v>
      </c>
      <c r="T43" s="175"/>
      <c r="U43" s="175" t="s">
        <v>292</v>
      </c>
      <c r="V43" s="174">
        <f>S43</f>
        <v>0</v>
      </c>
      <c r="W43" s="174">
        <f>VLOOKUP(U43,Sheet1!$B$6:$C$45,2,FALSE)*V43</f>
        <v>0</v>
      </c>
      <c r="X43" s="174"/>
      <c r="Y43" s="175" t="s">
        <v>292</v>
      </c>
      <c r="Z43" s="168">
        <f>VLOOKUP(Takeoffs!Y43,Sheet1!$B$6:$C$124,2,FALSE)</f>
        <v>0</v>
      </c>
      <c r="AA43" s="168">
        <f>Z43*AB43</f>
        <v>0</v>
      </c>
      <c r="AB43" s="176">
        <f>AD43*AC43</f>
        <v>0</v>
      </c>
      <c r="AC43" s="174">
        <f>S43</f>
        <v>0</v>
      </c>
      <c r="AD43" s="174">
        <v>1</v>
      </c>
      <c r="AE43" s="174"/>
      <c r="AF43" s="175" t="s">
        <v>292</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534</v>
      </c>
      <c r="P44" s="175"/>
      <c r="Q44" s="175"/>
      <c r="R44" s="175"/>
      <c r="S44" s="174">
        <f>M43</f>
        <v>0</v>
      </c>
      <c r="T44" s="172"/>
      <c r="U44" s="175" t="s">
        <v>292</v>
      </c>
      <c r="V44" s="174">
        <f t="shared" ref="V44:V63" si="14">S44</f>
        <v>0</v>
      </c>
      <c r="W44" s="174">
        <f>VLOOKUP(U44,Sheet1!$B$6:$C$45,2,FALSE)*V44</f>
        <v>0</v>
      </c>
      <c r="X44" s="174"/>
      <c r="Y44" s="175" t="s">
        <v>292</v>
      </c>
      <c r="Z44" s="168">
        <f>VLOOKUP(Takeoffs!Y44,Sheet1!$B$6:$C$124,2,FALSE)</f>
        <v>0</v>
      </c>
      <c r="AA44" s="168">
        <f t="shared" ref="AA44:AA63" si="15">Z44*AB44</f>
        <v>0</v>
      </c>
      <c r="AB44" s="176">
        <f t="shared" ref="AB44:AB63" si="16">AD44*AC44</f>
        <v>0</v>
      </c>
      <c r="AC44" s="174">
        <f>S44</f>
        <v>0</v>
      </c>
      <c r="AD44" s="174">
        <v>1</v>
      </c>
      <c r="AE44" s="174"/>
      <c r="AF44" s="175" t="s">
        <v>292</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399</v>
      </c>
      <c r="P45" s="175"/>
      <c r="Q45" s="175"/>
      <c r="R45" s="175"/>
      <c r="S45" s="174">
        <f>M43</f>
        <v>0</v>
      </c>
      <c r="T45" s="172"/>
      <c r="U45" s="175" t="s">
        <v>292</v>
      </c>
      <c r="V45" s="174">
        <f t="shared" si="14"/>
        <v>0</v>
      </c>
      <c r="W45" s="174">
        <f>VLOOKUP(U45,Sheet1!$B$6:$C$45,2,FALSE)*V45</f>
        <v>0</v>
      </c>
      <c r="X45" s="174"/>
      <c r="Y45" s="175" t="s">
        <v>292</v>
      </c>
      <c r="Z45" s="168">
        <f>VLOOKUP(Takeoffs!Y45,Sheet1!$B$6:$C$124,2,FALSE)</f>
        <v>0</v>
      </c>
      <c r="AA45" s="168">
        <f t="shared" si="15"/>
        <v>0</v>
      </c>
      <c r="AB45" s="176">
        <f t="shared" si="16"/>
        <v>0</v>
      </c>
      <c r="AC45" s="174">
        <f>S45</f>
        <v>0</v>
      </c>
      <c r="AD45" s="174">
        <v>1</v>
      </c>
      <c r="AE45" s="174"/>
      <c r="AF45" s="175" t="s">
        <v>292</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400</v>
      </c>
      <c r="P46" s="175"/>
      <c r="Q46" s="175"/>
      <c r="R46" s="175"/>
      <c r="S46" s="174">
        <f>M43</f>
        <v>0</v>
      </c>
      <c r="T46" s="172"/>
      <c r="U46" s="175" t="s">
        <v>292</v>
      </c>
      <c r="V46" s="174">
        <f t="shared" si="14"/>
        <v>0</v>
      </c>
      <c r="W46" s="174">
        <f>VLOOKUP(U46,Sheet1!$B$6:$C$45,2,FALSE)*V46</f>
        <v>0</v>
      </c>
      <c r="X46" s="174"/>
      <c r="Y46" s="175" t="s">
        <v>292</v>
      </c>
      <c r="Z46" s="168">
        <f>VLOOKUP(Takeoffs!Y46,Sheet1!$B$6:$C$124,2,FALSE)</f>
        <v>0</v>
      </c>
      <c r="AA46" s="168">
        <f t="shared" si="15"/>
        <v>0</v>
      </c>
      <c r="AB46" s="176">
        <f t="shared" si="16"/>
        <v>0</v>
      </c>
      <c r="AC46" s="174">
        <f t="shared" ref="AC46:AC63" si="21">S46</f>
        <v>0</v>
      </c>
      <c r="AD46" s="174">
        <v>1</v>
      </c>
      <c r="AE46" s="174"/>
      <c r="AF46" s="175" t="s">
        <v>292</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401</v>
      </c>
      <c r="P47" s="175"/>
      <c r="Q47" s="175"/>
      <c r="R47" s="175"/>
      <c r="S47" s="174">
        <f>M43</f>
        <v>0</v>
      </c>
      <c r="T47" s="172"/>
      <c r="U47" s="175" t="s">
        <v>292</v>
      </c>
      <c r="V47" s="174">
        <f t="shared" si="14"/>
        <v>0</v>
      </c>
      <c r="W47" s="174">
        <f>VLOOKUP(U47,Sheet1!$B$6:$C$45,2,FALSE)*V47</f>
        <v>0</v>
      </c>
      <c r="X47" s="174"/>
      <c r="Y47" s="175" t="s">
        <v>292</v>
      </c>
      <c r="Z47" s="168">
        <f>VLOOKUP(Takeoffs!Y47,Sheet1!$B$6:$C$124,2,FALSE)</f>
        <v>0</v>
      </c>
      <c r="AA47" s="168">
        <f t="shared" si="15"/>
        <v>0</v>
      </c>
      <c r="AB47" s="176">
        <f t="shared" si="16"/>
        <v>0</v>
      </c>
      <c r="AC47" s="174">
        <f t="shared" si="21"/>
        <v>0</v>
      </c>
      <c r="AD47" s="174">
        <v>1</v>
      </c>
      <c r="AE47" s="174"/>
      <c r="AF47" s="175" t="s">
        <v>292</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402</v>
      </c>
      <c r="P48" s="175"/>
      <c r="Q48" s="175"/>
      <c r="R48" s="175"/>
      <c r="S48" s="174">
        <f>M43</f>
        <v>0</v>
      </c>
      <c r="T48" s="172"/>
      <c r="U48" s="175" t="s">
        <v>292</v>
      </c>
      <c r="V48" s="174">
        <f t="shared" si="14"/>
        <v>0</v>
      </c>
      <c r="W48" s="174">
        <f>VLOOKUP(U48,Sheet1!$B$6:$C$45,2,FALSE)*V48</f>
        <v>0</v>
      </c>
      <c r="X48" s="174"/>
      <c r="Y48" s="175" t="s">
        <v>292</v>
      </c>
      <c r="Z48" s="168">
        <f>VLOOKUP(Takeoffs!Y48,Sheet1!$B$6:$C$124,2,FALSE)</f>
        <v>0</v>
      </c>
      <c r="AA48" s="168">
        <f t="shared" si="15"/>
        <v>0</v>
      </c>
      <c r="AB48" s="176">
        <f t="shared" si="16"/>
        <v>0</v>
      </c>
      <c r="AC48" s="174">
        <f t="shared" si="21"/>
        <v>0</v>
      </c>
      <c r="AD48" s="174">
        <v>1</v>
      </c>
      <c r="AE48" s="174"/>
      <c r="AF48" s="175" t="s">
        <v>292</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403</v>
      </c>
      <c r="P49" s="175"/>
      <c r="Q49" s="175"/>
      <c r="R49" s="175"/>
      <c r="S49" s="174">
        <f>M43</f>
        <v>0</v>
      </c>
      <c r="T49" s="172"/>
      <c r="U49" s="175" t="s">
        <v>292</v>
      </c>
      <c r="V49" s="174">
        <f t="shared" si="14"/>
        <v>0</v>
      </c>
      <c r="W49" s="174">
        <f>VLOOKUP(U49,Sheet1!$B$6:$C$45,2,FALSE)*V49</f>
        <v>0</v>
      </c>
      <c r="X49" s="174"/>
      <c r="Y49" s="175" t="s">
        <v>292</v>
      </c>
      <c r="Z49" s="168">
        <f>VLOOKUP(Takeoffs!Y49,Sheet1!$B$6:$C$124,2,FALSE)</f>
        <v>0</v>
      </c>
      <c r="AA49" s="168">
        <f t="shared" si="15"/>
        <v>0</v>
      </c>
      <c r="AB49" s="176">
        <f t="shared" si="16"/>
        <v>0</v>
      </c>
      <c r="AC49" s="174">
        <f t="shared" si="21"/>
        <v>0</v>
      </c>
      <c r="AD49" s="174">
        <v>1</v>
      </c>
      <c r="AE49" s="174"/>
      <c r="AF49" s="175" t="s">
        <v>292</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404</v>
      </c>
      <c r="P50" s="175"/>
      <c r="Q50" s="175"/>
      <c r="R50" s="175"/>
      <c r="S50" s="174">
        <f>M43</f>
        <v>0</v>
      </c>
      <c r="T50" s="172"/>
      <c r="U50" s="175" t="s">
        <v>292</v>
      </c>
      <c r="V50" s="174">
        <f t="shared" si="14"/>
        <v>0</v>
      </c>
      <c r="W50" s="174">
        <f>VLOOKUP(U50,Sheet1!$B$6:$C$45,2,FALSE)*V50</f>
        <v>0</v>
      </c>
      <c r="X50" s="174"/>
      <c r="Y50" s="175" t="s">
        <v>292</v>
      </c>
      <c r="Z50" s="168">
        <f>VLOOKUP(Takeoffs!Y50,Sheet1!$B$6:$C$124,2,FALSE)</f>
        <v>0</v>
      </c>
      <c r="AA50" s="168">
        <f t="shared" si="15"/>
        <v>0</v>
      </c>
      <c r="AB50" s="176">
        <f t="shared" si="16"/>
        <v>0</v>
      </c>
      <c r="AC50" s="174">
        <f t="shared" si="21"/>
        <v>0</v>
      </c>
      <c r="AD50" s="174">
        <v>1</v>
      </c>
      <c r="AE50" s="174"/>
      <c r="AF50" s="175" t="s">
        <v>292</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509</v>
      </c>
      <c r="P51" s="175"/>
      <c r="Q51" s="175"/>
      <c r="R51" s="175"/>
      <c r="S51" s="174">
        <f>M43</f>
        <v>0</v>
      </c>
      <c r="T51" s="172"/>
      <c r="U51" s="175" t="s">
        <v>292</v>
      </c>
      <c r="V51" s="174">
        <f t="shared" si="14"/>
        <v>0</v>
      </c>
      <c r="W51" s="174">
        <f>VLOOKUP(U51,Sheet1!$B$6:$C$45,2,FALSE)*V51</f>
        <v>0</v>
      </c>
      <c r="X51" s="174"/>
      <c r="Y51" s="175" t="s">
        <v>292</v>
      </c>
      <c r="Z51" s="168">
        <f>VLOOKUP(Takeoffs!Y51,Sheet1!$B$6:$C$124,2,FALSE)</f>
        <v>0</v>
      </c>
      <c r="AA51" s="168">
        <f t="shared" si="15"/>
        <v>0</v>
      </c>
      <c r="AB51" s="176">
        <f t="shared" si="16"/>
        <v>0</v>
      </c>
      <c r="AC51" s="174">
        <f t="shared" si="21"/>
        <v>0</v>
      </c>
      <c r="AD51" s="174">
        <v>1</v>
      </c>
      <c r="AE51" s="174"/>
      <c r="AF51" s="175" t="s">
        <v>292</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440</v>
      </c>
      <c r="P52" s="175"/>
      <c r="Q52" s="175"/>
      <c r="R52" s="175"/>
      <c r="S52" s="174">
        <f>M43</f>
        <v>0</v>
      </c>
      <c r="T52" s="172"/>
      <c r="U52" s="175" t="s">
        <v>292</v>
      </c>
      <c r="V52" s="174">
        <f t="shared" si="14"/>
        <v>0</v>
      </c>
      <c r="W52" s="174">
        <f>VLOOKUP(U52,Sheet1!$B$6:$C$45,2,FALSE)*V52</f>
        <v>0</v>
      </c>
      <c r="X52" s="174"/>
      <c r="Y52" s="175" t="s">
        <v>292</v>
      </c>
      <c r="Z52" s="168">
        <f>VLOOKUP(Takeoffs!Y52,Sheet1!$B$6:$C$124,2,FALSE)</f>
        <v>0</v>
      </c>
      <c r="AA52" s="168">
        <f t="shared" si="15"/>
        <v>0</v>
      </c>
      <c r="AB52" s="176">
        <f t="shared" si="16"/>
        <v>0</v>
      </c>
      <c r="AC52" s="174">
        <f t="shared" si="21"/>
        <v>0</v>
      </c>
      <c r="AD52" s="174">
        <v>1</v>
      </c>
      <c r="AE52" s="174"/>
      <c r="AF52" s="175" t="s">
        <v>292</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405</v>
      </c>
      <c r="P53" s="175"/>
      <c r="Q53" s="175"/>
      <c r="R53" s="175"/>
      <c r="S53" s="174">
        <f>M43</f>
        <v>0</v>
      </c>
      <c r="T53" s="172"/>
      <c r="U53" s="175" t="s">
        <v>292</v>
      </c>
      <c r="V53" s="174">
        <f t="shared" si="14"/>
        <v>0</v>
      </c>
      <c r="W53" s="174">
        <f>VLOOKUP(U53,Sheet1!$B$6:$C$45,2,FALSE)*V53</f>
        <v>0</v>
      </c>
      <c r="X53" s="174"/>
      <c r="Y53" s="175" t="s">
        <v>292</v>
      </c>
      <c r="Z53" s="168">
        <f>VLOOKUP(Takeoffs!Y53,Sheet1!$B$6:$C$124,2,FALSE)</f>
        <v>0</v>
      </c>
      <c r="AA53" s="168">
        <f t="shared" si="15"/>
        <v>0</v>
      </c>
      <c r="AB53" s="176">
        <f t="shared" si="16"/>
        <v>0</v>
      </c>
      <c r="AC53" s="174">
        <f t="shared" si="21"/>
        <v>0</v>
      </c>
      <c r="AD53" s="174">
        <v>1</v>
      </c>
      <c r="AE53" s="174"/>
      <c r="AF53" s="175" t="s">
        <v>292</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292</v>
      </c>
      <c r="V54" s="174">
        <f t="shared" si="14"/>
        <v>0</v>
      </c>
      <c r="W54" s="174">
        <f>VLOOKUP(U54,Sheet1!$B$6:$C$45,2,FALSE)*V54</f>
        <v>0</v>
      </c>
      <c r="X54" s="174"/>
      <c r="Y54" s="175" t="s">
        <v>292</v>
      </c>
      <c r="Z54" s="168">
        <f>VLOOKUP(Takeoffs!Y54,Sheet1!$B$6:$C$124,2,FALSE)</f>
        <v>0</v>
      </c>
      <c r="AA54" s="168">
        <f t="shared" si="15"/>
        <v>0</v>
      </c>
      <c r="AB54" s="176">
        <f t="shared" si="16"/>
        <v>0</v>
      </c>
      <c r="AC54" s="174">
        <f t="shared" si="21"/>
        <v>0</v>
      </c>
      <c r="AD54" s="174">
        <v>1</v>
      </c>
      <c r="AE54" s="174"/>
      <c r="AF54" s="175" t="s">
        <v>292</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292</v>
      </c>
      <c r="V55" s="174">
        <f t="shared" si="14"/>
        <v>0</v>
      </c>
      <c r="W55" s="174">
        <f>VLOOKUP(U55,Sheet1!$B$6:$C$45,2,FALSE)*V55</f>
        <v>0</v>
      </c>
      <c r="X55" s="174"/>
      <c r="Y55" s="175" t="s">
        <v>292</v>
      </c>
      <c r="Z55" s="168">
        <f>VLOOKUP(Takeoffs!Y55,Sheet1!$B$6:$C$124,2,FALSE)</f>
        <v>0</v>
      </c>
      <c r="AA55" s="168">
        <f t="shared" si="15"/>
        <v>0</v>
      </c>
      <c r="AB55" s="176">
        <f t="shared" si="16"/>
        <v>0</v>
      </c>
      <c r="AC55" s="174">
        <f t="shared" si="21"/>
        <v>0</v>
      </c>
      <c r="AD55" s="174">
        <v>1</v>
      </c>
      <c r="AE55" s="174"/>
      <c r="AF55" s="175" t="s">
        <v>292</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292</v>
      </c>
      <c r="V56" s="174">
        <f t="shared" si="14"/>
        <v>0</v>
      </c>
      <c r="W56" s="174">
        <f>VLOOKUP(U56,Sheet1!$B$6:$C$45,2,FALSE)*V56</f>
        <v>0</v>
      </c>
      <c r="X56" s="174"/>
      <c r="Y56" s="175" t="s">
        <v>292</v>
      </c>
      <c r="Z56" s="168">
        <f>VLOOKUP(Takeoffs!Y56,Sheet1!$B$6:$C$124,2,FALSE)</f>
        <v>0</v>
      </c>
      <c r="AA56" s="168">
        <f t="shared" si="15"/>
        <v>0</v>
      </c>
      <c r="AB56" s="176">
        <f t="shared" si="16"/>
        <v>0</v>
      </c>
      <c r="AC56" s="174">
        <f t="shared" si="21"/>
        <v>0</v>
      </c>
      <c r="AD56" s="174">
        <v>1</v>
      </c>
      <c r="AE56" s="174"/>
      <c r="AF56" s="175" t="s">
        <v>292</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292</v>
      </c>
      <c r="V57" s="174">
        <f t="shared" si="14"/>
        <v>0</v>
      </c>
      <c r="W57" s="174">
        <f>VLOOKUP(U57,Sheet1!$B$6:$C$45,2,FALSE)*V57</f>
        <v>0</v>
      </c>
      <c r="X57" s="174"/>
      <c r="Y57" s="175" t="s">
        <v>292</v>
      </c>
      <c r="Z57" s="168">
        <f>VLOOKUP(Takeoffs!Y57,Sheet1!$B$6:$C$124,2,FALSE)</f>
        <v>0</v>
      </c>
      <c r="AA57" s="168">
        <f t="shared" si="15"/>
        <v>0</v>
      </c>
      <c r="AB57" s="176">
        <f t="shared" si="16"/>
        <v>0</v>
      </c>
      <c r="AC57" s="174">
        <f t="shared" si="21"/>
        <v>0</v>
      </c>
      <c r="AD57" s="174">
        <v>1</v>
      </c>
      <c r="AE57" s="174"/>
      <c r="AF57" s="175" t="s">
        <v>292</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292</v>
      </c>
      <c r="V58" s="174">
        <f t="shared" si="14"/>
        <v>0</v>
      </c>
      <c r="W58" s="174">
        <f>VLOOKUP(U58,Sheet1!$B$6:$C$45,2,FALSE)*V58</f>
        <v>0</v>
      </c>
      <c r="X58" s="174"/>
      <c r="Y58" s="175" t="s">
        <v>292</v>
      </c>
      <c r="Z58" s="168">
        <f>VLOOKUP(Takeoffs!Y58,Sheet1!$B$6:$C$124,2,FALSE)</f>
        <v>0</v>
      </c>
      <c r="AA58" s="168">
        <f t="shared" si="15"/>
        <v>0</v>
      </c>
      <c r="AB58" s="176">
        <f t="shared" si="16"/>
        <v>0</v>
      </c>
      <c r="AC58" s="174">
        <f t="shared" si="21"/>
        <v>0</v>
      </c>
      <c r="AD58" s="174">
        <v>2</v>
      </c>
      <c r="AE58" s="174"/>
      <c r="AF58" s="175" t="s">
        <v>292</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292</v>
      </c>
      <c r="V59" s="174">
        <f t="shared" si="14"/>
        <v>0</v>
      </c>
      <c r="W59" s="174">
        <f>VLOOKUP(U59,Sheet1!$B$6:$C$45,2,FALSE)*V59</f>
        <v>0</v>
      </c>
      <c r="X59" s="174"/>
      <c r="Y59" s="175" t="s">
        <v>292</v>
      </c>
      <c r="Z59" s="168">
        <f>VLOOKUP(Takeoffs!Y59,Sheet1!$B$6:$C$124,2,FALSE)</f>
        <v>0</v>
      </c>
      <c r="AA59" s="168">
        <f t="shared" si="15"/>
        <v>0</v>
      </c>
      <c r="AB59" s="176">
        <f t="shared" si="16"/>
        <v>0</v>
      </c>
      <c r="AC59" s="174">
        <f t="shared" si="21"/>
        <v>0</v>
      </c>
      <c r="AD59" s="174">
        <v>1</v>
      </c>
      <c r="AE59" s="174"/>
      <c r="AF59" s="175" t="s">
        <v>292</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292</v>
      </c>
      <c r="V60" s="174">
        <f t="shared" si="14"/>
        <v>0</v>
      </c>
      <c r="W60" s="174">
        <f>VLOOKUP(U60,Sheet1!$B$6:$C$45,2,FALSE)*V60</f>
        <v>0</v>
      </c>
      <c r="X60" s="174"/>
      <c r="Y60" s="175" t="s">
        <v>292</v>
      </c>
      <c r="Z60" s="168">
        <f>VLOOKUP(Takeoffs!Y60,Sheet1!$B$6:$C$124,2,FALSE)</f>
        <v>0</v>
      </c>
      <c r="AA60" s="168">
        <f t="shared" si="15"/>
        <v>0</v>
      </c>
      <c r="AB60" s="176">
        <f t="shared" si="16"/>
        <v>0</v>
      </c>
      <c r="AC60" s="174">
        <f t="shared" si="21"/>
        <v>0</v>
      </c>
      <c r="AD60" s="174">
        <v>1</v>
      </c>
      <c r="AE60" s="174"/>
      <c r="AF60" s="175" t="s">
        <v>292</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292</v>
      </c>
      <c r="V61" s="174">
        <f t="shared" si="14"/>
        <v>0</v>
      </c>
      <c r="W61" s="174">
        <f>VLOOKUP(U61,Sheet1!$B$6:$C$45,2,FALSE)*V61</f>
        <v>0</v>
      </c>
      <c r="X61" s="174"/>
      <c r="Y61" s="175" t="s">
        <v>292</v>
      </c>
      <c r="Z61" s="168">
        <f>VLOOKUP(Takeoffs!Y61,Sheet1!$B$6:$C$124,2,FALSE)</f>
        <v>0</v>
      </c>
      <c r="AA61" s="168">
        <f t="shared" si="15"/>
        <v>0</v>
      </c>
      <c r="AB61" s="176">
        <f t="shared" si="16"/>
        <v>0</v>
      </c>
      <c r="AC61" s="174">
        <f t="shared" si="21"/>
        <v>0</v>
      </c>
      <c r="AD61" s="174">
        <v>1</v>
      </c>
      <c r="AE61" s="174"/>
      <c r="AF61" s="175" t="s">
        <v>292</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292</v>
      </c>
      <c r="V62" s="174">
        <f t="shared" si="14"/>
        <v>0</v>
      </c>
      <c r="W62" s="174">
        <f>VLOOKUP(U62,Sheet1!$B$6:$C$45,2,FALSE)*V62</f>
        <v>0</v>
      </c>
      <c r="X62" s="174"/>
      <c r="Y62" s="175" t="s">
        <v>292</v>
      </c>
      <c r="Z62" s="168">
        <f>VLOOKUP(Takeoffs!Y62,Sheet1!$B$6:$C$124,2,FALSE)</f>
        <v>0</v>
      </c>
      <c r="AA62" s="168">
        <f t="shared" si="15"/>
        <v>0</v>
      </c>
      <c r="AB62" s="176">
        <f t="shared" si="16"/>
        <v>0</v>
      </c>
      <c r="AC62" s="174">
        <f t="shared" si="21"/>
        <v>0</v>
      </c>
      <c r="AD62" s="174">
        <v>1</v>
      </c>
      <c r="AE62" s="174"/>
      <c r="AF62" s="175" t="s">
        <v>292</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292</v>
      </c>
      <c r="V63" s="174">
        <f t="shared" si="14"/>
        <v>0</v>
      </c>
      <c r="W63" s="174">
        <f>VLOOKUP(U63,Sheet1!$B$6:$C$45,2,FALSE)*V63</f>
        <v>0</v>
      </c>
      <c r="X63" s="174"/>
      <c r="Y63" s="175" t="s">
        <v>292</v>
      </c>
      <c r="Z63" s="168">
        <f>VLOOKUP(Takeoffs!Y63,Sheet1!$B$6:$C$124,2,FALSE)</f>
        <v>0</v>
      </c>
      <c r="AA63" s="168">
        <f t="shared" si="15"/>
        <v>0</v>
      </c>
      <c r="AB63" s="176">
        <f t="shared" si="16"/>
        <v>0</v>
      </c>
      <c r="AC63" s="174">
        <f t="shared" si="21"/>
        <v>0</v>
      </c>
      <c r="AD63" s="174">
        <v>1</v>
      </c>
      <c r="AE63" s="174"/>
      <c r="AF63" s="175" t="s">
        <v>292</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377</v>
      </c>
      <c r="L64" s="128" t="s">
        <v>378</v>
      </c>
      <c r="N64" s="129"/>
      <c r="O64" s="130" t="s">
        <v>357</v>
      </c>
      <c r="P64" s="172">
        <f>P65*M43</f>
        <v>0</v>
      </c>
      <c r="Q64" s="172"/>
      <c r="R64" s="172"/>
      <c r="S64" s="175"/>
      <c r="T64" s="172"/>
      <c r="U64" s="175" t="s">
        <v>351</v>
      </c>
      <c r="V64" s="172">
        <f>W64*80</f>
        <v>0</v>
      </c>
      <c r="W64" s="177">
        <f>SUM(W43:W63)</f>
        <v>0</v>
      </c>
      <c r="X64" s="178"/>
      <c r="Y64" s="172" t="s">
        <v>352</v>
      </c>
      <c r="Z64" s="168"/>
      <c r="AA64" s="168">
        <f>SUM(AA43:AA63)</f>
        <v>0</v>
      </c>
      <c r="AB64" s="179"/>
      <c r="AC64" s="179"/>
      <c r="AD64" s="179"/>
      <c r="AE64" s="179"/>
      <c r="AF64" s="172" t="s">
        <v>356</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hidden="1" x14ac:dyDescent="0.8">
      <c r="A65" s="262">
        <f>ROW()</f>
        <v>65</v>
      </c>
      <c r="B65" s="234" t="s">
        <v>491</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367</v>
      </c>
      <c r="N65" s="160" t="str">
        <f>N43</f>
        <v>large-sized weatherproof MSSB</v>
      </c>
      <c r="O65" s="160" t="s">
        <v>365</v>
      </c>
      <c r="P65" s="64">
        <f>6200+500</f>
        <v>6700</v>
      </c>
      <c r="Q65" s="161"/>
      <c r="R65" s="161"/>
      <c r="S65" s="160"/>
      <c r="T65" s="161"/>
      <c r="U65" s="571" t="s">
        <v>366</v>
      </c>
      <c r="V65" s="571"/>
      <c r="W65" s="162" t="e">
        <f>W64/M43</f>
        <v>#DIV/0!</v>
      </c>
      <c r="X65" s="163"/>
      <c r="Y65" s="570" t="s">
        <v>365</v>
      </c>
      <c r="Z65" s="570"/>
      <c r="AA65" s="164" t="e">
        <f>AA64/M43</f>
        <v>#DIV/0!</v>
      </c>
      <c r="AB65" s="161"/>
      <c r="AC65" s="161"/>
      <c r="AD65" s="161"/>
      <c r="AE65" s="161"/>
      <c r="AF65" s="570" t="s">
        <v>365</v>
      </c>
      <c r="AG65" s="570"/>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452</v>
      </c>
      <c r="M66" s="116" t="s">
        <v>107</v>
      </c>
      <c r="N66" s="116" t="s">
        <v>108</v>
      </c>
      <c r="O66" s="170" t="s">
        <v>386</v>
      </c>
      <c r="P66" s="572" t="s">
        <v>375</v>
      </c>
      <c r="Q66" s="572"/>
      <c r="R66" s="101" t="s">
        <v>452</v>
      </c>
      <c r="S66" s="116" t="s">
        <v>0</v>
      </c>
      <c r="T66" s="118"/>
      <c r="U66" s="116" t="s">
        <v>287</v>
      </c>
      <c r="V66" s="116" t="s">
        <v>288</v>
      </c>
      <c r="W66" s="116" t="s">
        <v>291</v>
      </c>
      <c r="X66" s="140"/>
      <c r="Y66" s="116" t="s">
        <v>289</v>
      </c>
      <c r="Z66" s="116" t="s">
        <v>354</v>
      </c>
      <c r="AA66" s="116" t="s">
        <v>355</v>
      </c>
      <c r="AB66" s="116" t="s">
        <v>317</v>
      </c>
      <c r="AC66" s="116" t="s">
        <v>318</v>
      </c>
      <c r="AD66" s="116" t="s">
        <v>316</v>
      </c>
      <c r="AE66" s="140"/>
      <c r="AF66" s="116" t="s">
        <v>293</v>
      </c>
      <c r="AG66" s="116" t="s">
        <v>354</v>
      </c>
      <c r="AH66" s="116" t="s">
        <v>355</v>
      </c>
      <c r="AI66" s="116" t="s">
        <v>296</v>
      </c>
      <c r="AJ66" s="116" t="s">
        <v>294</v>
      </c>
      <c r="AK66" s="116" t="s">
        <v>295</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564</v>
      </c>
      <c r="O67" s="121" t="s">
        <v>195</v>
      </c>
      <c r="P67" s="173" t="s">
        <v>379</v>
      </c>
      <c r="Q67" s="173" t="s">
        <v>375</v>
      </c>
      <c r="R67" s="173"/>
      <c r="S67" s="174">
        <f>M67</f>
        <v>0</v>
      </c>
      <c r="T67" s="175"/>
      <c r="U67" s="180" t="s">
        <v>236</v>
      </c>
      <c r="V67" s="174">
        <f>S67</f>
        <v>0</v>
      </c>
      <c r="W67" s="174">
        <f>VLOOKUP(U67,Sheet1!$B$6:$C$45,2,FALSE)*V67</f>
        <v>0</v>
      </c>
      <c r="X67" s="174"/>
      <c r="Y67" s="175" t="s">
        <v>292</v>
      </c>
      <c r="Z67" s="168">
        <f>VLOOKUP(Takeoffs!Y67,Sheet1!$B$6:$C$124,2,FALSE)</f>
        <v>0</v>
      </c>
      <c r="AA67" s="168">
        <f>Z67*AB67</f>
        <v>0</v>
      </c>
      <c r="AB67" s="176">
        <f>AD67*AC67</f>
        <v>0</v>
      </c>
      <c r="AC67" s="174">
        <f>S67</f>
        <v>0</v>
      </c>
      <c r="AD67" s="174">
        <v>1</v>
      </c>
      <c r="AE67" s="174"/>
      <c r="AF67" s="175" t="s">
        <v>292</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hidden="1"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534</v>
      </c>
      <c r="P68" s="175"/>
      <c r="Q68" s="175"/>
      <c r="R68" s="175"/>
      <c r="S68" s="174">
        <f>M67</f>
        <v>0</v>
      </c>
      <c r="T68" s="172"/>
      <c r="U68" s="175" t="s">
        <v>292</v>
      </c>
      <c r="V68" s="174">
        <f t="shared" ref="V68:V87" si="22">S68</f>
        <v>0</v>
      </c>
      <c r="W68" s="174">
        <f>VLOOKUP(U68,Sheet1!$B$6:$C$45,2,FALSE)*V68</f>
        <v>0</v>
      </c>
      <c r="X68" s="174"/>
      <c r="Y68" s="180" t="s">
        <v>417</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292</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hidden="1"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399</v>
      </c>
      <c r="P69" s="175"/>
      <c r="Q69" s="175"/>
      <c r="R69" s="175"/>
      <c r="S69" s="174">
        <f>M67</f>
        <v>0</v>
      </c>
      <c r="T69" s="172"/>
      <c r="U69" s="175" t="s">
        <v>292</v>
      </c>
      <c r="V69" s="174">
        <f t="shared" si="22"/>
        <v>0</v>
      </c>
      <c r="W69" s="174">
        <f>VLOOKUP(U69,Sheet1!$B$6:$C$45,2,FALSE)*V69</f>
        <v>0</v>
      </c>
      <c r="X69" s="174"/>
      <c r="Y69" s="175" t="s">
        <v>292</v>
      </c>
      <c r="Z69" s="168">
        <f>VLOOKUP(Takeoffs!Y69,Sheet1!$B$6:$C$124,2,FALSE)</f>
        <v>0</v>
      </c>
      <c r="AA69" s="168">
        <f t="shared" si="23"/>
        <v>0</v>
      </c>
      <c r="AB69" s="176">
        <f t="shared" si="24"/>
        <v>0</v>
      </c>
      <c r="AC69" s="174">
        <f t="shared" si="25"/>
        <v>0</v>
      </c>
      <c r="AD69" s="174">
        <v>1</v>
      </c>
      <c r="AE69" s="174"/>
      <c r="AF69" s="175" t="s">
        <v>292</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hidden="1" x14ac:dyDescent="0.8">
      <c r="A70" s="262">
        <f>ROW()</f>
        <v>70</v>
      </c>
      <c r="C70" s="208"/>
      <c r="D70" s="208"/>
      <c r="E70" s="208"/>
      <c r="F70" s="208"/>
      <c r="G70" s="208"/>
      <c r="H70" s="208"/>
      <c r="J70" s="114" t="str">
        <f t="shared" si="29"/>
        <v/>
      </c>
      <c r="K70" s="114" t="str">
        <f>IF(COUNTBLANK(R70)&gt;0,"",CONCATENATE(R70," for ",N67))</f>
        <v/>
      </c>
      <c r="M70" s="117"/>
      <c r="N70" s="123" t="s">
        <v>115</v>
      </c>
      <c r="O70" s="66" t="s">
        <v>400</v>
      </c>
      <c r="P70" s="175"/>
      <c r="Q70" s="175"/>
      <c r="R70" s="175"/>
      <c r="S70" s="174">
        <f>M67</f>
        <v>0</v>
      </c>
      <c r="T70" s="172"/>
      <c r="U70" s="175" t="s">
        <v>292</v>
      </c>
      <c r="V70" s="174">
        <f t="shared" si="22"/>
        <v>0</v>
      </c>
      <c r="W70" s="174">
        <f>VLOOKUP(U70,Sheet1!$B$6:$C$45,2,FALSE)*V70</f>
        <v>0</v>
      </c>
      <c r="X70" s="174"/>
      <c r="Y70" s="175" t="s">
        <v>292</v>
      </c>
      <c r="Z70" s="168">
        <f>VLOOKUP(Takeoffs!Y70,Sheet1!$B$6:$C$124,2,FALSE)</f>
        <v>0</v>
      </c>
      <c r="AA70" s="168">
        <f t="shared" si="23"/>
        <v>0</v>
      </c>
      <c r="AB70" s="176">
        <f t="shared" si="24"/>
        <v>0</v>
      </c>
      <c r="AC70" s="174">
        <f t="shared" si="25"/>
        <v>0</v>
      </c>
      <c r="AD70" s="174">
        <v>1</v>
      </c>
      <c r="AE70" s="174"/>
      <c r="AF70" s="175" t="s">
        <v>292</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hidden="1" x14ac:dyDescent="0.8">
      <c r="A71" s="262">
        <f>ROW()</f>
        <v>71</v>
      </c>
      <c r="C71" s="208"/>
      <c r="D71" s="208"/>
      <c r="E71" s="208"/>
      <c r="F71" s="208"/>
      <c r="G71" s="208"/>
      <c r="H71" s="208"/>
      <c r="J71" s="114" t="str">
        <f t="shared" si="29"/>
        <v/>
      </c>
      <c r="K71" s="114" t="str">
        <f>IF(COUNTBLANK(R71)&gt;0,"",CONCATENATE(R71," for ",N67))</f>
        <v/>
      </c>
      <c r="M71" s="117"/>
      <c r="N71" s="123" t="s">
        <v>116</v>
      </c>
      <c r="O71" s="66" t="s">
        <v>401</v>
      </c>
      <c r="P71" s="175"/>
      <c r="Q71" s="175"/>
      <c r="R71" s="175"/>
      <c r="S71" s="174">
        <f>M67</f>
        <v>0</v>
      </c>
      <c r="T71" s="172"/>
      <c r="U71" s="175" t="s">
        <v>292</v>
      </c>
      <c r="V71" s="174">
        <f t="shared" si="22"/>
        <v>0</v>
      </c>
      <c r="W71" s="174">
        <f>VLOOKUP(U71,Sheet1!$B$6:$C$45,2,FALSE)*V71</f>
        <v>0</v>
      </c>
      <c r="X71" s="174"/>
      <c r="Y71" s="175" t="s">
        <v>292</v>
      </c>
      <c r="Z71" s="168">
        <f>VLOOKUP(Takeoffs!Y71,Sheet1!$B$6:$C$124,2,FALSE)</f>
        <v>0</v>
      </c>
      <c r="AA71" s="168">
        <f t="shared" si="23"/>
        <v>0</v>
      </c>
      <c r="AB71" s="176">
        <f t="shared" si="24"/>
        <v>0</v>
      </c>
      <c r="AC71" s="174">
        <f t="shared" si="25"/>
        <v>0</v>
      </c>
      <c r="AD71" s="174">
        <v>1</v>
      </c>
      <c r="AE71" s="174"/>
      <c r="AF71" s="175" t="s">
        <v>292</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hidden="1" x14ac:dyDescent="0.8">
      <c r="A72" s="262">
        <f>ROW()</f>
        <v>72</v>
      </c>
      <c r="C72" s="208"/>
      <c r="D72" s="208"/>
      <c r="E72" s="208"/>
      <c r="F72" s="208"/>
      <c r="G72" s="208"/>
      <c r="H72" s="208"/>
      <c r="J72" s="114" t="str">
        <f t="shared" si="29"/>
        <v/>
      </c>
      <c r="K72" s="114" t="str">
        <f>IF(COUNTBLANK(R72)&gt;0,"",CONCATENATE(R72," for ",N67))</f>
        <v/>
      </c>
      <c r="M72" s="117"/>
      <c r="N72" s="123" t="s">
        <v>117</v>
      </c>
      <c r="O72" s="66" t="s">
        <v>402</v>
      </c>
      <c r="P72" s="175"/>
      <c r="Q72" s="175"/>
      <c r="R72" s="175"/>
      <c r="S72" s="174">
        <f>M67</f>
        <v>0</v>
      </c>
      <c r="T72" s="172"/>
      <c r="U72" s="175" t="s">
        <v>292</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292</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hidden="1" x14ac:dyDescent="0.8">
      <c r="A73" s="262">
        <f>ROW()</f>
        <v>73</v>
      </c>
      <c r="C73" s="208"/>
      <c r="D73" s="208"/>
      <c r="E73" s="208"/>
      <c r="F73" s="208"/>
      <c r="G73" s="208"/>
      <c r="H73" s="208"/>
      <c r="J73" s="114" t="str">
        <f t="shared" si="29"/>
        <v/>
      </c>
      <c r="K73" s="114" t="str">
        <f>IF(COUNTBLANK(R73)&gt;0,"",CONCATENATE(R73," for ",N67))</f>
        <v/>
      </c>
      <c r="M73" s="117"/>
      <c r="N73" s="123" t="s">
        <v>118</v>
      </c>
      <c r="O73" s="66" t="s">
        <v>403</v>
      </c>
      <c r="P73" s="175"/>
      <c r="Q73" s="175"/>
      <c r="R73" s="175"/>
      <c r="S73" s="174">
        <f>M67</f>
        <v>0</v>
      </c>
      <c r="T73" s="172"/>
      <c r="U73" s="175" t="s">
        <v>292</v>
      </c>
      <c r="V73" s="174">
        <f t="shared" si="22"/>
        <v>0</v>
      </c>
      <c r="W73" s="174">
        <f>VLOOKUP(U73,Sheet1!$B$6:$C$45,2,FALSE)*V73</f>
        <v>0</v>
      </c>
      <c r="X73" s="174"/>
      <c r="Y73" s="175" t="s">
        <v>292</v>
      </c>
      <c r="Z73" s="168">
        <f>VLOOKUP(Takeoffs!Y73,Sheet1!$B$6:$C$124,2,FALSE)</f>
        <v>0</v>
      </c>
      <c r="AA73" s="168">
        <f t="shared" si="23"/>
        <v>0</v>
      </c>
      <c r="AB73" s="176">
        <f t="shared" si="24"/>
        <v>0</v>
      </c>
      <c r="AC73" s="174">
        <f t="shared" si="25"/>
        <v>0</v>
      </c>
      <c r="AD73" s="174">
        <v>1</v>
      </c>
      <c r="AE73" s="174"/>
      <c r="AF73" s="175" t="s">
        <v>292</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hidden="1" x14ac:dyDescent="0.8">
      <c r="A74" s="262">
        <f>ROW()</f>
        <v>74</v>
      </c>
      <c r="C74" s="208"/>
      <c r="D74" s="208"/>
      <c r="E74" s="208"/>
      <c r="F74" s="208"/>
      <c r="G74" s="208"/>
      <c r="H74" s="208"/>
      <c r="J74" s="114" t="str">
        <f t="shared" si="29"/>
        <v/>
      </c>
      <c r="K74" s="114" t="str">
        <f>IF(COUNTBLANK(R74)&gt;0,"",CONCATENATE(R74," for ",N67))</f>
        <v/>
      </c>
      <c r="N74" s="123" t="s">
        <v>119</v>
      </c>
      <c r="O74" s="66" t="s">
        <v>404</v>
      </c>
      <c r="P74" s="175"/>
      <c r="Q74" s="175"/>
      <c r="R74" s="175"/>
      <c r="S74" s="174">
        <f>M67</f>
        <v>0</v>
      </c>
      <c r="T74" s="172"/>
      <c r="U74" s="175" t="s">
        <v>292</v>
      </c>
      <c r="V74" s="174">
        <f t="shared" si="22"/>
        <v>0</v>
      </c>
      <c r="W74" s="174">
        <f>VLOOKUP(U74,Sheet1!$B$6:$C$45,2,FALSE)*V74</f>
        <v>0</v>
      </c>
      <c r="X74" s="174"/>
      <c r="Y74" s="175" t="s">
        <v>292</v>
      </c>
      <c r="Z74" s="168">
        <f>VLOOKUP(Takeoffs!Y74,Sheet1!$B$6:$C$124,2,FALSE)</f>
        <v>0</v>
      </c>
      <c r="AA74" s="168">
        <f t="shared" si="23"/>
        <v>0</v>
      </c>
      <c r="AB74" s="176">
        <f t="shared" si="24"/>
        <v>0</v>
      </c>
      <c r="AC74" s="174">
        <f t="shared" si="25"/>
        <v>0</v>
      </c>
      <c r="AD74" s="174">
        <v>1</v>
      </c>
      <c r="AE74" s="174"/>
      <c r="AF74" s="175" t="s">
        <v>292</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hidden="1" x14ac:dyDescent="0.8">
      <c r="A75" s="262">
        <f>ROW()</f>
        <v>75</v>
      </c>
      <c r="C75" s="208"/>
      <c r="D75" s="208"/>
      <c r="E75" s="208"/>
      <c r="F75" s="208"/>
      <c r="G75" s="208"/>
      <c r="H75" s="208"/>
      <c r="J75" s="114" t="str">
        <f t="shared" si="29"/>
        <v/>
      </c>
      <c r="K75" s="114" t="str">
        <f>IF(COUNTBLANK(R75)&gt;0,"",CONCATENATE(R75," for ",N67))</f>
        <v/>
      </c>
      <c r="N75" s="123" t="s">
        <v>120</v>
      </c>
      <c r="O75" s="66" t="s">
        <v>509</v>
      </c>
      <c r="P75" s="175"/>
      <c r="Q75" s="175"/>
      <c r="R75" s="175"/>
      <c r="S75" s="174">
        <f>M67</f>
        <v>0</v>
      </c>
      <c r="T75" s="172"/>
      <c r="U75" s="175" t="s">
        <v>292</v>
      </c>
      <c r="V75" s="174">
        <f t="shared" si="22"/>
        <v>0</v>
      </c>
      <c r="W75" s="174">
        <f>VLOOKUP(U75,Sheet1!$B$6:$C$45,2,FALSE)*V75</f>
        <v>0</v>
      </c>
      <c r="X75" s="174"/>
      <c r="Y75" s="175" t="s">
        <v>292</v>
      </c>
      <c r="Z75" s="168">
        <f>VLOOKUP(Takeoffs!Y75,Sheet1!$B$6:$C$124,2,FALSE)</f>
        <v>0</v>
      </c>
      <c r="AA75" s="168">
        <f t="shared" si="23"/>
        <v>0</v>
      </c>
      <c r="AB75" s="176">
        <f t="shared" si="24"/>
        <v>0</v>
      </c>
      <c r="AC75" s="174">
        <f t="shared" si="25"/>
        <v>0</v>
      </c>
      <c r="AD75" s="174">
        <v>1</v>
      </c>
      <c r="AE75" s="174"/>
      <c r="AF75" s="175" t="s">
        <v>292</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hidden="1" x14ac:dyDescent="0.8">
      <c r="A76" s="262">
        <f>ROW()</f>
        <v>76</v>
      </c>
      <c r="C76" s="208"/>
      <c r="D76" s="208"/>
      <c r="E76" s="208"/>
      <c r="F76" s="208"/>
      <c r="G76" s="208"/>
      <c r="H76" s="208"/>
      <c r="J76" s="114" t="str">
        <f t="shared" si="29"/>
        <v/>
      </c>
      <c r="K76" s="114" t="str">
        <f>IF(COUNTBLANK(R76)&gt;0,"",CONCATENATE(R76," for ",N67))</f>
        <v/>
      </c>
      <c r="N76" s="123" t="s">
        <v>121</v>
      </c>
      <c r="O76" s="66" t="s">
        <v>440</v>
      </c>
      <c r="P76" s="175"/>
      <c r="Q76" s="175"/>
      <c r="R76" s="175"/>
      <c r="S76" s="174">
        <f>M67</f>
        <v>0</v>
      </c>
      <c r="T76" s="172"/>
      <c r="U76" s="175" t="s">
        <v>292</v>
      </c>
      <c r="V76" s="174">
        <f t="shared" si="22"/>
        <v>0</v>
      </c>
      <c r="W76" s="174">
        <f>VLOOKUP(U76,Sheet1!$B$6:$C$45,2,FALSE)*V76</f>
        <v>0</v>
      </c>
      <c r="X76" s="174"/>
      <c r="Y76" s="175" t="s">
        <v>292</v>
      </c>
      <c r="Z76" s="168">
        <f>VLOOKUP(Takeoffs!Y76,Sheet1!$B$6:$C$124,2,FALSE)</f>
        <v>0</v>
      </c>
      <c r="AA76" s="168">
        <f t="shared" si="23"/>
        <v>0</v>
      </c>
      <c r="AB76" s="176">
        <f t="shared" si="24"/>
        <v>0</v>
      </c>
      <c r="AC76" s="174">
        <f t="shared" si="25"/>
        <v>0</v>
      </c>
      <c r="AD76" s="174">
        <v>1</v>
      </c>
      <c r="AE76" s="174"/>
      <c r="AF76" s="175" t="s">
        <v>292</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hidden="1" x14ac:dyDescent="0.8">
      <c r="A77" s="262">
        <f>ROW()</f>
        <v>77</v>
      </c>
      <c r="C77" s="208"/>
      <c r="D77" s="208"/>
      <c r="E77" s="208"/>
      <c r="F77" s="208"/>
      <c r="G77" s="208"/>
      <c r="H77" s="208"/>
      <c r="J77" s="114" t="str">
        <f t="shared" si="29"/>
        <v/>
      </c>
      <c r="K77" s="114" t="str">
        <f>IF(COUNTBLANK(R77)&gt;0,"",CONCATENATE(R77," for ",N67))</f>
        <v/>
      </c>
      <c r="N77" s="123" t="s">
        <v>122</v>
      </c>
      <c r="O77" s="66" t="s">
        <v>405</v>
      </c>
      <c r="P77" s="175"/>
      <c r="Q77" s="175"/>
      <c r="R77" s="175"/>
      <c r="S77" s="174">
        <f>M67</f>
        <v>0</v>
      </c>
      <c r="T77" s="172"/>
      <c r="U77" s="175" t="s">
        <v>292</v>
      </c>
      <c r="V77" s="174">
        <f t="shared" si="22"/>
        <v>0</v>
      </c>
      <c r="W77" s="174">
        <f>VLOOKUP(U77,Sheet1!$B$6:$C$45,2,FALSE)*V77</f>
        <v>0</v>
      </c>
      <c r="X77" s="174"/>
      <c r="Y77" s="175" t="s">
        <v>292</v>
      </c>
      <c r="Z77" s="168">
        <f>VLOOKUP(Takeoffs!Y77,Sheet1!$B$6:$C$124,2,FALSE)</f>
        <v>0</v>
      </c>
      <c r="AA77" s="168">
        <f t="shared" si="23"/>
        <v>0</v>
      </c>
      <c r="AB77" s="176">
        <f t="shared" si="24"/>
        <v>0</v>
      </c>
      <c r="AC77" s="174">
        <f t="shared" si="25"/>
        <v>0</v>
      </c>
      <c r="AD77" s="174">
        <v>1</v>
      </c>
      <c r="AE77" s="174"/>
      <c r="AF77" s="175" t="s">
        <v>292</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hidden="1"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292</v>
      </c>
      <c r="V78" s="174">
        <f t="shared" si="22"/>
        <v>0</v>
      </c>
      <c r="W78" s="174">
        <f>VLOOKUP(U78,Sheet1!$B$6:$C$45,2,FALSE)*V78</f>
        <v>0</v>
      </c>
      <c r="X78" s="174"/>
      <c r="Y78" s="175" t="s">
        <v>292</v>
      </c>
      <c r="Z78" s="168">
        <f>VLOOKUP(Takeoffs!Y78,Sheet1!$B$6:$C$124,2,FALSE)</f>
        <v>0</v>
      </c>
      <c r="AA78" s="168">
        <f t="shared" si="23"/>
        <v>0</v>
      </c>
      <c r="AB78" s="176">
        <f t="shared" si="24"/>
        <v>0</v>
      </c>
      <c r="AC78" s="174">
        <f t="shared" si="25"/>
        <v>0</v>
      </c>
      <c r="AD78" s="174">
        <v>1</v>
      </c>
      <c r="AE78" s="174"/>
      <c r="AF78" s="175" t="s">
        <v>292</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hidden="1"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292</v>
      </c>
      <c r="V79" s="174">
        <f t="shared" si="22"/>
        <v>0</v>
      </c>
      <c r="W79" s="174">
        <f>VLOOKUP(U79,Sheet1!$B$6:$C$45,2,FALSE)*V79</f>
        <v>0</v>
      </c>
      <c r="X79" s="174"/>
      <c r="Y79" s="175" t="s">
        <v>292</v>
      </c>
      <c r="Z79" s="168">
        <f>VLOOKUP(Takeoffs!Y79,Sheet1!$B$6:$C$124,2,FALSE)</f>
        <v>0</v>
      </c>
      <c r="AA79" s="168">
        <f t="shared" si="23"/>
        <v>0</v>
      </c>
      <c r="AB79" s="176">
        <f t="shared" si="24"/>
        <v>0</v>
      </c>
      <c r="AC79" s="174">
        <f t="shared" si="25"/>
        <v>0</v>
      </c>
      <c r="AD79" s="174">
        <v>1</v>
      </c>
      <c r="AE79" s="174"/>
      <c r="AF79" s="175" t="s">
        <v>292</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hidden="1"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292</v>
      </c>
      <c r="V80" s="174">
        <f t="shared" si="22"/>
        <v>0</v>
      </c>
      <c r="W80" s="174">
        <f>VLOOKUP(U80,Sheet1!$B$6:$C$45,2,FALSE)*V80</f>
        <v>0</v>
      </c>
      <c r="X80" s="174"/>
      <c r="Y80" s="175" t="s">
        <v>292</v>
      </c>
      <c r="Z80" s="168">
        <f>VLOOKUP(Takeoffs!Y80,Sheet1!$B$6:$C$124,2,FALSE)</f>
        <v>0</v>
      </c>
      <c r="AA80" s="168">
        <f t="shared" si="23"/>
        <v>0</v>
      </c>
      <c r="AB80" s="176">
        <f t="shared" si="24"/>
        <v>0</v>
      </c>
      <c r="AC80" s="174">
        <f t="shared" si="25"/>
        <v>0</v>
      </c>
      <c r="AD80" s="174">
        <v>1</v>
      </c>
      <c r="AE80" s="174"/>
      <c r="AF80" s="175" t="s">
        <v>292</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hidden="1"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292</v>
      </c>
      <c r="V81" s="174">
        <f t="shared" si="22"/>
        <v>0</v>
      </c>
      <c r="W81" s="174">
        <f>VLOOKUP(U81,Sheet1!$B$6:$C$45,2,FALSE)*V81</f>
        <v>0</v>
      </c>
      <c r="X81" s="174"/>
      <c r="Y81" s="175" t="s">
        <v>292</v>
      </c>
      <c r="Z81" s="168">
        <f>VLOOKUP(Takeoffs!Y81,Sheet1!$B$6:$C$124,2,FALSE)</f>
        <v>0</v>
      </c>
      <c r="AA81" s="168">
        <f t="shared" si="23"/>
        <v>0</v>
      </c>
      <c r="AB81" s="176">
        <f t="shared" si="24"/>
        <v>0</v>
      </c>
      <c r="AC81" s="174">
        <f t="shared" si="25"/>
        <v>0</v>
      </c>
      <c r="AD81" s="174">
        <v>1</v>
      </c>
      <c r="AE81" s="174"/>
      <c r="AF81" s="175" t="s">
        <v>292</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hidden="1"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292</v>
      </c>
      <c r="V82" s="174">
        <f t="shared" si="22"/>
        <v>0</v>
      </c>
      <c r="W82" s="174">
        <f>VLOOKUP(U82,Sheet1!$B$6:$C$45,2,FALSE)*V82</f>
        <v>0</v>
      </c>
      <c r="X82" s="174"/>
      <c r="Y82" s="175" t="s">
        <v>292</v>
      </c>
      <c r="Z82" s="168">
        <f>VLOOKUP(Takeoffs!Y82,Sheet1!$B$6:$C$124,2,FALSE)</f>
        <v>0</v>
      </c>
      <c r="AA82" s="168">
        <f t="shared" si="23"/>
        <v>0</v>
      </c>
      <c r="AB82" s="176">
        <f t="shared" si="24"/>
        <v>0</v>
      </c>
      <c r="AC82" s="174">
        <f t="shared" si="25"/>
        <v>0</v>
      </c>
      <c r="AD82" s="174">
        <v>2</v>
      </c>
      <c r="AE82" s="174"/>
      <c r="AF82" s="175" t="s">
        <v>292</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hidden="1"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292</v>
      </c>
      <c r="V83" s="174">
        <f t="shared" si="22"/>
        <v>0</v>
      </c>
      <c r="W83" s="174">
        <f>VLOOKUP(U83,Sheet1!$B$6:$C$45,2,FALSE)*V83</f>
        <v>0</v>
      </c>
      <c r="X83" s="174"/>
      <c r="Y83" s="175" t="s">
        <v>292</v>
      </c>
      <c r="Z83" s="168">
        <f>VLOOKUP(Takeoffs!Y83,Sheet1!$B$6:$C$124,2,FALSE)</f>
        <v>0</v>
      </c>
      <c r="AA83" s="168">
        <f t="shared" si="23"/>
        <v>0</v>
      </c>
      <c r="AB83" s="176">
        <f t="shared" si="24"/>
        <v>0</v>
      </c>
      <c r="AC83" s="174">
        <f t="shared" si="25"/>
        <v>0</v>
      </c>
      <c r="AD83" s="174">
        <v>1</v>
      </c>
      <c r="AE83" s="174"/>
      <c r="AF83" s="175" t="s">
        <v>292</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hidden="1"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292</v>
      </c>
      <c r="V84" s="174">
        <f t="shared" si="22"/>
        <v>0</v>
      </c>
      <c r="W84" s="174">
        <f>VLOOKUP(U84,Sheet1!$B$6:$C$45,2,FALSE)*V84</f>
        <v>0</v>
      </c>
      <c r="X84" s="174"/>
      <c r="Y84" s="175" t="s">
        <v>292</v>
      </c>
      <c r="Z84" s="168">
        <f>VLOOKUP(Takeoffs!Y84,Sheet1!$B$6:$C$124,2,FALSE)</f>
        <v>0</v>
      </c>
      <c r="AA84" s="168">
        <f t="shared" si="23"/>
        <v>0</v>
      </c>
      <c r="AB84" s="176">
        <f t="shared" si="24"/>
        <v>0</v>
      </c>
      <c r="AC84" s="174">
        <f t="shared" si="25"/>
        <v>0</v>
      </c>
      <c r="AD84" s="174">
        <v>1</v>
      </c>
      <c r="AE84" s="174"/>
      <c r="AF84" s="175" t="s">
        <v>292</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hidden="1"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292</v>
      </c>
      <c r="V85" s="174">
        <f t="shared" si="22"/>
        <v>0</v>
      </c>
      <c r="W85" s="174">
        <f>VLOOKUP(U85,Sheet1!$B$6:$C$45,2,FALSE)*V85</f>
        <v>0</v>
      </c>
      <c r="X85" s="174"/>
      <c r="Y85" s="175" t="s">
        <v>292</v>
      </c>
      <c r="Z85" s="168">
        <f>VLOOKUP(Takeoffs!Y85,Sheet1!$B$6:$C$124,2,FALSE)</f>
        <v>0</v>
      </c>
      <c r="AA85" s="168">
        <f t="shared" si="23"/>
        <v>0</v>
      </c>
      <c r="AB85" s="176">
        <f t="shared" si="24"/>
        <v>0</v>
      </c>
      <c r="AC85" s="174">
        <f t="shared" si="25"/>
        <v>0</v>
      </c>
      <c r="AD85" s="174">
        <v>1</v>
      </c>
      <c r="AE85" s="174"/>
      <c r="AF85" s="175" t="s">
        <v>292</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hidden="1"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292</v>
      </c>
      <c r="V86" s="174">
        <f t="shared" si="22"/>
        <v>0</v>
      </c>
      <c r="W86" s="174">
        <f>VLOOKUP(U86,Sheet1!$B$6:$C$45,2,FALSE)*V86</f>
        <v>0</v>
      </c>
      <c r="X86" s="174"/>
      <c r="Y86" s="175" t="s">
        <v>292</v>
      </c>
      <c r="Z86" s="168">
        <f>VLOOKUP(Takeoffs!Y86,Sheet1!$B$6:$C$124,2,FALSE)</f>
        <v>0</v>
      </c>
      <c r="AA86" s="168">
        <f t="shared" si="23"/>
        <v>0</v>
      </c>
      <c r="AB86" s="176">
        <f t="shared" si="24"/>
        <v>0</v>
      </c>
      <c r="AC86" s="174">
        <f t="shared" si="25"/>
        <v>0</v>
      </c>
      <c r="AD86" s="174">
        <v>1</v>
      </c>
      <c r="AE86" s="174"/>
      <c r="AF86" s="175" t="s">
        <v>292</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hidden="1"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292</v>
      </c>
      <c r="V87" s="174">
        <f t="shared" si="22"/>
        <v>0</v>
      </c>
      <c r="W87" s="174">
        <f>VLOOKUP(U87,Sheet1!$B$6:$C$45,2,FALSE)*V87</f>
        <v>0</v>
      </c>
      <c r="X87" s="174"/>
      <c r="Y87" s="175" t="s">
        <v>292</v>
      </c>
      <c r="Z87" s="168">
        <f>VLOOKUP(Takeoffs!Y87,Sheet1!$B$6:$C$124,2,FALSE)</f>
        <v>0</v>
      </c>
      <c r="AA87" s="168">
        <f t="shared" si="23"/>
        <v>0</v>
      </c>
      <c r="AB87" s="176">
        <f t="shared" si="24"/>
        <v>0</v>
      </c>
      <c r="AC87" s="174">
        <f t="shared" si="25"/>
        <v>0</v>
      </c>
      <c r="AD87" s="174">
        <v>1</v>
      </c>
      <c r="AE87" s="174"/>
      <c r="AF87" s="175" t="s">
        <v>292</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377</v>
      </c>
      <c r="L88" s="128" t="s">
        <v>378</v>
      </c>
      <c r="N88" s="129"/>
      <c r="O88" s="130" t="s">
        <v>357</v>
      </c>
      <c r="P88" s="192">
        <f>M67*P89</f>
        <v>0</v>
      </c>
      <c r="Q88" s="192"/>
      <c r="R88" s="172"/>
      <c r="S88" s="175"/>
      <c r="T88" s="172"/>
      <c r="U88" s="175" t="s">
        <v>351</v>
      </c>
      <c r="V88" s="172">
        <f>W88*80</f>
        <v>0</v>
      </c>
      <c r="W88" s="177">
        <f>SUM(W67:W87)</f>
        <v>0</v>
      </c>
      <c r="X88" s="178"/>
      <c r="Y88" s="172" t="s">
        <v>352</v>
      </c>
      <c r="Z88" s="168"/>
      <c r="AA88" s="168">
        <f>SUM(AA67:AA87)</f>
        <v>0</v>
      </c>
      <c r="AB88" s="179"/>
      <c r="AC88" s="179"/>
      <c r="AD88" s="179"/>
      <c r="AE88" s="179"/>
      <c r="AF88" s="172" t="s">
        <v>356</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hidden="1" thickBot="1" x14ac:dyDescent="1.25">
      <c r="A89" s="262">
        <f>ROW()</f>
        <v>89</v>
      </c>
      <c r="B89" s="234" t="s">
        <v>491</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367</v>
      </c>
      <c r="N89" s="160" t="str">
        <f>N67</f>
        <v>medium-sized Form 3  MSSB</v>
      </c>
      <c r="O89" s="185" t="s">
        <v>365</v>
      </c>
      <c r="P89" s="203">
        <f>3800+500</f>
        <v>4300</v>
      </c>
      <c r="Q89" s="195"/>
      <c r="R89" s="188"/>
      <c r="S89" s="160"/>
      <c r="T89" s="161"/>
      <c r="U89" s="571" t="s">
        <v>366</v>
      </c>
      <c r="V89" s="571"/>
      <c r="W89" s="162" t="e">
        <f>W88/M67</f>
        <v>#DIV/0!</v>
      </c>
      <c r="X89" s="163"/>
      <c r="Y89" s="570" t="s">
        <v>365</v>
      </c>
      <c r="Z89" s="570"/>
      <c r="AA89" s="164" t="e">
        <f>AA88/M67</f>
        <v>#DIV/0!</v>
      </c>
      <c r="AB89" s="161"/>
      <c r="AC89" s="161"/>
      <c r="AD89" s="161"/>
      <c r="AE89" s="161"/>
      <c r="AF89" s="570" t="s">
        <v>365</v>
      </c>
      <c r="AG89" s="570"/>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452</v>
      </c>
      <c r="M90" s="116" t="s">
        <v>107</v>
      </c>
      <c r="N90" s="116" t="s">
        <v>108</v>
      </c>
      <c r="O90" s="170" t="s">
        <v>386</v>
      </c>
      <c r="P90" s="572" t="s">
        <v>375</v>
      </c>
      <c r="Q90" s="572"/>
      <c r="R90" s="101" t="s">
        <v>452</v>
      </c>
      <c r="S90" s="116" t="s">
        <v>0</v>
      </c>
      <c r="T90" s="118"/>
      <c r="U90" s="116" t="s">
        <v>287</v>
      </c>
      <c r="V90" s="116" t="s">
        <v>288</v>
      </c>
      <c r="W90" s="116" t="s">
        <v>291</v>
      </c>
      <c r="X90" s="140"/>
      <c r="Y90" s="116" t="s">
        <v>289</v>
      </c>
      <c r="Z90" s="116" t="s">
        <v>354</v>
      </c>
      <c r="AA90" s="116" t="s">
        <v>355</v>
      </c>
      <c r="AB90" s="116" t="s">
        <v>317</v>
      </c>
      <c r="AC90" s="116" t="s">
        <v>318</v>
      </c>
      <c r="AD90" s="116" t="s">
        <v>316</v>
      </c>
      <c r="AE90" s="140"/>
      <c r="AF90" s="116" t="s">
        <v>293</v>
      </c>
      <c r="AG90" s="116" t="s">
        <v>354</v>
      </c>
      <c r="AH90" s="116" t="s">
        <v>355</v>
      </c>
      <c r="AI90" s="116" t="s">
        <v>296</v>
      </c>
      <c r="AJ90" s="116" t="s">
        <v>294</v>
      </c>
      <c r="AK90" s="116" t="s">
        <v>295</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688</v>
      </c>
      <c r="O91" s="121" t="s">
        <v>195</v>
      </c>
      <c r="P91" s="173" t="s">
        <v>379</v>
      </c>
      <c r="Q91" s="173" t="s">
        <v>375</v>
      </c>
      <c r="R91" s="173"/>
      <c r="S91" s="174">
        <f>M91</f>
        <v>0</v>
      </c>
      <c r="T91" s="175"/>
      <c r="U91" s="180" t="s">
        <v>236</v>
      </c>
      <c r="V91" s="174">
        <f>S91</f>
        <v>0</v>
      </c>
      <c r="W91" s="174">
        <f>VLOOKUP(U91,Sheet1!$B$6:$C$45,2,FALSE)*V91</f>
        <v>0</v>
      </c>
      <c r="X91" s="174"/>
      <c r="Y91" s="175" t="s">
        <v>292</v>
      </c>
      <c r="Z91" s="168">
        <f>VLOOKUP(Takeoffs!Y91,Sheet1!$B$6:$C$124,2,FALSE)</f>
        <v>0</v>
      </c>
      <c r="AA91" s="168">
        <f>Z91*AB91</f>
        <v>0</v>
      </c>
      <c r="AB91" s="176">
        <f>AD91*AC91</f>
        <v>0</v>
      </c>
      <c r="AC91" s="174">
        <f>S91</f>
        <v>0</v>
      </c>
      <c r="AD91" s="174">
        <v>1</v>
      </c>
      <c r="AE91" s="174"/>
      <c r="AF91" s="175" t="s">
        <v>292</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hidden="1"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606</v>
      </c>
      <c r="P92" s="175"/>
      <c r="Q92" s="175"/>
      <c r="R92" s="175"/>
      <c r="S92" s="174">
        <f>M91</f>
        <v>0</v>
      </c>
      <c r="T92" s="172"/>
      <c r="U92" s="175" t="s">
        <v>292</v>
      </c>
      <c r="V92" s="174">
        <f t="shared" ref="V92:V111" si="35">S92</f>
        <v>0</v>
      </c>
      <c r="W92" s="174">
        <f>VLOOKUP(U92,Sheet1!$B$6:$C$45,2,FALSE)*V92</f>
        <v>0</v>
      </c>
      <c r="X92" s="174"/>
      <c r="Y92" s="180" t="s">
        <v>417</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292</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hidden="1"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399</v>
      </c>
      <c r="P93" s="175"/>
      <c r="Q93" s="175"/>
      <c r="R93" s="175"/>
      <c r="S93" s="174">
        <f>M91</f>
        <v>0</v>
      </c>
      <c r="T93" s="172"/>
      <c r="U93" s="175" t="s">
        <v>292</v>
      </c>
      <c r="V93" s="174">
        <f t="shared" si="35"/>
        <v>0</v>
      </c>
      <c r="W93" s="174">
        <f>VLOOKUP(U93,Sheet1!$B$6:$C$45,2,FALSE)*V93</f>
        <v>0</v>
      </c>
      <c r="X93" s="174"/>
      <c r="Y93" s="175" t="s">
        <v>292</v>
      </c>
      <c r="Z93" s="168">
        <f>VLOOKUP(Takeoffs!Y93,Sheet1!$B$6:$C$124,2,FALSE)</f>
        <v>0</v>
      </c>
      <c r="AA93" s="168">
        <f t="shared" si="36"/>
        <v>0</v>
      </c>
      <c r="AB93" s="176">
        <f t="shared" si="37"/>
        <v>0</v>
      </c>
      <c r="AC93" s="174">
        <f t="shared" si="38"/>
        <v>0</v>
      </c>
      <c r="AD93" s="174">
        <v>1</v>
      </c>
      <c r="AE93" s="174"/>
      <c r="AF93" s="175" t="s">
        <v>292</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hidden="1" x14ac:dyDescent="0.8">
      <c r="A94" s="262">
        <f>ROW()</f>
        <v>94</v>
      </c>
      <c r="C94" s="208"/>
      <c r="D94" s="208"/>
      <c r="E94" s="208"/>
      <c r="F94" s="208"/>
      <c r="G94" s="208"/>
      <c r="H94" s="208"/>
      <c r="J94" s="114" t="str">
        <f t="shared" si="42"/>
        <v/>
      </c>
      <c r="K94" s="114" t="str">
        <f>IF(COUNTBLANK(R94)&gt;0,"",CONCATENATE(R94," for ",N91))</f>
        <v/>
      </c>
      <c r="M94" s="117"/>
      <c r="N94" s="123" t="s">
        <v>115</v>
      </c>
      <c r="O94" s="66" t="s">
        <v>400</v>
      </c>
      <c r="P94" s="175"/>
      <c r="Q94" s="175"/>
      <c r="R94" s="175"/>
      <c r="S94" s="174">
        <f>M91</f>
        <v>0</v>
      </c>
      <c r="T94" s="172"/>
      <c r="U94" s="175" t="s">
        <v>292</v>
      </c>
      <c r="V94" s="174">
        <f t="shared" si="35"/>
        <v>0</v>
      </c>
      <c r="W94" s="174">
        <f>VLOOKUP(U94,Sheet1!$B$6:$C$45,2,FALSE)*V94</f>
        <v>0</v>
      </c>
      <c r="X94" s="174"/>
      <c r="Y94" s="175" t="s">
        <v>292</v>
      </c>
      <c r="Z94" s="168">
        <f>VLOOKUP(Takeoffs!Y94,Sheet1!$B$6:$C$124,2,FALSE)</f>
        <v>0</v>
      </c>
      <c r="AA94" s="168">
        <f t="shared" si="36"/>
        <v>0</v>
      </c>
      <c r="AB94" s="176">
        <f t="shared" si="37"/>
        <v>0</v>
      </c>
      <c r="AC94" s="174">
        <f t="shared" si="38"/>
        <v>0</v>
      </c>
      <c r="AD94" s="174">
        <v>1</v>
      </c>
      <c r="AE94" s="174"/>
      <c r="AF94" s="175" t="s">
        <v>292</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hidden="1" x14ac:dyDescent="0.8">
      <c r="A95" s="262">
        <f>ROW()</f>
        <v>95</v>
      </c>
      <c r="C95" s="208"/>
      <c r="D95" s="208"/>
      <c r="E95" s="208"/>
      <c r="F95" s="208"/>
      <c r="G95" s="208"/>
      <c r="H95" s="208"/>
      <c r="J95" s="114" t="str">
        <f t="shared" si="42"/>
        <v/>
      </c>
      <c r="K95" s="114" t="str">
        <f>IF(COUNTBLANK(R95)&gt;0,"",CONCATENATE(R95," for ",N91))</f>
        <v/>
      </c>
      <c r="M95" s="117"/>
      <c r="N95" s="123" t="s">
        <v>116</v>
      </c>
      <c r="O95" s="66" t="s">
        <v>401</v>
      </c>
      <c r="P95" s="175"/>
      <c r="Q95" s="175"/>
      <c r="R95" s="175"/>
      <c r="S95" s="174">
        <f>M91</f>
        <v>0</v>
      </c>
      <c r="T95" s="172"/>
      <c r="U95" s="175" t="s">
        <v>292</v>
      </c>
      <c r="V95" s="174">
        <f t="shared" si="35"/>
        <v>0</v>
      </c>
      <c r="W95" s="174">
        <f>VLOOKUP(U95,Sheet1!$B$6:$C$45,2,FALSE)*V95</f>
        <v>0</v>
      </c>
      <c r="X95" s="174"/>
      <c r="Y95" s="175" t="s">
        <v>292</v>
      </c>
      <c r="Z95" s="168">
        <f>VLOOKUP(Takeoffs!Y95,Sheet1!$B$6:$C$124,2,FALSE)</f>
        <v>0</v>
      </c>
      <c r="AA95" s="168">
        <f t="shared" si="36"/>
        <v>0</v>
      </c>
      <c r="AB95" s="176">
        <f t="shared" si="37"/>
        <v>0</v>
      </c>
      <c r="AC95" s="174">
        <f t="shared" si="38"/>
        <v>0</v>
      </c>
      <c r="AD95" s="174">
        <v>1</v>
      </c>
      <c r="AE95" s="174"/>
      <c r="AF95" s="175" t="s">
        <v>292</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hidden="1" x14ac:dyDescent="0.8">
      <c r="A96" s="262">
        <f>ROW()</f>
        <v>96</v>
      </c>
      <c r="C96" s="208"/>
      <c r="D96" s="208"/>
      <c r="E96" s="208"/>
      <c r="F96" s="208"/>
      <c r="G96" s="208"/>
      <c r="H96" s="208"/>
      <c r="J96" s="114" t="str">
        <f t="shared" si="42"/>
        <v/>
      </c>
      <c r="K96" s="114" t="str">
        <f>IF(COUNTBLANK(R96)&gt;0,"",CONCATENATE(R96," for ",N91))</f>
        <v/>
      </c>
      <c r="M96" s="117"/>
      <c r="N96" s="123" t="s">
        <v>117</v>
      </c>
      <c r="O96" s="66" t="s">
        <v>402</v>
      </c>
      <c r="P96" s="175"/>
      <c r="Q96" s="175"/>
      <c r="R96" s="175"/>
      <c r="S96" s="174">
        <f>M91</f>
        <v>0</v>
      </c>
      <c r="T96" s="172"/>
      <c r="U96" s="175" t="s">
        <v>292</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292</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hidden="1" x14ac:dyDescent="0.8">
      <c r="A97" s="262">
        <f>ROW()</f>
        <v>97</v>
      </c>
      <c r="C97" s="208"/>
      <c r="D97" s="208"/>
      <c r="E97" s="208"/>
      <c r="F97" s="208"/>
      <c r="G97" s="208"/>
      <c r="H97" s="208"/>
      <c r="J97" s="114" t="str">
        <f t="shared" si="42"/>
        <v/>
      </c>
      <c r="K97" s="114" t="str">
        <f>IF(COUNTBLANK(R97)&gt;0,"",CONCATENATE(R97," for ",N91))</f>
        <v/>
      </c>
      <c r="M97" s="117"/>
      <c r="N97" s="123" t="s">
        <v>118</v>
      </c>
      <c r="O97" s="66" t="s">
        <v>403</v>
      </c>
      <c r="P97" s="175"/>
      <c r="Q97" s="175"/>
      <c r="R97" s="175"/>
      <c r="S97" s="174">
        <f>M91</f>
        <v>0</v>
      </c>
      <c r="T97" s="172"/>
      <c r="U97" s="175" t="s">
        <v>292</v>
      </c>
      <c r="V97" s="174">
        <f t="shared" si="35"/>
        <v>0</v>
      </c>
      <c r="W97" s="174">
        <f>VLOOKUP(U97,Sheet1!$B$6:$C$45,2,FALSE)*V97</f>
        <v>0</v>
      </c>
      <c r="X97" s="174"/>
      <c r="Y97" s="175" t="s">
        <v>292</v>
      </c>
      <c r="Z97" s="168">
        <f>VLOOKUP(Takeoffs!Y97,Sheet1!$B$6:$C$124,2,FALSE)</f>
        <v>0</v>
      </c>
      <c r="AA97" s="168">
        <f t="shared" si="36"/>
        <v>0</v>
      </c>
      <c r="AB97" s="176">
        <f t="shared" si="37"/>
        <v>0</v>
      </c>
      <c r="AC97" s="174">
        <f t="shared" si="38"/>
        <v>0</v>
      </c>
      <c r="AD97" s="174">
        <v>1</v>
      </c>
      <c r="AE97" s="174"/>
      <c r="AF97" s="175" t="s">
        <v>292</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hidden="1" x14ac:dyDescent="0.8">
      <c r="A98" s="262">
        <f>ROW()</f>
        <v>98</v>
      </c>
      <c r="C98" s="208"/>
      <c r="D98" s="208"/>
      <c r="E98" s="208"/>
      <c r="F98" s="208"/>
      <c r="G98" s="208"/>
      <c r="H98" s="208"/>
      <c r="J98" s="114" t="str">
        <f t="shared" si="42"/>
        <v/>
      </c>
      <c r="K98" s="114" t="str">
        <f>IF(COUNTBLANK(R98)&gt;0,"",CONCATENATE(R98," for ",N91))</f>
        <v/>
      </c>
      <c r="N98" s="123" t="s">
        <v>119</v>
      </c>
      <c r="O98" s="66" t="s">
        <v>404</v>
      </c>
      <c r="P98" s="175"/>
      <c r="Q98" s="175"/>
      <c r="R98" s="175"/>
      <c r="S98" s="174">
        <f>M91</f>
        <v>0</v>
      </c>
      <c r="T98" s="172"/>
      <c r="U98" s="175" t="s">
        <v>292</v>
      </c>
      <c r="V98" s="174">
        <f t="shared" si="35"/>
        <v>0</v>
      </c>
      <c r="W98" s="174">
        <f>VLOOKUP(U98,Sheet1!$B$6:$C$45,2,FALSE)*V98</f>
        <v>0</v>
      </c>
      <c r="X98" s="174"/>
      <c r="Y98" s="175" t="s">
        <v>292</v>
      </c>
      <c r="Z98" s="168">
        <f>VLOOKUP(Takeoffs!Y98,Sheet1!$B$6:$C$124,2,FALSE)</f>
        <v>0</v>
      </c>
      <c r="AA98" s="168">
        <f t="shared" si="36"/>
        <v>0</v>
      </c>
      <c r="AB98" s="176">
        <f t="shared" si="37"/>
        <v>0</v>
      </c>
      <c r="AC98" s="174">
        <f t="shared" si="38"/>
        <v>0</v>
      </c>
      <c r="AD98" s="174">
        <v>1</v>
      </c>
      <c r="AE98" s="174"/>
      <c r="AF98" s="175" t="s">
        <v>292</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hidden="1" x14ac:dyDescent="0.8">
      <c r="A99" s="262">
        <f>ROW()</f>
        <v>99</v>
      </c>
      <c r="C99" s="208"/>
      <c r="D99" s="208"/>
      <c r="E99" s="208"/>
      <c r="F99" s="208"/>
      <c r="G99" s="208"/>
      <c r="H99" s="208"/>
      <c r="J99" s="114" t="str">
        <f t="shared" si="42"/>
        <v/>
      </c>
      <c r="K99" s="114" t="str">
        <f>IF(COUNTBLANK(R99)&gt;0,"",CONCATENATE(R99," for ",N91))</f>
        <v/>
      </c>
      <c r="N99" s="123" t="s">
        <v>120</v>
      </c>
      <c r="O99" s="66" t="s">
        <v>509</v>
      </c>
      <c r="P99" s="175"/>
      <c r="Q99" s="175"/>
      <c r="R99" s="175"/>
      <c r="S99" s="174">
        <f>M91</f>
        <v>0</v>
      </c>
      <c r="T99" s="172"/>
      <c r="U99" s="175" t="s">
        <v>292</v>
      </c>
      <c r="V99" s="174">
        <f t="shared" si="35"/>
        <v>0</v>
      </c>
      <c r="W99" s="174">
        <f>VLOOKUP(U99,Sheet1!$B$6:$C$45,2,FALSE)*V99</f>
        <v>0</v>
      </c>
      <c r="X99" s="174"/>
      <c r="Y99" s="175" t="s">
        <v>292</v>
      </c>
      <c r="Z99" s="168">
        <f>VLOOKUP(Takeoffs!Y99,Sheet1!$B$6:$C$124,2,FALSE)</f>
        <v>0</v>
      </c>
      <c r="AA99" s="168">
        <f t="shared" si="36"/>
        <v>0</v>
      </c>
      <c r="AB99" s="176">
        <f t="shared" si="37"/>
        <v>0</v>
      </c>
      <c r="AC99" s="174">
        <f t="shared" si="38"/>
        <v>0</v>
      </c>
      <c r="AD99" s="174">
        <v>1</v>
      </c>
      <c r="AE99" s="174"/>
      <c r="AF99" s="175" t="s">
        <v>292</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hidden="1" x14ac:dyDescent="0.8">
      <c r="A100" s="262">
        <f>ROW()</f>
        <v>100</v>
      </c>
      <c r="C100" s="208"/>
      <c r="D100" s="208"/>
      <c r="E100" s="208"/>
      <c r="F100" s="208"/>
      <c r="G100" s="208"/>
      <c r="H100" s="208"/>
      <c r="J100" s="114" t="str">
        <f t="shared" si="42"/>
        <v/>
      </c>
      <c r="K100" s="114" t="str">
        <f>IF(COUNTBLANK(R100)&gt;0,"",CONCATENATE(R100," for ",N91))</f>
        <v/>
      </c>
      <c r="N100" s="123" t="s">
        <v>121</v>
      </c>
      <c r="O100" s="66" t="s">
        <v>440</v>
      </c>
      <c r="P100" s="175"/>
      <c r="Q100" s="175"/>
      <c r="R100" s="175"/>
      <c r="S100" s="174">
        <f>M91</f>
        <v>0</v>
      </c>
      <c r="T100" s="172"/>
      <c r="U100" s="175" t="s">
        <v>292</v>
      </c>
      <c r="V100" s="174">
        <f t="shared" si="35"/>
        <v>0</v>
      </c>
      <c r="W100" s="174">
        <f>VLOOKUP(U100,Sheet1!$B$6:$C$45,2,FALSE)*V100</f>
        <v>0</v>
      </c>
      <c r="X100" s="174"/>
      <c r="Y100" s="175" t="s">
        <v>292</v>
      </c>
      <c r="Z100" s="168">
        <f>VLOOKUP(Takeoffs!Y100,Sheet1!$B$6:$C$124,2,FALSE)</f>
        <v>0</v>
      </c>
      <c r="AA100" s="168">
        <f t="shared" si="36"/>
        <v>0</v>
      </c>
      <c r="AB100" s="176">
        <f t="shared" si="37"/>
        <v>0</v>
      </c>
      <c r="AC100" s="174">
        <f t="shared" si="38"/>
        <v>0</v>
      </c>
      <c r="AD100" s="174">
        <v>1</v>
      </c>
      <c r="AE100" s="174"/>
      <c r="AF100" s="175" t="s">
        <v>292</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hidden="1" x14ac:dyDescent="0.8">
      <c r="A101" s="262">
        <f>ROW()</f>
        <v>101</v>
      </c>
      <c r="C101" s="208"/>
      <c r="D101" s="208"/>
      <c r="E101" s="208"/>
      <c r="F101" s="208"/>
      <c r="G101" s="208"/>
      <c r="H101" s="208"/>
      <c r="J101" s="114" t="str">
        <f t="shared" si="42"/>
        <v/>
      </c>
      <c r="K101" s="114" t="str">
        <f>IF(COUNTBLANK(R101)&gt;0,"",CONCATENATE(R101," for ",N91))</f>
        <v/>
      </c>
      <c r="N101" s="123" t="s">
        <v>122</v>
      </c>
      <c r="O101" s="66" t="s">
        <v>405</v>
      </c>
      <c r="P101" s="175"/>
      <c r="Q101" s="175"/>
      <c r="R101" s="175"/>
      <c r="S101" s="174">
        <f>M91</f>
        <v>0</v>
      </c>
      <c r="T101" s="172"/>
      <c r="U101" s="175" t="s">
        <v>292</v>
      </c>
      <c r="V101" s="174">
        <f t="shared" si="35"/>
        <v>0</v>
      </c>
      <c r="W101" s="174">
        <f>VLOOKUP(U101,Sheet1!$B$6:$C$45,2,FALSE)*V101</f>
        <v>0</v>
      </c>
      <c r="X101" s="174"/>
      <c r="Y101" s="175" t="s">
        <v>292</v>
      </c>
      <c r="Z101" s="168">
        <f>VLOOKUP(Takeoffs!Y101,Sheet1!$B$6:$C$124,2,FALSE)</f>
        <v>0</v>
      </c>
      <c r="AA101" s="168">
        <f t="shared" si="36"/>
        <v>0</v>
      </c>
      <c r="AB101" s="176">
        <f t="shared" si="37"/>
        <v>0</v>
      </c>
      <c r="AC101" s="174">
        <f t="shared" si="38"/>
        <v>0</v>
      </c>
      <c r="AD101" s="174">
        <v>1</v>
      </c>
      <c r="AE101" s="174"/>
      <c r="AF101" s="175" t="s">
        <v>292</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hidden="1"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292</v>
      </c>
      <c r="V102" s="174">
        <f t="shared" si="35"/>
        <v>0</v>
      </c>
      <c r="W102" s="174">
        <f>VLOOKUP(U102,Sheet1!$B$6:$C$45,2,FALSE)*V102</f>
        <v>0</v>
      </c>
      <c r="X102" s="174"/>
      <c r="Y102" s="175" t="s">
        <v>292</v>
      </c>
      <c r="Z102" s="168">
        <f>VLOOKUP(Takeoffs!Y102,Sheet1!$B$6:$C$124,2,FALSE)</f>
        <v>0</v>
      </c>
      <c r="AA102" s="168">
        <f t="shared" si="36"/>
        <v>0</v>
      </c>
      <c r="AB102" s="176">
        <f t="shared" si="37"/>
        <v>0</v>
      </c>
      <c r="AC102" s="174">
        <f t="shared" si="38"/>
        <v>0</v>
      </c>
      <c r="AD102" s="174">
        <v>1</v>
      </c>
      <c r="AE102" s="174"/>
      <c r="AF102" s="175" t="s">
        <v>292</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hidden="1"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292</v>
      </c>
      <c r="V103" s="174">
        <f t="shared" si="35"/>
        <v>0</v>
      </c>
      <c r="W103" s="174">
        <f>VLOOKUP(U103,Sheet1!$B$6:$C$45,2,FALSE)*V103</f>
        <v>0</v>
      </c>
      <c r="X103" s="174"/>
      <c r="Y103" s="175" t="s">
        <v>292</v>
      </c>
      <c r="Z103" s="168">
        <f>VLOOKUP(Takeoffs!Y103,Sheet1!$B$6:$C$124,2,FALSE)</f>
        <v>0</v>
      </c>
      <c r="AA103" s="168">
        <f t="shared" si="36"/>
        <v>0</v>
      </c>
      <c r="AB103" s="176">
        <f t="shared" si="37"/>
        <v>0</v>
      </c>
      <c r="AC103" s="174">
        <f t="shared" si="38"/>
        <v>0</v>
      </c>
      <c r="AD103" s="174">
        <v>1</v>
      </c>
      <c r="AE103" s="174"/>
      <c r="AF103" s="175" t="s">
        <v>292</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hidden="1"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292</v>
      </c>
      <c r="V104" s="174">
        <f t="shared" si="35"/>
        <v>0</v>
      </c>
      <c r="W104" s="174">
        <f>VLOOKUP(U104,Sheet1!$B$6:$C$45,2,FALSE)*V104</f>
        <v>0</v>
      </c>
      <c r="X104" s="174"/>
      <c r="Y104" s="175" t="s">
        <v>292</v>
      </c>
      <c r="Z104" s="168">
        <f>VLOOKUP(Takeoffs!Y104,Sheet1!$B$6:$C$124,2,FALSE)</f>
        <v>0</v>
      </c>
      <c r="AA104" s="168">
        <f t="shared" si="36"/>
        <v>0</v>
      </c>
      <c r="AB104" s="176">
        <f t="shared" si="37"/>
        <v>0</v>
      </c>
      <c r="AC104" s="174">
        <f t="shared" si="38"/>
        <v>0</v>
      </c>
      <c r="AD104" s="174">
        <v>1</v>
      </c>
      <c r="AE104" s="174"/>
      <c r="AF104" s="175" t="s">
        <v>292</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hidden="1"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292</v>
      </c>
      <c r="V105" s="174">
        <f t="shared" si="35"/>
        <v>0</v>
      </c>
      <c r="W105" s="174">
        <f>VLOOKUP(U105,Sheet1!$B$6:$C$45,2,FALSE)*V105</f>
        <v>0</v>
      </c>
      <c r="X105" s="174"/>
      <c r="Y105" s="175" t="s">
        <v>292</v>
      </c>
      <c r="Z105" s="168">
        <f>VLOOKUP(Takeoffs!Y105,Sheet1!$B$6:$C$124,2,FALSE)</f>
        <v>0</v>
      </c>
      <c r="AA105" s="168">
        <f t="shared" si="36"/>
        <v>0</v>
      </c>
      <c r="AB105" s="176">
        <f t="shared" si="37"/>
        <v>0</v>
      </c>
      <c r="AC105" s="174">
        <f t="shared" si="38"/>
        <v>0</v>
      </c>
      <c r="AD105" s="174">
        <v>1</v>
      </c>
      <c r="AE105" s="174"/>
      <c r="AF105" s="175" t="s">
        <v>292</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hidden="1"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292</v>
      </c>
      <c r="V106" s="174">
        <f t="shared" si="35"/>
        <v>0</v>
      </c>
      <c r="W106" s="174">
        <f>VLOOKUP(U106,Sheet1!$B$6:$C$45,2,FALSE)*V106</f>
        <v>0</v>
      </c>
      <c r="X106" s="174"/>
      <c r="Y106" s="175" t="s">
        <v>292</v>
      </c>
      <c r="Z106" s="168">
        <f>VLOOKUP(Takeoffs!Y106,Sheet1!$B$6:$C$124,2,FALSE)</f>
        <v>0</v>
      </c>
      <c r="AA106" s="168">
        <f t="shared" si="36"/>
        <v>0</v>
      </c>
      <c r="AB106" s="176">
        <f t="shared" si="37"/>
        <v>0</v>
      </c>
      <c r="AC106" s="174">
        <f t="shared" si="38"/>
        <v>0</v>
      </c>
      <c r="AD106" s="174">
        <v>2</v>
      </c>
      <c r="AE106" s="174"/>
      <c r="AF106" s="175" t="s">
        <v>292</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hidden="1"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292</v>
      </c>
      <c r="V107" s="174">
        <f t="shared" si="35"/>
        <v>0</v>
      </c>
      <c r="W107" s="174">
        <f>VLOOKUP(U107,Sheet1!$B$6:$C$45,2,FALSE)*V107</f>
        <v>0</v>
      </c>
      <c r="X107" s="174"/>
      <c r="Y107" s="175" t="s">
        <v>292</v>
      </c>
      <c r="Z107" s="168">
        <f>VLOOKUP(Takeoffs!Y107,Sheet1!$B$6:$C$124,2,FALSE)</f>
        <v>0</v>
      </c>
      <c r="AA107" s="168">
        <f t="shared" si="36"/>
        <v>0</v>
      </c>
      <c r="AB107" s="176">
        <f t="shared" si="37"/>
        <v>0</v>
      </c>
      <c r="AC107" s="174">
        <f t="shared" si="38"/>
        <v>0</v>
      </c>
      <c r="AD107" s="174">
        <v>1</v>
      </c>
      <c r="AE107" s="174"/>
      <c r="AF107" s="175" t="s">
        <v>292</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hidden="1"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292</v>
      </c>
      <c r="V108" s="174">
        <f t="shared" si="35"/>
        <v>0</v>
      </c>
      <c r="W108" s="174">
        <f>VLOOKUP(U108,Sheet1!$B$6:$C$45,2,FALSE)*V108</f>
        <v>0</v>
      </c>
      <c r="X108" s="174"/>
      <c r="Y108" s="175" t="s">
        <v>292</v>
      </c>
      <c r="Z108" s="168">
        <f>VLOOKUP(Takeoffs!Y108,Sheet1!$B$6:$C$124,2,FALSE)</f>
        <v>0</v>
      </c>
      <c r="AA108" s="168">
        <f t="shared" si="36"/>
        <v>0</v>
      </c>
      <c r="AB108" s="176">
        <f t="shared" si="37"/>
        <v>0</v>
      </c>
      <c r="AC108" s="174">
        <f t="shared" si="38"/>
        <v>0</v>
      </c>
      <c r="AD108" s="174">
        <v>1</v>
      </c>
      <c r="AE108" s="174"/>
      <c r="AF108" s="175" t="s">
        <v>292</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hidden="1"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292</v>
      </c>
      <c r="V109" s="174">
        <f t="shared" si="35"/>
        <v>0</v>
      </c>
      <c r="W109" s="174">
        <f>VLOOKUP(U109,Sheet1!$B$6:$C$45,2,FALSE)*V109</f>
        <v>0</v>
      </c>
      <c r="X109" s="174"/>
      <c r="Y109" s="175" t="s">
        <v>292</v>
      </c>
      <c r="Z109" s="168">
        <f>VLOOKUP(Takeoffs!Y109,Sheet1!$B$6:$C$124,2,FALSE)</f>
        <v>0</v>
      </c>
      <c r="AA109" s="168">
        <f t="shared" si="36"/>
        <v>0</v>
      </c>
      <c r="AB109" s="176">
        <f t="shared" si="37"/>
        <v>0</v>
      </c>
      <c r="AC109" s="174">
        <f t="shared" si="38"/>
        <v>0</v>
      </c>
      <c r="AD109" s="174">
        <v>1</v>
      </c>
      <c r="AE109" s="174"/>
      <c r="AF109" s="175" t="s">
        <v>292</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hidden="1"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292</v>
      </c>
      <c r="V110" s="174">
        <f t="shared" si="35"/>
        <v>0</v>
      </c>
      <c r="W110" s="174">
        <f>VLOOKUP(U110,Sheet1!$B$6:$C$45,2,FALSE)*V110</f>
        <v>0</v>
      </c>
      <c r="X110" s="174"/>
      <c r="Y110" s="175" t="s">
        <v>292</v>
      </c>
      <c r="Z110" s="168">
        <f>VLOOKUP(Takeoffs!Y110,Sheet1!$B$6:$C$124,2,FALSE)</f>
        <v>0</v>
      </c>
      <c r="AA110" s="168">
        <f t="shared" si="36"/>
        <v>0</v>
      </c>
      <c r="AB110" s="176">
        <f t="shared" si="37"/>
        <v>0</v>
      </c>
      <c r="AC110" s="174">
        <f t="shared" si="38"/>
        <v>0</v>
      </c>
      <c r="AD110" s="174">
        <v>1</v>
      </c>
      <c r="AE110" s="174"/>
      <c r="AF110" s="175" t="s">
        <v>292</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hidden="1"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292</v>
      </c>
      <c r="V111" s="174">
        <f t="shared" si="35"/>
        <v>0</v>
      </c>
      <c r="W111" s="174">
        <f>VLOOKUP(U111,Sheet1!$B$6:$C$45,2,FALSE)*V111</f>
        <v>0</v>
      </c>
      <c r="X111" s="174"/>
      <c r="Y111" s="175" t="s">
        <v>292</v>
      </c>
      <c r="Z111" s="168">
        <f>VLOOKUP(Takeoffs!Y111,Sheet1!$B$6:$C$124,2,FALSE)</f>
        <v>0</v>
      </c>
      <c r="AA111" s="168">
        <f t="shared" si="36"/>
        <v>0</v>
      </c>
      <c r="AB111" s="176">
        <f t="shared" si="37"/>
        <v>0</v>
      </c>
      <c r="AC111" s="174">
        <f t="shared" si="38"/>
        <v>0</v>
      </c>
      <c r="AD111" s="174">
        <v>1</v>
      </c>
      <c r="AE111" s="174"/>
      <c r="AF111" s="175" t="s">
        <v>292</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377</v>
      </c>
      <c r="L112" s="128" t="s">
        <v>378</v>
      </c>
      <c r="N112" s="129"/>
      <c r="O112" s="130" t="s">
        <v>357</v>
      </c>
      <c r="P112" s="192">
        <f>M91*P113</f>
        <v>0</v>
      </c>
      <c r="Q112" s="192"/>
      <c r="R112" s="172"/>
      <c r="S112" s="175"/>
      <c r="T112" s="172"/>
      <c r="U112" s="175" t="s">
        <v>351</v>
      </c>
      <c r="V112" s="172">
        <f>W112*80</f>
        <v>0</v>
      </c>
      <c r="W112" s="177">
        <f>SUM(W91:W111)</f>
        <v>0</v>
      </c>
      <c r="X112" s="178"/>
      <c r="Y112" s="172" t="s">
        <v>352</v>
      </c>
      <c r="Z112" s="168"/>
      <c r="AA112" s="168">
        <f>SUM(AA91:AA111)</f>
        <v>0</v>
      </c>
      <c r="AB112" s="179"/>
      <c r="AC112" s="179"/>
      <c r="AD112" s="179"/>
      <c r="AE112" s="179"/>
      <c r="AF112" s="172" t="s">
        <v>356</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hidden="1" thickBot="1" x14ac:dyDescent="1.25">
      <c r="A113" s="262">
        <f>ROW()</f>
        <v>113</v>
      </c>
      <c r="B113" s="234" t="s">
        <v>491</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367</v>
      </c>
      <c r="N113" s="160" t="str">
        <f>N91</f>
        <v>medium-sized 316 S/S Form 2  MSSB</v>
      </c>
      <c r="O113" s="185" t="s">
        <v>365</v>
      </c>
      <c r="P113" s="203">
        <f>2*(3800+500)</f>
        <v>8600</v>
      </c>
      <c r="Q113" s="195"/>
      <c r="R113" s="188"/>
      <c r="S113" s="160"/>
      <c r="T113" s="161"/>
      <c r="U113" s="571" t="s">
        <v>366</v>
      </c>
      <c r="V113" s="571"/>
      <c r="W113" s="162" t="e">
        <f>W112/M91</f>
        <v>#DIV/0!</v>
      </c>
      <c r="X113" s="163"/>
      <c r="Y113" s="570" t="s">
        <v>365</v>
      </c>
      <c r="Z113" s="570"/>
      <c r="AA113" s="164" t="e">
        <f>AA112/M91</f>
        <v>#DIV/0!</v>
      </c>
      <c r="AB113" s="161"/>
      <c r="AC113" s="161"/>
      <c r="AD113" s="161"/>
      <c r="AE113" s="161"/>
      <c r="AF113" s="570" t="s">
        <v>365</v>
      </c>
      <c r="AG113" s="570"/>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452</v>
      </c>
      <c r="M114" s="116" t="s">
        <v>107</v>
      </c>
      <c r="N114" s="116" t="s">
        <v>108</v>
      </c>
      <c r="O114" s="170" t="s">
        <v>386</v>
      </c>
      <c r="P114" s="572" t="s">
        <v>375</v>
      </c>
      <c r="Q114" s="572"/>
      <c r="R114" s="101" t="s">
        <v>452</v>
      </c>
      <c r="S114" s="116" t="s">
        <v>0</v>
      </c>
      <c r="T114" s="118"/>
      <c r="U114" s="116" t="s">
        <v>287</v>
      </c>
      <c r="V114" s="116" t="s">
        <v>288</v>
      </c>
      <c r="W114" s="116" t="s">
        <v>291</v>
      </c>
      <c r="X114" s="140"/>
      <c r="Y114" s="116" t="s">
        <v>289</v>
      </c>
      <c r="Z114" s="116" t="s">
        <v>354</v>
      </c>
      <c r="AA114" s="116" t="s">
        <v>355</v>
      </c>
      <c r="AB114" s="116" t="s">
        <v>317</v>
      </c>
      <c r="AC114" s="116" t="s">
        <v>318</v>
      </c>
      <c r="AD114" s="116" t="s">
        <v>316</v>
      </c>
      <c r="AE114" s="140"/>
      <c r="AF114" s="116" t="s">
        <v>293</v>
      </c>
      <c r="AG114" s="116" t="s">
        <v>354</v>
      </c>
      <c r="AH114" s="116" t="s">
        <v>355</v>
      </c>
      <c r="AI114" s="116" t="s">
        <v>296</v>
      </c>
      <c r="AJ114" s="116" t="s">
        <v>294</v>
      </c>
      <c r="AK114" s="116" t="s">
        <v>295</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529</v>
      </c>
      <c r="O115" s="121" t="s">
        <v>195</v>
      </c>
      <c r="P115" s="173" t="s">
        <v>379</v>
      </c>
      <c r="Q115" s="173" t="s">
        <v>375</v>
      </c>
      <c r="R115" s="173"/>
      <c r="S115" s="174">
        <f>M115</f>
        <v>0</v>
      </c>
      <c r="T115" s="175"/>
      <c r="U115" s="180" t="s">
        <v>236</v>
      </c>
      <c r="V115" s="174">
        <f>S115</f>
        <v>0</v>
      </c>
      <c r="W115" s="174">
        <f>VLOOKUP(U115,Sheet1!$B$6:$C$45,2,FALSE)*V115</f>
        <v>0</v>
      </c>
      <c r="X115" s="174"/>
      <c r="Y115" s="175" t="s">
        <v>292</v>
      </c>
      <c r="Z115" s="168">
        <f>VLOOKUP(Takeoffs!Y115,Sheet1!$B$6:$C$124,2,FALSE)</f>
        <v>0</v>
      </c>
      <c r="AA115" s="168">
        <f>Z115*AB115</f>
        <v>0</v>
      </c>
      <c r="AB115" s="176">
        <f>AD115*AC115</f>
        <v>0</v>
      </c>
      <c r="AC115" s="174">
        <f>S115</f>
        <v>0</v>
      </c>
      <c r="AD115" s="174">
        <v>1</v>
      </c>
      <c r="AE115" s="174"/>
      <c r="AF115" s="175" t="s">
        <v>292</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hidden="1"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606</v>
      </c>
      <c r="P116" s="175"/>
      <c r="Q116" s="175"/>
      <c r="R116" s="175"/>
      <c r="S116" s="174">
        <f>M115</f>
        <v>0</v>
      </c>
      <c r="T116" s="172"/>
      <c r="U116" s="175" t="s">
        <v>292</v>
      </c>
      <c r="V116" s="174">
        <f t="shared" ref="V116:V135" si="43">S116</f>
        <v>0</v>
      </c>
      <c r="W116" s="174">
        <f>VLOOKUP(U116,Sheet1!$B$6:$C$45,2,FALSE)*V116</f>
        <v>0</v>
      </c>
      <c r="X116" s="174"/>
      <c r="Y116" s="180" t="s">
        <v>417</v>
      </c>
      <c r="Z116" s="168">
        <f>VLOOKUP(Takeoffs!Y116,Sheet1!$B$6:$C$124,2,FALSE)</f>
        <v>586.15199999999993</v>
      </c>
      <c r="AA116" s="168">
        <f t="shared" ref="AA116:AA135" si="44">Z116*AB116</f>
        <v>0</v>
      </c>
      <c r="AB116" s="176">
        <f t="shared" ref="AB116:AB135" si="45">AD116*AC116</f>
        <v>0</v>
      </c>
      <c r="AC116" s="174">
        <f>S116</f>
        <v>0</v>
      </c>
      <c r="AD116" s="174">
        <v>1</v>
      </c>
      <c r="AE116" s="174"/>
      <c r="AF116" s="175" t="s">
        <v>292</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hidden="1"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399</v>
      </c>
      <c r="P117" s="175"/>
      <c r="Q117" s="175"/>
      <c r="R117" s="175"/>
      <c r="S117" s="174">
        <f>M115</f>
        <v>0</v>
      </c>
      <c r="T117" s="172"/>
      <c r="U117" s="175" t="s">
        <v>292</v>
      </c>
      <c r="V117" s="174">
        <f t="shared" si="43"/>
        <v>0</v>
      </c>
      <c r="W117" s="174">
        <f>VLOOKUP(U117,Sheet1!$B$6:$C$45,2,FALSE)*V117</f>
        <v>0</v>
      </c>
      <c r="X117" s="174"/>
      <c r="Y117" s="175" t="s">
        <v>292</v>
      </c>
      <c r="Z117" s="168">
        <f>VLOOKUP(Takeoffs!Y117,Sheet1!$B$6:$C$124,2,FALSE)</f>
        <v>0</v>
      </c>
      <c r="AA117" s="168">
        <f t="shared" si="44"/>
        <v>0</v>
      </c>
      <c r="AB117" s="176">
        <f t="shared" si="45"/>
        <v>0</v>
      </c>
      <c r="AC117" s="174">
        <f>S117</f>
        <v>0</v>
      </c>
      <c r="AD117" s="174">
        <v>1</v>
      </c>
      <c r="AE117" s="174"/>
      <c r="AF117" s="175" t="s">
        <v>292</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hidden="1"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400</v>
      </c>
      <c r="P118" s="175"/>
      <c r="Q118" s="175"/>
      <c r="R118" s="175"/>
      <c r="S118" s="174">
        <f>M115</f>
        <v>0</v>
      </c>
      <c r="T118" s="172"/>
      <c r="U118" s="175" t="s">
        <v>292</v>
      </c>
      <c r="V118" s="174">
        <f t="shared" si="43"/>
        <v>0</v>
      </c>
      <c r="W118" s="174">
        <f>VLOOKUP(U118,Sheet1!$B$6:$C$45,2,FALSE)*V118</f>
        <v>0</v>
      </c>
      <c r="X118" s="174"/>
      <c r="Y118" s="175" t="s">
        <v>292</v>
      </c>
      <c r="Z118" s="168">
        <f>VLOOKUP(Takeoffs!Y118,Sheet1!$B$6:$C$124,2,FALSE)</f>
        <v>0</v>
      </c>
      <c r="AA118" s="168">
        <f t="shared" si="44"/>
        <v>0</v>
      </c>
      <c r="AB118" s="176">
        <f t="shared" si="45"/>
        <v>0</v>
      </c>
      <c r="AC118" s="174">
        <f t="shared" ref="AC118:AC135" si="50">S118</f>
        <v>0</v>
      </c>
      <c r="AD118" s="174">
        <v>1</v>
      </c>
      <c r="AE118" s="174"/>
      <c r="AF118" s="175" t="s">
        <v>292</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hidden="1"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401</v>
      </c>
      <c r="P119" s="175"/>
      <c r="Q119" s="175"/>
      <c r="R119" s="175"/>
      <c r="S119" s="174">
        <f>M115</f>
        <v>0</v>
      </c>
      <c r="T119" s="172"/>
      <c r="U119" s="175" t="s">
        <v>292</v>
      </c>
      <c r="V119" s="174">
        <f t="shared" si="43"/>
        <v>0</v>
      </c>
      <c r="W119" s="174">
        <f>VLOOKUP(U119,Sheet1!$B$6:$C$45,2,FALSE)*V119</f>
        <v>0</v>
      </c>
      <c r="X119" s="174"/>
      <c r="Y119" s="175" t="s">
        <v>292</v>
      </c>
      <c r="Z119" s="168">
        <f>VLOOKUP(Takeoffs!Y119,Sheet1!$B$6:$C$124,2,FALSE)</f>
        <v>0</v>
      </c>
      <c r="AA119" s="168">
        <f t="shared" si="44"/>
        <v>0</v>
      </c>
      <c r="AB119" s="176">
        <f t="shared" si="45"/>
        <v>0</v>
      </c>
      <c r="AC119" s="174">
        <f t="shared" si="50"/>
        <v>0</v>
      </c>
      <c r="AD119" s="174">
        <v>1</v>
      </c>
      <c r="AE119" s="174"/>
      <c r="AF119" s="175" t="s">
        <v>292</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hidden="1"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402</v>
      </c>
      <c r="P120" s="175"/>
      <c r="Q120" s="175"/>
      <c r="R120" s="175"/>
      <c r="S120" s="174">
        <f>M115</f>
        <v>0</v>
      </c>
      <c r="T120" s="172"/>
      <c r="U120" s="175" t="s">
        <v>292</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292</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hidden="1"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403</v>
      </c>
      <c r="P121" s="175"/>
      <c r="Q121" s="175"/>
      <c r="R121" s="175"/>
      <c r="S121" s="174">
        <f>M115</f>
        <v>0</v>
      </c>
      <c r="T121" s="172"/>
      <c r="U121" s="175" t="s">
        <v>292</v>
      </c>
      <c r="V121" s="174">
        <f t="shared" si="43"/>
        <v>0</v>
      </c>
      <c r="W121" s="174">
        <f>VLOOKUP(U121,Sheet1!$B$6:$C$45,2,FALSE)*V121</f>
        <v>0</v>
      </c>
      <c r="X121" s="174"/>
      <c r="Y121" s="175" t="s">
        <v>292</v>
      </c>
      <c r="Z121" s="168">
        <f>VLOOKUP(Takeoffs!Y121,Sheet1!$B$6:$C$124,2,FALSE)</f>
        <v>0</v>
      </c>
      <c r="AA121" s="168">
        <f t="shared" si="44"/>
        <v>0</v>
      </c>
      <c r="AB121" s="176">
        <f t="shared" si="45"/>
        <v>0</v>
      </c>
      <c r="AC121" s="174">
        <f t="shared" si="50"/>
        <v>0</v>
      </c>
      <c r="AD121" s="174">
        <v>1</v>
      </c>
      <c r="AE121" s="174"/>
      <c r="AF121" s="175" t="s">
        <v>292</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hidden="1" x14ac:dyDescent="0.8">
      <c r="A122" s="262">
        <f>ROW()</f>
        <v>122</v>
      </c>
      <c r="C122" s="208"/>
      <c r="D122" s="208"/>
      <c r="E122" s="208"/>
      <c r="F122" s="208"/>
      <c r="G122" s="208"/>
      <c r="H122" s="208"/>
      <c r="J122" s="114" t="str">
        <f t="shared" si="49"/>
        <v/>
      </c>
      <c r="K122" s="114" t="str">
        <f>IF(COUNTBLANK(R122)&gt;0,"",CONCATENATE(R122," for ",N115))</f>
        <v/>
      </c>
      <c r="N122" s="123" t="s">
        <v>119</v>
      </c>
      <c r="O122" s="66" t="s">
        <v>404</v>
      </c>
      <c r="P122" s="175"/>
      <c r="Q122" s="175"/>
      <c r="R122" s="175"/>
      <c r="S122" s="174">
        <f>M115</f>
        <v>0</v>
      </c>
      <c r="T122" s="172"/>
      <c r="U122" s="175" t="s">
        <v>292</v>
      </c>
      <c r="V122" s="174">
        <f t="shared" si="43"/>
        <v>0</v>
      </c>
      <c r="W122" s="174">
        <f>VLOOKUP(U122,Sheet1!$B$6:$C$45,2,FALSE)*V122</f>
        <v>0</v>
      </c>
      <c r="X122" s="174"/>
      <c r="Y122" s="175" t="s">
        <v>292</v>
      </c>
      <c r="Z122" s="168">
        <f>VLOOKUP(Takeoffs!Y122,Sheet1!$B$6:$C$124,2,FALSE)</f>
        <v>0</v>
      </c>
      <c r="AA122" s="168">
        <f t="shared" si="44"/>
        <v>0</v>
      </c>
      <c r="AB122" s="176">
        <f t="shared" si="45"/>
        <v>0</v>
      </c>
      <c r="AC122" s="174">
        <f t="shared" si="50"/>
        <v>0</v>
      </c>
      <c r="AD122" s="174">
        <v>1</v>
      </c>
      <c r="AE122" s="174"/>
      <c r="AF122" s="175" t="s">
        <v>292</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hidden="1" x14ac:dyDescent="0.8">
      <c r="A123" s="262">
        <f>ROW()</f>
        <v>123</v>
      </c>
      <c r="C123" s="208"/>
      <c r="D123" s="208"/>
      <c r="E123" s="208"/>
      <c r="F123" s="208"/>
      <c r="G123" s="208"/>
      <c r="H123" s="208"/>
      <c r="J123" s="114" t="str">
        <f t="shared" si="49"/>
        <v/>
      </c>
      <c r="K123" s="114" t="str">
        <f>IF(COUNTBLANK(R123)&gt;0,"",CONCATENATE(R123," for ",N115))</f>
        <v/>
      </c>
      <c r="N123" s="123" t="s">
        <v>120</v>
      </c>
      <c r="O123" s="66" t="s">
        <v>509</v>
      </c>
      <c r="P123" s="175"/>
      <c r="Q123" s="175"/>
      <c r="R123" s="175"/>
      <c r="S123" s="174">
        <f>M115</f>
        <v>0</v>
      </c>
      <c r="T123" s="172"/>
      <c r="U123" s="175" t="s">
        <v>292</v>
      </c>
      <c r="V123" s="174">
        <f t="shared" si="43"/>
        <v>0</v>
      </c>
      <c r="W123" s="174">
        <f>VLOOKUP(U123,Sheet1!$B$6:$C$45,2,FALSE)*V123</f>
        <v>0</v>
      </c>
      <c r="X123" s="174"/>
      <c r="Y123" s="175" t="s">
        <v>292</v>
      </c>
      <c r="Z123" s="168">
        <f>VLOOKUP(Takeoffs!Y123,Sheet1!$B$6:$C$124,2,FALSE)</f>
        <v>0</v>
      </c>
      <c r="AA123" s="168">
        <f t="shared" si="44"/>
        <v>0</v>
      </c>
      <c r="AB123" s="176">
        <f t="shared" si="45"/>
        <v>0</v>
      </c>
      <c r="AC123" s="174">
        <f t="shared" si="50"/>
        <v>0</v>
      </c>
      <c r="AD123" s="174">
        <v>1</v>
      </c>
      <c r="AE123" s="174"/>
      <c r="AF123" s="175" t="s">
        <v>292</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hidden="1" x14ac:dyDescent="0.8">
      <c r="A124" s="262">
        <f>ROW()</f>
        <v>124</v>
      </c>
      <c r="C124" s="208"/>
      <c r="D124" s="208"/>
      <c r="E124" s="208"/>
      <c r="F124" s="208"/>
      <c r="G124" s="208"/>
      <c r="H124" s="208"/>
      <c r="J124" s="114" t="str">
        <f t="shared" si="49"/>
        <v/>
      </c>
      <c r="K124" s="114" t="str">
        <f>IF(COUNTBLANK(R124)&gt;0,"",CONCATENATE(R124," for ",N115))</f>
        <v/>
      </c>
      <c r="N124" s="123" t="s">
        <v>121</v>
      </c>
      <c r="O124" s="66" t="s">
        <v>440</v>
      </c>
      <c r="P124" s="175"/>
      <c r="Q124" s="175"/>
      <c r="R124" s="175"/>
      <c r="S124" s="174">
        <f>M115</f>
        <v>0</v>
      </c>
      <c r="T124" s="172"/>
      <c r="U124" s="175" t="s">
        <v>292</v>
      </c>
      <c r="V124" s="174">
        <f t="shared" si="43"/>
        <v>0</v>
      </c>
      <c r="W124" s="174">
        <f>VLOOKUP(U124,Sheet1!$B$6:$C$45,2,FALSE)*V124</f>
        <v>0</v>
      </c>
      <c r="X124" s="174"/>
      <c r="Y124" s="175" t="s">
        <v>292</v>
      </c>
      <c r="Z124" s="168">
        <f>VLOOKUP(Takeoffs!Y124,Sheet1!$B$6:$C$124,2,FALSE)</f>
        <v>0</v>
      </c>
      <c r="AA124" s="168">
        <f t="shared" si="44"/>
        <v>0</v>
      </c>
      <c r="AB124" s="176">
        <f t="shared" si="45"/>
        <v>0</v>
      </c>
      <c r="AC124" s="174">
        <f t="shared" si="50"/>
        <v>0</v>
      </c>
      <c r="AD124" s="174">
        <v>1</v>
      </c>
      <c r="AE124" s="174"/>
      <c r="AF124" s="175" t="s">
        <v>292</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hidden="1" x14ac:dyDescent="0.8">
      <c r="A125" s="262">
        <f>ROW()</f>
        <v>125</v>
      </c>
      <c r="C125" s="208"/>
      <c r="D125" s="208"/>
      <c r="E125" s="208"/>
      <c r="F125" s="208"/>
      <c r="G125" s="208"/>
      <c r="H125" s="208"/>
      <c r="J125" s="114" t="str">
        <f t="shared" si="49"/>
        <v/>
      </c>
      <c r="K125" s="114" t="str">
        <f>IF(COUNTBLANK(R125)&gt;0,"",CONCATENATE(R125," for ",N115))</f>
        <v/>
      </c>
      <c r="N125" s="123" t="s">
        <v>122</v>
      </c>
      <c r="O125" s="66" t="s">
        <v>405</v>
      </c>
      <c r="P125" s="175"/>
      <c r="Q125" s="175"/>
      <c r="R125" s="175"/>
      <c r="S125" s="174">
        <f>M115</f>
        <v>0</v>
      </c>
      <c r="T125" s="172"/>
      <c r="U125" s="175" t="s">
        <v>292</v>
      </c>
      <c r="V125" s="174">
        <f t="shared" si="43"/>
        <v>0</v>
      </c>
      <c r="W125" s="174">
        <f>VLOOKUP(U125,Sheet1!$B$6:$C$45,2,FALSE)*V125</f>
        <v>0</v>
      </c>
      <c r="X125" s="174"/>
      <c r="Y125" s="175" t="s">
        <v>292</v>
      </c>
      <c r="Z125" s="168">
        <f>VLOOKUP(Takeoffs!Y125,Sheet1!$B$6:$C$124,2,FALSE)</f>
        <v>0</v>
      </c>
      <c r="AA125" s="168">
        <f t="shared" si="44"/>
        <v>0</v>
      </c>
      <c r="AB125" s="176">
        <f t="shared" si="45"/>
        <v>0</v>
      </c>
      <c r="AC125" s="174">
        <f t="shared" si="50"/>
        <v>0</v>
      </c>
      <c r="AD125" s="174">
        <v>1</v>
      </c>
      <c r="AE125" s="174"/>
      <c r="AF125" s="175" t="s">
        <v>292</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hidden="1"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292</v>
      </c>
      <c r="V126" s="174">
        <f t="shared" si="43"/>
        <v>0</v>
      </c>
      <c r="W126" s="174">
        <f>VLOOKUP(U126,Sheet1!$B$6:$C$45,2,FALSE)*V126</f>
        <v>0</v>
      </c>
      <c r="X126" s="174"/>
      <c r="Y126" s="175" t="s">
        <v>292</v>
      </c>
      <c r="Z126" s="168">
        <f>VLOOKUP(Takeoffs!Y126,Sheet1!$B$6:$C$124,2,FALSE)</f>
        <v>0</v>
      </c>
      <c r="AA126" s="168">
        <f t="shared" si="44"/>
        <v>0</v>
      </c>
      <c r="AB126" s="176">
        <f t="shared" si="45"/>
        <v>0</v>
      </c>
      <c r="AC126" s="174">
        <f t="shared" si="50"/>
        <v>0</v>
      </c>
      <c r="AD126" s="174">
        <v>1</v>
      </c>
      <c r="AE126" s="174"/>
      <c r="AF126" s="175" t="s">
        <v>292</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hidden="1"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292</v>
      </c>
      <c r="V127" s="174">
        <f t="shared" si="43"/>
        <v>0</v>
      </c>
      <c r="W127" s="174">
        <f>VLOOKUP(U127,Sheet1!$B$6:$C$45,2,FALSE)*V127</f>
        <v>0</v>
      </c>
      <c r="X127" s="174"/>
      <c r="Y127" s="175" t="s">
        <v>292</v>
      </c>
      <c r="Z127" s="168">
        <f>VLOOKUP(Takeoffs!Y127,Sheet1!$B$6:$C$124,2,FALSE)</f>
        <v>0</v>
      </c>
      <c r="AA127" s="168">
        <f t="shared" si="44"/>
        <v>0</v>
      </c>
      <c r="AB127" s="176">
        <f t="shared" si="45"/>
        <v>0</v>
      </c>
      <c r="AC127" s="174">
        <f t="shared" si="50"/>
        <v>0</v>
      </c>
      <c r="AD127" s="174">
        <v>1</v>
      </c>
      <c r="AE127" s="174"/>
      <c r="AF127" s="175" t="s">
        <v>292</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hidden="1"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292</v>
      </c>
      <c r="V128" s="174">
        <f t="shared" si="43"/>
        <v>0</v>
      </c>
      <c r="W128" s="174">
        <f>VLOOKUP(U128,Sheet1!$B$6:$C$45,2,FALSE)*V128</f>
        <v>0</v>
      </c>
      <c r="X128" s="174"/>
      <c r="Y128" s="175" t="s">
        <v>292</v>
      </c>
      <c r="Z128" s="168">
        <f>VLOOKUP(Takeoffs!Y128,Sheet1!$B$6:$C$124,2,FALSE)</f>
        <v>0</v>
      </c>
      <c r="AA128" s="168">
        <f t="shared" si="44"/>
        <v>0</v>
      </c>
      <c r="AB128" s="176">
        <f t="shared" si="45"/>
        <v>0</v>
      </c>
      <c r="AC128" s="174">
        <f t="shared" si="50"/>
        <v>0</v>
      </c>
      <c r="AD128" s="174">
        <v>1</v>
      </c>
      <c r="AE128" s="174"/>
      <c r="AF128" s="175" t="s">
        <v>292</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hidden="1"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292</v>
      </c>
      <c r="V129" s="174">
        <f t="shared" si="43"/>
        <v>0</v>
      </c>
      <c r="W129" s="174">
        <f>VLOOKUP(U129,Sheet1!$B$6:$C$45,2,FALSE)*V129</f>
        <v>0</v>
      </c>
      <c r="X129" s="174"/>
      <c r="Y129" s="175" t="s">
        <v>292</v>
      </c>
      <c r="Z129" s="168">
        <f>VLOOKUP(Takeoffs!Y129,Sheet1!$B$6:$C$124,2,FALSE)</f>
        <v>0</v>
      </c>
      <c r="AA129" s="168">
        <f t="shared" si="44"/>
        <v>0</v>
      </c>
      <c r="AB129" s="176">
        <f t="shared" si="45"/>
        <v>0</v>
      </c>
      <c r="AC129" s="174">
        <f t="shared" si="50"/>
        <v>0</v>
      </c>
      <c r="AD129" s="174">
        <v>1</v>
      </c>
      <c r="AE129" s="174"/>
      <c r="AF129" s="175" t="s">
        <v>292</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hidden="1"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292</v>
      </c>
      <c r="V130" s="174">
        <f t="shared" si="43"/>
        <v>0</v>
      </c>
      <c r="W130" s="174">
        <f>VLOOKUP(U130,Sheet1!$B$6:$C$45,2,FALSE)*V130</f>
        <v>0</v>
      </c>
      <c r="X130" s="174"/>
      <c r="Y130" s="175" t="s">
        <v>292</v>
      </c>
      <c r="Z130" s="168">
        <f>VLOOKUP(Takeoffs!Y130,Sheet1!$B$6:$C$124,2,FALSE)</f>
        <v>0</v>
      </c>
      <c r="AA130" s="168">
        <f t="shared" si="44"/>
        <v>0</v>
      </c>
      <c r="AB130" s="176">
        <f t="shared" si="45"/>
        <v>0</v>
      </c>
      <c r="AC130" s="174">
        <f t="shared" si="50"/>
        <v>0</v>
      </c>
      <c r="AD130" s="174">
        <v>2</v>
      </c>
      <c r="AE130" s="174"/>
      <c r="AF130" s="175" t="s">
        <v>292</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hidden="1"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292</v>
      </c>
      <c r="V131" s="174">
        <f t="shared" si="43"/>
        <v>0</v>
      </c>
      <c r="W131" s="174">
        <f>VLOOKUP(U131,Sheet1!$B$6:$C$45,2,FALSE)*V131</f>
        <v>0</v>
      </c>
      <c r="X131" s="174"/>
      <c r="Y131" s="175" t="s">
        <v>292</v>
      </c>
      <c r="Z131" s="168">
        <f>VLOOKUP(Takeoffs!Y131,Sheet1!$B$6:$C$124,2,FALSE)</f>
        <v>0</v>
      </c>
      <c r="AA131" s="168">
        <f t="shared" si="44"/>
        <v>0</v>
      </c>
      <c r="AB131" s="176">
        <f t="shared" si="45"/>
        <v>0</v>
      </c>
      <c r="AC131" s="174">
        <f t="shared" si="50"/>
        <v>0</v>
      </c>
      <c r="AD131" s="174">
        <v>1</v>
      </c>
      <c r="AE131" s="174"/>
      <c r="AF131" s="175" t="s">
        <v>292</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hidden="1"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292</v>
      </c>
      <c r="V132" s="174">
        <f t="shared" si="43"/>
        <v>0</v>
      </c>
      <c r="W132" s="174">
        <f>VLOOKUP(U132,Sheet1!$B$6:$C$45,2,FALSE)*V132</f>
        <v>0</v>
      </c>
      <c r="X132" s="174"/>
      <c r="Y132" s="175" t="s">
        <v>292</v>
      </c>
      <c r="Z132" s="168">
        <f>VLOOKUP(Takeoffs!Y132,Sheet1!$B$6:$C$124,2,FALSE)</f>
        <v>0</v>
      </c>
      <c r="AA132" s="168">
        <f t="shared" si="44"/>
        <v>0</v>
      </c>
      <c r="AB132" s="176">
        <f t="shared" si="45"/>
        <v>0</v>
      </c>
      <c r="AC132" s="174">
        <f t="shared" si="50"/>
        <v>0</v>
      </c>
      <c r="AD132" s="174">
        <v>1</v>
      </c>
      <c r="AE132" s="174"/>
      <c r="AF132" s="175" t="s">
        <v>292</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hidden="1"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292</v>
      </c>
      <c r="V133" s="174">
        <f t="shared" si="43"/>
        <v>0</v>
      </c>
      <c r="W133" s="174">
        <f>VLOOKUP(U133,Sheet1!$B$6:$C$45,2,FALSE)*V133</f>
        <v>0</v>
      </c>
      <c r="X133" s="174"/>
      <c r="Y133" s="175" t="s">
        <v>292</v>
      </c>
      <c r="Z133" s="168">
        <f>VLOOKUP(Takeoffs!Y133,Sheet1!$B$6:$C$124,2,FALSE)</f>
        <v>0</v>
      </c>
      <c r="AA133" s="168">
        <f t="shared" si="44"/>
        <v>0</v>
      </c>
      <c r="AB133" s="176">
        <f t="shared" si="45"/>
        <v>0</v>
      </c>
      <c r="AC133" s="174">
        <f t="shared" si="50"/>
        <v>0</v>
      </c>
      <c r="AD133" s="174">
        <v>1</v>
      </c>
      <c r="AE133" s="174"/>
      <c r="AF133" s="175" t="s">
        <v>292</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hidden="1"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292</v>
      </c>
      <c r="V134" s="174">
        <f t="shared" si="43"/>
        <v>0</v>
      </c>
      <c r="W134" s="174">
        <f>VLOOKUP(U134,Sheet1!$B$6:$C$45,2,FALSE)*V134</f>
        <v>0</v>
      </c>
      <c r="X134" s="174"/>
      <c r="Y134" s="175" t="s">
        <v>292</v>
      </c>
      <c r="Z134" s="168">
        <f>VLOOKUP(Takeoffs!Y134,Sheet1!$B$6:$C$124,2,FALSE)</f>
        <v>0</v>
      </c>
      <c r="AA134" s="168">
        <f t="shared" si="44"/>
        <v>0</v>
      </c>
      <c r="AB134" s="176">
        <f t="shared" si="45"/>
        <v>0</v>
      </c>
      <c r="AC134" s="174">
        <f t="shared" si="50"/>
        <v>0</v>
      </c>
      <c r="AD134" s="174">
        <v>1</v>
      </c>
      <c r="AE134" s="174"/>
      <c r="AF134" s="175" t="s">
        <v>292</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hidden="1"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292</v>
      </c>
      <c r="V135" s="174">
        <f t="shared" si="43"/>
        <v>0</v>
      </c>
      <c r="W135" s="174">
        <f>VLOOKUP(U135,Sheet1!$B$6:$C$45,2,FALSE)*V135</f>
        <v>0</v>
      </c>
      <c r="X135" s="174"/>
      <c r="Y135" s="175" t="s">
        <v>292</v>
      </c>
      <c r="Z135" s="168">
        <f>VLOOKUP(Takeoffs!Y135,Sheet1!$B$6:$C$124,2,FALSE)</f>
        <v>0</v>
      </c>
      <c r="AA135" s="168">
        <f t="shared" si="44"/>
        <v>0</v>
      </c>
      <c r="AB135" s="176">
        <f t="shared" si="45"/>
        <v>0</v>
      </c>
      <c r="AC135" s="174">
        <f t="shared" si="50"/>
        <v>0</v>
      </c>
      <c r="AD135" s="174">
        <v>1</v>
      </c>
      <c r="AE135" s="174"/>
      <c r="AF135" s="175" t="s">
        <v>292</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377</v>
      </c>
      <c r="L136" s="128" t="s">
        <v>378</v>
      </c>
      <c r="N136" s="129"/>
      <c r="O136" s="130" t="s">
        <v>357</v>
      </c>
      <c r="P136" s="192">
        <f>M115*P137</f>
        <v>0</v>
      </c>
      <c r="Q136" s="192"/>
      <c r="R136" s="172"/>
      <c r="S136" s="175"/>
      <c r="T136" s="172"/>
      <c r="U136" s="175" t="s">
        <v>351</v>
      </c>
      <c r="V136" s="172">
        <f>W136*80</f>
        <v>0</v>
      </c>
      <c r="W136" s="177">
        <f>SUM(W115:W135)</f>
        <v>0</v>
      </c>
      <c r="X136" s="178"/>
      <c r="Y136" s="172" t="s">
        <v>352</v>
      </c>
      <c r="Z136" s="168"/>
      <c r="AA136" s="168">
        <f>SUM(AA115:AA135)</f>
        <v>0</v>
      </c>
      <c r="AB136" s="179"/>
      <c r="AC136" s="179"/>
      <c r="AD136" s="179"/>
      <c r="AE136" s="179"/>
      <c r="AF136" s="172" t="s">
        <v>356</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hidden="1" thickBot="1" x14ac:dyDescent="1.25">
      <c r="A137" s="262">
        <f>ROW()</f>
        <v>137</v>
      </c>
      <c r="B137" s="234" t="s">
        <v>491</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367</v>
      </c>
      <c r="N137" s="160" t="str">
        <f>N115</f>
        <v>medium-sized Form 2  MSSB</v>
      </c>
      <c r="O137" s="185" t="s">
        <v>365</v>
      </c>
      <c r="P137" s="203">
        <f>3800+500</f>
        <v>4300</v>
      </c>
      <c r="Q137" s="195"/>
      <c r="R137" s="188"/>
      <c r="S137" s="160"/>
      <c r="T137" s="161"/>
      <c r="U137" s="571" t="s">
        <v>366</v>
      </c>
      <c r="V137" s="571"/>
      <c r="W137" s="162" t="e">
        <f>W136/M115</f>
        <v>#DIV/0!</v>
      </c>
      <c r="X137" s="163"/>
      <c r="Y137" s="570" t="s">
        <v>365</v>
      </c>
      <c r="Z137" s="570"/>
      <c r="AA137" s="164" t="e">
        <f>AA136/M115</f>
        <v>#DIV/0!</v>
      </c>
      <c r="AB137" s="161"/>
      <c r="AC137" s="161"/>
      <c r="AD137" s="161"/>
      <c r="AE137" s="161"/>
      <c r="AF137" s="570" t="s">
        <v>365</v>
      </c>
      <c r="AG137" s="570"/>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452</v>
      </c>
      <c r="M138" s="2" t="s">
        <v>107</v>
      </c>
      <c r="N138" s="2" t="s">
        <v>108</v>
      </c>
      <c r="O138" s="97" t="s">
        <v>386</v>
      </c>
      <c r="P138" s="573" t="s">
        <v>375</v>
      </c>
      <c r="Q138" s="573"/>
      <c r="R138" s="101" t="s">
        <v>452</v>
      </c>
      <c r="S138" s="2" t="s">
        <v>0</v>
      </c>
      <c r="T138" s="9"/>
      <c r="U138" s="2" t="s">
        <v>287</v>
      </c>
      <c r="V138" s="2" t="s">
        <v>288</v>
      </c>
      <c r="W138" s="2" t="s">
        <v>291</v>
      </c>
      <c r="X138" s="58"/>
      <c r="Y138" s="2" t="s">
        <v>289</v>
      </c>
      <c r="Z138" s="2" t="s">
        <v>354</v>
      </c>
      <c r="AA138" s="2" t="s">
        <v>355</v>
      </c>
      <c r="AB138" s="2" t="s">
        <v>317</v>
      </c>
      <c r="AC138" s="2" t="s">
        <v>318</v>
      </c>
      <c r="AD138" s="2" t="s">
        <v>316</v>
      </c>
      <c r="AE138" s="58"/>
      <c r="AF138" s="2" t="s">
        <v>293</v>
      </c>
      <c r="AG138" s="2" t="s">
        <v>354</v>
      </c>
      <c r="AH138" s="2" t="s">
        <v>355</v>
      </c>
      <c r="AI138" s="2" t="s">
        <v>296</v>
      </c>
      <c r="AJ138" s="2" t="s">
        <v>294</v>
      </c>
      <c r="AK138" s="2" t="s">
        <v>295</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527</v>
      </c>
      <c r="O139" s="12" t="s">
        <v>195</v>
      </c>
      <c r="P139" s="96" t="s">
        <v>379</v>
      </c>
      <c r="Q139" s="96" t="s">
        <v>375</v>
      </c>
      <c r="R139" s="96"/>
      <c r="S139" s="28">
        <f>M139</f>
        <v>0</v>
      </c>
      <c r="T139" s="10"/>
      <c r="U139" s="73" t="s">
        <v>236</v>
      </c>
      <c r="V139" s="28">
        <f>S139</f>
        <v>0</v>
      </c>
      <c r="W139" s="28">
        <f>VLOOKUP(U139,Sheet1!$B$6:$C$45,2,FALSE)*V139</f>
        <v>0</v>
      </c>
      <c r="X139" s="59"/>
      <c r="Y139" s="12" t="s">
        <v>292</v>
      </c>
      <c r="Z139" s="68">
        <f>VLOOKUP(Takeoffs!Y139,Sheet1!$B$6:$C$124,2,FALSE)</f>
        <v>0</v>
      </c>
      <c r="AA139" s="68">
        <f>Z139*AB139</f>
        <v>0</v>
      </c>
      <c r="AB139" s="63">
        <f>AD139*AC139</f>
        <v>0</v>
      </c>
      <c r="AC139" s="28">
        <f>S139</f>
        <v>0</v>
      </c>
      <c r="AD139" s="61">
        <v>1</v>
      </c>
      <c r="AE139" s="59"/>
      <c r="AF139" s="12" t="s">
        <v>292</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398</v>
      </c>
      <c r="P140" s="12"/>
      <c r="Q140" s="12"/>
      <c r="R140" s="12"/>
      <c r="S140" s="28">
        <f>M139</f>
        <v>0</v>
      </c>
      <c r="T140" s="11"/>
      <c r="U140" s="12" t="s">
        <v>292</v>
      </c>
      <c r="V140" s="28">
        <f t="shared" ref="V140:V159" si="51">S140</f>
        <v>0</v>
      </c>
      <c r="W140" s="28">
        <f>VLOOKUP(U140,Sheet1!$B$6:$C$45,2,FALSE)*V140</f>
        <v>0</v>
      </c>
      <c r="X140" s="59"/>
      <c r="Y140" s="73" t="s">
        <v>417</v>
      </c>
      <c r="Z140" s="68">
        <f>VLOOKUP(Takeoffs!Y140,Sheet1!$B$6:$C$124,2,FALSE)</f>
        <v>586.15199999999993</v>
      </c>
      <c r="AA140" s="68">
        <f t="shared" ref="AA140:AA159" si="52">Z140*AB140</f>
        <v>0</v>
      </c>
      <c r="AB140" s="63">
        <f t="shared" ref="AB140:AB159" si="53">AD140*AC140</f>
        <v>0</v>
      </c>
      <c r="AC140" s="28">
        <f>S140</f>
        <v>0</v>
      </c>
      <c r="AD140" s="61">
        <v>1</v>
      </c>
      <c r="AE140" s="59"/>
      <c r="AF140" s="12" t="s">
        <v>292</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399</v>
      </c>
      <c r="P141" s="12"/>
      <c r="Q141" s="12"/>
      <c r="R141" s="12"/>
      <c r="S141" s="28">
        <f>M139</f>
        <v>0</v>
      </c>
      <c r="T141" s="11"/>
      <c r="U141" s="12" t="s">
        <v>292</v>
      </c>
      <c r="V141" s="28">
        <f t="shared" si="51"/>
        <v>0</v>
      </c>
      <c r="W141" s="28">
        <f>VLOOKUP(U141,Sheet1!$B$6:$C$45,2,FALSE)*V141</f>
        <v>0</v>
      </c>
      <c r="X141" s="59"/>
      <c r="Y141" s="12" t="s">
        <v>292</v>
      </c>
      <c r="Z141" s="68">
        <f>VLOOKUP(Takeoffs!Y141,Sheet1!$B$6:$C$124,2,FALSE)</f>
        <v>0</v>
      </c>
      <c r="AA141" s="68">
        <f t="shared" si="52"/>
        <v>0</v>
      </c>
      <c r="AB141" s="63">
        <f t="shared" si="53"/>
        <v>0</v>
      </c>
      <c r="AC141" s="28">
        <f>S141</f>
        <v>0</v>
      </c>
      <c r="AD141" s="61">
        <v>1</v>
      </c>
      <c r="AE141" s="59"/>
      <c r="AF141" s="12" t="s">
        <v>292</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400</v>
      </c>
      <c r="P142" s="12"/>
      <c r="Q142" s="12"/>
      <c r="R142" s="12"/>
      <c r="S142" s="28">
        <f>M139</f>
        <v>0</v>
      </c>
      <c r="T142" s="11"/>
      <c r="U142" s="12" t="s">
        <v>292</v>
      </c>
      <c r="V142" s="28">
        <f t="shared" si="51"/>
        <v>0</v>
      </c>
      <c r="W142" s="28">
        <f>VLOOKUP(U142,Sheet1!$B$6:$C$45,2,FALSE)*V142</f>
        <v>0</v>
      </c>
      <c r="X142" s="59"/>
      <c r="Y142" s="12" t="s">
        <v>292</v>
      </c>
      <c r="Z142" s="68">
        <f>VLOOKUP(Takeoffs!Y142,Sheet1!$B$6:$C$124,2,FALSE)</f>
        <v>0</v>
      </c>
      <c r="AA142" s="68">
        <f t="shared" si="52"/>
        <v>0</v>
      </c>
      <c r="AB142" s="63">
        <f t="shared" si="53"/>
        <v>0</v>
      </c>
      <c r="AC142" s="28">
        <f t="shared" ref="AC142:AC159" si="58">S142</f>
        <v>0</v>
      </c>
      <c r="AD142" s="61">
        <v>1</v>
      </c>
      <c r="AE142" s="59"/>
      <c r="AF142" s="12" t="s">
        <v>292</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401</v>
      </c>
      <c r="P143" s="12"/>
      <c r="Q143" s="12"/>
      <c r="R143" s="12"/>
      <c r="S143" s="28">
        <f>M139</f>
        <v>0</v>
      </c>
      <c r="T143" s="11"/>
      <c r="U143" s="12" t="s">
        <v>292</v>
      </c>
      <c r="V143" s="28">
        <f t="shared" si="51"/>
        <v>0</v>
      </c>
      <c r="W143" s="28">
        <f>VLOOKUP(U143,Sheet1!$B$6:$C$45,2,FALSE)*V143</f>
        <v>0</v>
      </c>
      <c r="X143" s="59"/>
      <c r="Y143" s="12" t="s">
        <v>292</v>
      </c>
      <c r="Z143" s="68">
        <f>VLOOKUP(Takeoffs!Y143,Sheet1!$B$6:$C$124,2,FALSE)</f>
        <v>0</v>
      </c>
      <c r="AA143" s="68">
        <f t="shared" si="52"/>
        <v>0</v>
      </c>
      <c r="AB143" s="63">
        <f t="shared" si="53"/>
        <v>0</v>
      </c>
      <c r="AC143" s="28">
        <f t="shared" si="58"/>
        <v>0</v>
      </c>
      <c r="AD143" s="61">
        <v>1</v>
      </c>
      <c r="AE143" s="59"/>
      <c r="AF143" s="12" t="s">
        <v>292</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402</v>
      </c>
      <c r="P144" s="12"/>
      <c r="Q144" s="12"/>
      <c r="R144" s="12"/>
      <c r="S144" s="28">
        <f>M139</f>
        <v>0</v>
      </c>
      <c r="T144" s="11"/>
      <c r="U144" s="12" t="s">
        <v>292</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292</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403</v>
      </c>
      <c r="P145" s="12"/>
      <c r="Q145" s="12"/>
      <c r="R145" s="12"/>
      <c r="S145" s="28">
        <f>M139</f>
        <v>0</v>
      </c>
      <c r="T145" s="11"/>
      <c r="U145" s="12" t="s">
        <v>292</v>
      </c>
      <c r="V145" s="28">
        <f t="shared" si="51"/>
        <v>0</v>
      </c>
      <c r="W145" s="28">
        <f>VLOOKUP(U145,Sheet1!$B$6:$C$45,2,FALSE)*V145</f>
        <v>0</v>
      </c>
      <c r="X145" s="59"/>
      <c r="Y145" s="12" t="s">
        <v>292</v>
      </c>
      <c r="Z145" s="68">
        <f>VLOOKUP(Takeoffs!Y145,Sheet1!$B$6:$C$124,2,FALSE)</f>
        <v>0</v>
      </c>
      <c r="AA145" s="68">
        <f t="shared" si="52"/>
        <v>0</v>
      </c>
      <c r="AB145" s="63">
        <f t="shared" si="53"/>
        <v>0</v>
      </c>
      <c r="AC145" s="28">
        <f t="shared" si="58"/>
        <v>0</v>
      </c>
      <c r="AD145" s="61">
        <v>1</v>
      </c>
      <c r="AE145" s="59"/>
      <c r="AF145" s="12" t="s">
        <v>292</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404</v>
      </c>
      <c r="P146" s="12"/>
      <c r="Q146" s="12"/>
      <c r="R146" s="12"/>
      <c r="S146" s="28">
        <f>M139</f>
        <v>0</v>
      </c>
      <c r="T146" s="11"/>
      <c r="U146" s="12" t="s">
        <v>292</v>
      </c>
      <c r="V146" s="28">
        <f t="shared" si="51"/>
        <v>0</v>
      </c>
      <c r="W146" s="28">
        <f>VLOOKUP(U146,Sheet1!$B$6:$C$45,2,FALSE)*V146</f>
        <v>0</v>
      </c>
      <c r="X146" s="59"/>
      <c r="Y146" s="12" t="s">
        <v>292</v>
      </c>
      <c r="Z146" s="68">
        <f>VLOOKUP(Takeoffs!Y146,Sheet1!$B$6:$C$124,2,FALSE)</f>
        <v>0</v>
      </c>
      <c r="AA146" s="68">
        <f t="shared" si="52"/>
        <v>0</v>
      </c>
      <c r="AB146" s="63">
        <f t="shared" si="53"/>
        <v>0</v>
      </c>
      <c r="AC146" s="28">
        <f t="shared" si="58"/>
        <v>0</v>
      </c>
      <c r="AD146" s="61">
        <v>1</v>
      </c>
      <c r="AE146" s="59"/>
      <c r="AF146" s="12" t="s">
        <v>292</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509</v>
      </c>
      <c r="P147" s="12"/>
      <c r="Q147" s="12"/>
      <c r="R147" s="12"/>
      <c r="S147" s="28">
        <f>M139</f>
        <v>0</v>
      </c>
      <c r="T147" s="11"/>
      <c r="U147" s="12" t="s">
        <v>292</v>
      </c>
      <c r="V147" s="28">
        <f t="shared" si="51"/>
        <v>0</v>
      </c>
      <c r="W147" s="28">
        <f>VLOOKUP(U147,Sheet1!$B$6:$C$45,2,FALSE)*V147</f>
        <v>0</v>
      </c>
      <c r="X147" s="59"/>
      <c r="Y147" s="12" t="s">
        <v>292</v>
      </c>
      <c r="Z147" s="68">
        <f>VLOOKUP(Takeoffs!Y147,Sheet1!$B$6:$C$124,2,FALSE)</f>
        <v>0</v>
      </c>
      <c r="AA147" s="68">
        <f t="shared" si="52"/>
        <v>0</v>
      </c>
      <c r="AB147" s="63">
        <f t="shared" si="53"/>
        <v>0</v>
      </c>
      <c r="AC147" s="28">
        <f t="shared" si="58"/>
        <v>0</v>
      </c>
      <c r="AD147" s="61">
        <v>1</v>
      </c>
      <c r="AE147" s="59"/>
      <c r="AF147" s="12" t="s">
        <v>292</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440</v>
      </c>
      <c r="P148" s="12"/>
      <c r="Q148" s="12"/>
      <c r="R148" s="12"/>
      <c r="S148" s="28">
        <f>M139</f>
        <v>0</v>
      </c>
      <c r="T148" s="11"/>
      <c r="U148" s="12" t="s">
        <v>292</v>
      </c>
      <c r="V148" s="28">
        <f t="shared" si="51"/>
        <v>0</v>
      </c>
      <c r="W148" s="28">
        <f>VLOOKUP(U148,Sheet1!$B$6:$C$45,2,FALSE)*V148</f>
        <v>0</v>
      </c>
      <c r="X148" s="59"/>
      <c r="Y148" s="12" t="s">
        <v>292</v>
      </c>
      <c r="Z148" s="68">
        <f>VLOOKUP(Takeoffs!Y148,Sheet1!$B$6:$C$124,2,FALSE)</f>
        <v>0</v>
      </c>
      <c r="AA148" s="68">
        <f t="shared" si="52"/>
        <v>0</v>
      </c>
      <c r="AB148" s="63">
        <f t="shared" si="53"/>
        <v>0</v>
      </c>
      <c r="AC148" s="28">
        <f t="shared" si="58"/>
        <v>0</v>
      </c>
      <c r="AD148" s="61">
        <v>1</v>
      </c>
      <c r="AE148" s="59"/>
      <c r="AF148" s="12" t="s">
        <v>292</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405</v>
      </c>
      <c r="P149" s="12"/>
      <c r="Q149" s="12"/>
      <c r="R149" s="12"/>
      <c r="S149" s="28">
        <f>M139</f>
        <v>0</v>
      </c>
      <c r="T149" s="11"/>
      <c r="U149" s="12" t="s">
        <v>292</v>
      </c>
      <c r="V149" s="28">
        <f t="shared" si="51"/>
        <v>0</v>
      </c>
      <c r="W149" s="28">
        <f>VLOOKUP(U149,Sheet1!$B$6:$C$45,2,FALSE)*V149</f>
        <v>0</v>
      </c>
      <c r="X149" s="59"/>
      <c r="Y149" s="12" t="s">
        <v>292</v>
      </c>
      <c r="Z149" s="68">
        <f>VLOOKUP(Takeoffs!Y149,Sheet1!$B$6:$C$124,2,FALSE)</f>
        <v>0</v>
      </c>
      <c r="AA149" s="68">
        <f t="shared" si="52"/>
        <v>0</v>
      </c>
      <c r="AB149" s="63">
        <f t="shared" si="53"/>
        <v>0</v>
      </c>
      <c r="AC149" s="28">
        <f t="shared" si="58"/>
        <v>0</v>
      </c>
      <c r="AD149" s="61">
        <v>1</v>
      </c>
      <c r="AE149" s="59"/>
      <c r="AF149" s="12" t="s">
        <v>292</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292</v>
      </c>
      <c r="V150" s="28">
        <f t="shared" si="51"/>
        <v>0</v>
      </c>
      <c r="W150" s="28">
        <f>VLOOKUP(U150,Sheet1!$B$6:$C$45,2,FALSE)*V150</f>
        <v>0</v>
      </c>
      <c r="X150" s="59"/>
      <c r="Y150" s="12" t="s">
        <v>292</v>
      </c>
      <c r="Z150" s="68">
        <f>VLOOKUP(Takeoffs!Y150,Sheet1!$B$6:$C$124,2,FALSE)</f>
        <v>0</v>
      </c>
      <c r="AA150" s="68">
        <f t="shared" si="52"/>
        <v>0</v>
      </c>
      <c r="AB150" s="63">
        <f t="shared" si="53"/>
        <v>0</v>
      </c>
      <c r="AC150" s="28">
        <f t="shared" si="58"/>
        <v>0</v>
      </c>
      <c r="AD150" s="61">
        <v>1</v>
      </c>
      <c r="AE150" s="59"/>
      <c r="AF150" s="12" t="s">
        <v>292</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292</v>
      </c>
      <c r="V151" s="28">
        <f t="shared" si="51"/>
        <v>0</v>
      </c>
      <c r="W151" s="28">
        <f>VLOOKUP(U151,Sheet1!$B$6:$C$45,2,FALSE)*V151</f>
        <v>0</v>
      </c>
      <c r="X151" s="59"/>
      <c r="Y151" s="12" t="s">
        <v>292</v>
      </c>
      <c r="Z151" s="68">
        <f>VLOOKUP(Takeoffs!Y151,Sheet1!$B$6:$C$124,2,FALSE)</f>
        <v>0</v>
      </c>
      <c r="AA151" s="68">
        <f t="shared" si="52"/>
        <v>0</v>
      </c>
      <c r="AB151" s="63">
        <f t="shared" si="53"/>
        <v>0</v>
      </c>
      <c r="AC151" s="28">
        <f t="shared" si="58"/>
        <v>0</v>
      </c>
      <c r="AD151" s="61">
        <v>1</v>
      </c>
      <c r="AE151" s="59"/>
      <c r="AF151" s="12" t="s">
        <v>292</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292</v>
      </c>
      <c r="V152" s="28">
        <f t="shared" si="51"/>
        <v>0</v>
      </c>
      <c r="W152" s="28">
        <f>VLOOKUP(U152,Sheet1!$B$6:$C$45,2,FALSE)*V152</f>
        <v>0</v>
      </c>
      <c r="X152" s="59"/>
      <c r="Y152" s="12" t="s">
        <v>292</v>
      </c>
      <c r="Z152" s="68">
        <f>VLOOKUP(Takeoffs!Y152,Sheet1!$B$6:$C$124,2,FALSE)</f>
        <v>0</v>
      </c>
      <c r="AA152" s="68">
        <f t="shared" si="52"/>
        <v>0</v>
      </c>
      <c r="AB152" s="63">
        <f t="shared" si="53"/>
        <v>0</v>
      </c>
      <c r="AC152" s="28">
        <f t="shared" si="58"/>
        <v>0</v>
      </c>
      <c r="AD152" s="61">
        <v>1</v>
      </c>
      <c r="AE152" s="59"/>
      <c r="AF152" s="12" t="s">
        <v>292</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292</v>
      </c>
      <c r="V153" s="28">
        <f t="shared" si="51"/>
        <v>0</v>
      </c>
      <c r="W153" s="28">
        <f>VLOOKUP(U153,Sheet1!$B$6:$C$45,2,FALSE)*V153</f>
        <v>0</v>
      </c>
      <c r="X153" s="59"/>
      <c r="Y153" s="12" t="s">
        <v>292</v>
      </c>
      <c r="Z153" s="68">
        <f>VLOOKUP(Takeoffs!Y153,Sheet1!$B$6:$C$124,2,FALSE)</f>
        <v>0</v>
      </c>
      <c r="AA153" s="68">
        <f t="shared" si="52"/>
        <v>0</v>
      </c>
      <c r="AB153" s="63">
        <f t="shared" si="53"/>
        <v>0</v>
      </c>
      <c r="AC153" s="28">
        <f t="shared" si="58"/>
        <v>0</v>
      </c>
      <c r="AD153" s="61">
        <v>1</v>
      </c>
      <c r="AE153" s="59"/>
      <c r="AF153" s="12" t="s">
        <v>292</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292</v>
      </c>
      <c r="V154" s="28">
        <f t="shared" si="51"/>
        <v>0</v>
      </c>
      <c r="W154" s="28">
        <f>VLOOKUP(U154,Sheet1!$B$6:$C$45,2,FALSE)*V154</f>
        <v>0</v>
      </c>
      <c r="X154" s="59"/>
      <c r="Y154" s="12" t="s">
        <v>292</v>
      </c>
      <c r="Z154" s="68">
        <f>VLOOKUP(Takeoffs!Y154,Sheet1!$B$6:$C$124,2,FALSE)</f>
        <v>0</v>
      </c>
      <c r="AA154" s="68">
        <f t="shared" si="52"/>
        <v>0</v>
      </c>
      <c r="AB154" s="63">
        <f t="shared" si="53"/>
        <v>0</v>
      </c>
      <c r="AC154" s="28">
        <f t="shared" si="58"/>
        <v>0</v>
      </c>
      <c r="AD154" s="61">
        <v>2</v>
      </c>
      <c r="AE154" s="59"/>
      <c r="AF154" s="12" t="s">
        <v>292</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292</v>
      </c>
      <c r="V155" s="28">
        <f t="shared" si="51"/>
        <v>0</v>
      </c>
      <c r="W155" s="28">
        <f>VLOOKUP(U155,Sheet1!$B$6:$C$45,2,FALSE)*V155</f>
        <v>0</v>
      </c>
      <c r="X155" s="59"/>
      <c r="Y155" s="12" t="s">
        <v>292</v>
      </c>
      <c r="Z155" s="68">
        <f>VLOOKUP(Takeoffs!Y155,Sheet1!$B$6:$C$124,2,FALSE)</f>
        <v>0</v>
      </c>
      <c r="AA155" s="68">
        <f t="shared" si="52"/>
        <v>0</v>
      </c>
      <c r="AB155" s="63">
        <f t="shared" si="53"/>
        <v>0</v>
      </c>
      <c r="AC155" s="28">
        <f t="shared" si="58"/>
        <v>0</v>
      </c>
      <c r="AD155" s="61">
        <v>1</v>
      </c>
      <c r="AE155" s="59"/>
      <c r="AF155" s="12" t="s">
        <v>292</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292</v>
      </c>
      <c r="V156" s="28">
        <f t="shared" si="51"/>
        <v>0</v>
      </c>
      <c r="W156" s="28">
        <f>VLOOKUP(U156,Sheet1!$B$6:$C$45,2,FALSE)*V156</f>
        <v>0</v>
      </c>
      <c r="X156" s="59"/>
      <c r="Y156" s="12" t="s">
        <v>292</v>
      </c>
      <c r="Z156" s="68">
        <f>VLOOKUP(Takeoffs!Y156,Sheet1!$B$6:$C$124,2,FALSE)</f>
        <v>0</v>
      </c>
      <c r="AA156" s="68">
        <f t="shared" si="52"/>
        <v>0</v>
      </c>
      <c r="AB156" s="63">
        <f t="shared" si="53"/>
        <v>0</v>
      </c>
      <c r="AC156" s="28">
        <f t="shared" si="58"/>
        <v>0</v>
      </c>
      <c r="AD156" s="61">
        <v>1</v>
      </c>
      <c r="AE156" s="59"/>
      <c r="AF156" s="12" t="s">
        <v>292</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292</v>
      </c>
      <c r="V157" s="28">
        <f t="shared" si="51"/>
        <v>0</v>
      </c>
      <c r="W157" s="28">
        <f>VLOOKUP(U157,Sheet1!$B$6:$C$45,2,FALSE)*V157</f>
        <v>0</v>
      </c>
      <c r="X157" s="59"/>
      <c r="Y157" s="12" t="s">
        <v>292</v>
      </c>
      <c r="Z157" s="68">
        <f>VLOOKUP(Takeoffs!Y157,Sheet1!$B$6:$C$124,2,FALSE)</f>
        <v>0</v>
      </c>
      <c r="AA157" s="68">
        <f t="shared" si="52"/>
        <v>0</v>
      </c>
      <c r="AB157" s="63">
        <f t="shared" si="53"/>
        <v>0</v>
      </c>
      <c r="AC157" s="28">
        <f t="shared" si="58"/>
        <v>0</v>
      </c>
      <c r="AD157" s="61">
        <v>1</v>
      </c>
      <c r="AE157" s="59"/>
      <c r="AF157" s="12" t="s">
        <v>292</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292</v>
      </c>
      <c r="V158" s="28">
        <f t="shared" si="51"/>
        <v>0</v>
      </c>
      <c r="W158" s="28">
        <f>VLOOKUP(U158,Sheet1!$B$6:$C$45,2,FALSE)*V158</f>
        <v>0</v>
      </c>
      <c r="X158" s="59"/>
      <c r="Y158" s="12" t="s">
        <v>292</v>
      </c>
      <c r="Z158" s="68">
        <f>VLOOKUP(Takeoffs!Y158,Sheet1!$B$6:$C$124,2,FALSE)</f>
        <v>0</v>
      </c>
      <c r="AA158" s="68">
        <f t="shared" si="52"/>
        <v>0</v>
      </c>
      <c r="AB158" s="63">
        <f t="shared" si="53"/>
        <v>0</v>
      </c>
      <c r="AC158" s="28">
        <f t="shared" si="58"/>
        <v>0</v>
      </c>
      <c r="AD158" s="61">
        <v>1</v>
      </c>
      <c r="AE158" s="59"/>
      <c r="AF158" s="12" t="s">
        <v>292</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292</v>
      </c>
      <c r="V159" s="28">
        <f t="shared" si="51"/>
        <v>0</v>
      </c>
      <c r="W159" s="28">
        <f>VLOOKUP(U159,Sheet1!$B$6:$C$45,2,FALSE)*V159</f>
        <v>0</v>
      </c>
      <c r="X159" s="59"/>
      <c r="Y159" s="12" t="s">
        <v>292</v>
      </c>
      <c r="Z159" s="68">
        <f>VLOOKUP(Takeoffs!Y159,Sheet1!$B$6:$C$124,2,FALSE)</f>
        <v>0</v>
      </c>
      <c r="AA159" s="68">
        <f t="shared" si="52"/>
        <v>0</v>
      </c>
      <c r="AB159" s="63">
        <f t="shared" si="53"/>
        <v>0</v>
      </c>
      <c r="AC159" s="28">
        <f t="shared" si="58"/>
        <v>0</v>
      </c>
      <c r="AD159" s="61">
        <v>1</v>
      </c>
      <c r="AE159" s="59"/>
      <c r="AF159" s="12" t="s">
        <v>292</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377</v>
      </c>
      <c r="L160" s="21" t="s">
        <v>378</v>
      </c>
      <c r="N160" s="22"/>
      <c r="O160" s="23" t="s">
        <v>357</v>
      </c>
      <c r="P160" s="98">
        <f>V160+AA160+AH160</f>
        <v>0</v>
      </c>
      <c r="Q160" s="65"/>
      <c r="R160" s="65"/>
      <c r="S160" s="23"/>
      <c r="T160" s="20"/>
      <c r="U160" s="19" t="s">
        <v>351</v>
      </c>
      <c r="V160" s="20">
        <f>W160*80</f>
        <v>0</v>
      </c>
      <c r="W160" s="69">
        <f>SUM(W139:W159)</f>
        <v>0</v>
      </c>
      <c r="X160" s="70"/>
      <c r="Y160" s="20" t="s">
        <v>352</v>
      </c>
      <c r="Z160" s="2"/>
      <c r="AA160" s="2">
        <f>SUM(AA139:AA159)</f>
        <v>0</v>
      </c>
      <c r="AB160" s="71"/>
      <c r="AC160" s="71"/>
      <c r="AD160" s="71"/>
      <c r="AE160" s="71"/>
      <c r="AF160" s="20" t="s">
        <v>356</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hidden="1" x14ac:dyDescent="0.8">
      <c r="A161" s="262">
        <f>ROW()</f>
        <v>161</v>
      </c>
      <c r="B161" s="234" t="s">
        <v>491</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367</v>
      </c>
      <c r="N161" s="83" t="str">
        <f>N139</f>
        <v>medium-sized weatherproof Form 1 MSSB</v>
      </c>
      <c r="O161" s="83" t="s">
        <v>365</v>
      </c>
      <c r="P161" s="84" t="e">
        <f>P160/M139</f>
        <v>#DIV/0!</v>
      </c>
      <c r="Q161" s="84"/>
      <c r="R161" s="84"/>
      <c r="S161" s="83"/>
      <c r="T161" s="84"/>
      <c r="U161" s="571" t="s">
        <v>366</v>
      </c>
      <c r="V161" s="571"/>
      <c r="W161" s="85" t="e">
        <f>W160/M139</f>
        <v>#DIV/0!</v>
      </c>
      <c r="X161" s="86"/>
      <c r="Y161" s="570" t="s">
        <v>365</v>
      </c>
      <c r="Z161" s="570"/>
      <c r="AA161" s="87" t="e">
        <f>AA160/M139</f>
        <v>#DIV/0!</v>
      </c>
      <c r="AB161" s="84"/>
      <c r="AC161" s="84"/>
      <c r="AD161" s="84"/>
      <c r="AE161" s="84"/>
      <c r="AF161" s="570" t="s">
        <v>365</v>
      </c>
      <c r="AG161" s="570"/>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452</v>
      </c>
      <c r="M162" s="2" t="s">
        <v>107</v>
      </c>
      <c r="N162" s="2" t="s">
        <v>108</v>
      </c>
      <c r="O162" s="97" t="s">
        <v>386</v>
      </c>
      <c r="P162" s="572" t="s">
        <v>375</v>
      </c>
      <c r="Q162" s="572"/>
      <c r="R162" s="101" t="s">
        <v>452</v>
      </c>
      <c r="S162" s="2" t="s">
        <v>0</v>
      </c>
      <c r="T162" s="9"/>
      <c r="U162" s="2" t="s">
        <v>287</v>
      </c>
      <c r="V162" s="2" t="s">
        <v>288</v>
      </c>
      <c r="W162" s="2" t="s">
        <v>291</v>
      </c>
      <c r="X162" s="58"/>
      <c r="Y162" s="2" t="s">
        <v>289</v>
      </c>
      <c r="Z162" s="2" t="s">
        <v>354</v>
      </c>
      <c r="AA162" s="2" t="s">
        <v>355</v>
      </c>
      <c r="AB162" s="2" t="s">
        <v>317</v>
      </c>
      <c r="AC162" s="2" t="s">
        <v>318</v>
      </c>
      <c r="AD162" s="2" t="s">
        <v>316</v>
      </c>
      <c r="AE162" s="58"/>
      <c r="AF162" s="2" t="s">
        <v>293</v>
      </c>
      <c r="AG162" s="2" t="s">
        <v>354</v>
      </c>
      <c r="AH162" s="2" t="s">
        <v>355</v>
      </c>
      <c r="AI162" s="2" t="s">
        <v>296</v>
      </c>
      <c r="AJ162" s="2" t="s">
        <v>294</v>
      </c>
      <c r="AK162" s="2" t="s">
        <v>295</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528</v>
      </c>
      <c r="O163" s="12" t="s">
        <v>195</v>
      </c>
      <c r="P163" s="96" t="s">
        <v>379</v>
      </c>
      <c r="Q163" s="96" t="s">
        <v>375</v>
      </c>
      <c r="R163" s="96"/>
      <c r="S163" s="28">
        <f>M163</f>
        <v>0</v>
      </c>
      <c r="T163" s="10"/>
      <c r="U163" s="73" t="s">
        <v>236</v>
      </c>
      <c r="V163" s="28">
        <f>S163</f>
        <v>0</v>
      </c>
      <c r="W163" s="28">
        <f>VLOOKUP(U163,Sheet1!$B$6:$C$45,2,FALSE)*V163</f>
        <v>0</v>
      </c>
      <c r="X163" s="59"/>
      <c r="Y163" s="12" t="s">
        <v>292</v>
      </c>
      <c r="Z163" s="68">
        <f>VLOOKUP(Takeoffs!Y163,Sheet1!$B$6:$C$124,2,FALSE)</f>
        <v>0</v>
      </c>
      <c r="AA163" s="68">
        <f>Z163*AB163</f>
        <v>0</v>
      </c>
      <c r="AB163" s="63">
        <f>AD163*AC163</f>
        <v>0</v>
      </c>
      <c r="AC163" s="28">
        <f>S163</f>
        <v>0</v>
      </c>
      <c r="AD163" s="61">
        <v>1</v>
      </c>
      <c r="AE163" s="59"/>
      <c r="AF163" s="12" t="s">
        <v>292</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398</v>
      </c>
      <c r="P164" s="12"/>
      <c r="Q164" s="12"/>
      <c r="R164" s="12"/>
      <c r="S164" s="28">
        <f>M163</f>
        <v>0</v>
      </c>
      <c r="T164" s="11"/>
      <c r="U164" s="12" t="s">
        <v>292</v>
      </c>
      <c r="V164" s="28">
        <f t="shared" ref="V164:V183" si="64">S164</f>
        <v>0</v>
      </c>
      <c r="W164" s="28">
        <f>VLOOKUP(U164,Sheet1!$B$6:$C$45,2,FALSE)*V164</f>
        <v>0</v>
      </c>
      <c r="X164" s="59"/>
      <c r="Y164" s="73" t="s">
        <v>417</v>
      </c>
      <c r="Z164" s="68">
        <f>VLOOKUP(Takeoffs!Y164,Sheet1!$B$6:$C$124,2,FALSE)</f>
        <v>586.15199999999993</v>
      </c>
      <c r="AA164" s="68">
        <f t="shared" ref="AA164:AA183" si="65">Z164*AB164</f>
        <v>0</v>
      </c>
      <c r="AB164" s="63">
        <f t="shared" ref="AB164:AB183" si="66">AD164*AC164</f>
        <v>0</v>
      </c>
      <c r="AC164" s="28">
        <f>S164</f>
        <v>0</v>
      </c>
      <c r="AD164" s="61">
        <v>1</v>
      </c>
      <c r="AE164" s="59"/>
      <c r="AF164" s="12" t="s">
        <v>292</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399</v>
      </c>
      <c r="P165" s="12"/>
      <c r="Q165" s="12"/>
      <c r="R165" s="12"/>
      <c r="S165" s="28">
        <f>M163</f>
        <v>0</v>
      </c>
      <c r="T165" s="11"/>
      <c r="U165" s="12" t="s">
        <v>292</v>
      </c>
      <c r="V165" s="28">
        <f t="shared" si="64"/>
        <v>0</v>
      </c>
      <c r="W165" s="28">
        <f>VLOOKUP(U165,Sheet1!$B$6:$C$45,2,FALSE)*V165</f>
        <v>0</v>
      </c>
      <c r="X165" s="59"/>
      <c r="Y165" s="12" t="s">
        <v>292</v>
      </c>
      <c r="Z165" s="68">
        <f>VLOOKUP(Takeoffs!Y165,Sheet1!$B$6:$C$124,2,FALSE)</f>
        <v>0</v>
      </c>
      <c r="AA165" s="68">
        <f t="shared" si="65"/>
        <v>0</v>
      </c>
      <c r="AB165" s="63">
        <f t="shared" si="66"/>
        <v>0</v>
      </c>
      <c r="AC165" s="28">
        <f>S165</f>
        <v>0</v>
      </c>
      <c r="AD165" s="61">
        <v>1</v>
      </c>
      <c r="AE165" s="59"/>
      <c r="AF165" s="12" t="s">
        <v>292</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400</v>
      </c>
      <c r="P166" s="12"/>
      <c r="Q166" s="12"/>
      <c r="R166" s="12"/>
      <c r="S166" s="28">
        <f>M163</f>
        <v>0</v>
      </c>
      <c r="T166" s="11"/>
      <c r="U166" s="12" t="s">
        <v>292</v>
      </c>
      <c r="V166" s="28">
        <f t="shared" si="64"/>
        <v>0</v>
      </c>
      <c r="W166" s="28">
        <f>VLOOKUP(U166,Sheet1!$B$6:$C$45,2,FALSE)*V166</f>
        <v>0</v>
      </c>
      <c r="X166" s="59"/>
      <c r="Y166" s="12" t="s">
        <v>292</v>
      </c>
      <c r="Z166" s="68">
        <f>VLOOKUP(Takeoffs!Y166,Sheet1!$B$6:$C$124,2,FALSE)</f>
        <v>0</v>
      </c>
      <c r="AA166" s="68">
        <f t="shared" si="65"/>
        <v>0</v>
      </c>
      <c r="AB166" s="63">
        <f t="shared" si="66"/>
        <v>0</v>
      </c>
      <c r="AC166" s="28">
        <f t="shared" ref="AC166:AC183" si="71">S166</f>
        <v>0</v>
      </c>
      <c r="AD166" s="61">
        <v>1</v>
      </c>
      <c r="AE166" s="59"/>
      <c r="AF166" s="12" t="s">
        <v>292</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401</v>
      </c>
      <c r="P167" s="12"/>
      <c r="Q167" s="12"/>
      <c r="R167" s="12"/>
      <c r="S167" s="28">
        <f>M163</f>
        <v>0</v>
      </c>
      <c r="T167" s="11"/>
      <c r="U167" s="12" t="s">
        <v>292</v>
      </c>
      <c r="V167" s="28">
        <f t="shared" si="64"/>
        <v>0</v>
      </c>
      <c r="W167" s="28">
        <f>VLOOKUP(U167,Sheet1!$B$6:$C$45,2,FALSE)*V167</f>
        <v>0</v>
      </c>
      <c r="X167" s="59"/>
      <c r="Y167" s="12" t="s">
        <v>292</v>
      </c>
      <c r="Z167" s="68">
        <f>VLOOKUP(Takeoffs!Y167,Sheet1!$B$6:$C$124,2,FALSE)</f>
        <v>0</v>
      </c>
      <c r="AA167" s="68">
        <f t="shared" si="65"/>
        <v>0</v>
      </c>
      <c r="AB167" s="63">
        <f t="shared" si="66"/>
        <v>0</v>
      </c>
      <c r="AC167" s="28">
        <f t="shared" si="71"/>
        <v>0</v>
      </c>
      <c r="AD167" s="61">
        <v>1</v>
      </c>
      <c r="AE167" s="59"/>
      <c r="AF167" s="12" t="s">
        <v>292</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402</v>
      </c>
      <c r="P168" s="12"/>
      <c r="Q168" s="12"/>
      <c r="R168" s="12"/>
      <c r="S168" s="28">
        <f>M163</f>
        <v>0</v>
      </c>
      <c r="T168" s="11"/>
      <c r="U168" s="12" t="s">
        <v>292</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292</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403</v>
      </c>
      <c r="P169" s="12"/>
      <c r="Q169" s="12"/>
      <c r="R169" s="12"/>
      <c r="S169" s="28">
        <f>M163</f>
        <v>0</v>
      </c>
      <c r="T169" s="11"/>
      <c r="U169" s="12" t="s">
        <v>292</v>
      </c>
      <c r="V169" s="28">
        <f t="shared" si="64"/>
        <v>0</v>
      </c>
      <c r="W169" s="28">
        <f>VLOOKUP(U169,Sheet1!$B$6:$C$45,2,FALSE)*V169</f>
        <v>0</v>
      </c>
      <c r="X169" s="59"/>
      <c r="Y169" s="12" t="s">
        <v>292</v>
      </c>
      <c r="Z169" s="68">
        <f>VLOOKUP(Takeoffs!Y169,Sheet1!$B$6:$C$124,2,FALSE)</f>
        <v>0</v>
      </c>
      <c r="AA169" s="68">
        <f t="shared" si="65"/>
        <v>0</v>
      </c>
      <c r="AB169" s="63">
        <f t="shared" si="66"/>
        <v>0</v>
      </c>
      <c r="AC169" s="28">
        <f t="shared" si="71"/>
        <v>0</v>
      </c>
      <c r="AD169" s="61">
        <v>1</v>
      </c>
      <c r="AE169" s="59"/>
      <c r="AF169" s="12" t="s">
        <v>292</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404</v>
      </c>
      <c r="P170" s="12"/>
      <c r="Q170" s="12"/>
      <c r="R170" s="12"/>
      <c r="S170" s="28">
        <f>M163</f>
        <v>0</v>
      </c>
      <c r="T170" s="11"/>
      <c r="U170" s="12" t="s">
        <v>292</v>
      </c>
      <c r="V170" s="28">
        <f t="shared" si="64"/>
        <v>0</v>
      </c>
      <c r="W170" s="28">
        <f>VLOOKUP(U170,Sheet1!$B$6:$C$45,2,FALSE)*V170</f>
        <v>0</v>
      </c>
      <c r="X170" s="59"/>
      <c r="Y170" s="12" t="s">
        <v>292</v>
      </c>
      <c r="Z170" s="68">
        <f>VLOOKUP(Takeoffs!Y170,Sheet1!$B$6:$C$124,2,FALSE)</f>
        <v>0</v>
      </c>
      <c r="AA170" s="68">
        <f t="shared" si="65"/>
        <v>0</v>
      </c>
      <c r="AB170" s="63">
        <f t="shared" si="66"/>
        <v>0</v>
      </c>
      <c r="AC170" s="28">
        <f t="shared" si="71"/>
        <v>0</v>
      </c>
      <c r="AD170" s="61">
        <v>1</v>
      </c>
      <c r="AE170" s="59"/>
      <c r="AF170" s="12" t="s">
        <v>292</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440</v>
      </c>
      <c r="P171" s="12"/>
      <c r="Q171" s="12"/>
      <c r="R171" s="12"/>
      <c r="S171" s="28">
        <f>M163</f>
        <v>0</v>
      </c>
      <c r="T171" s="11"/>
      <c r="U171" s="12" t="s">
        <v>292</v>
      </c>
      <c r="V171" s="28">
        <f t="shared" si="64"/>
        <v>0</v>
      </c>
      <c r="W171" s="28">
        <f>VLOOKUP(U171,Sheet1!$B$6:$C$45,2,FALSE)*V171</f>
        <v>0</v>
      </c>
      <c r="X171" s="59"/>
      <c r="Y171" s="12" t="s">
        <v>292</v>
      </c>
      <c r="Z171" s="68">
        <f>VLOOKUP(Takeoffs!Y171,Sheet1!$B$6:$C$124,2,FALSE)</f>
        <v>0</v>
      </c>
      <c r="AA171" s="68">
        <f t="shared" si="65"/>
        <v>0</v>
      </c>
      <c r="AB171" s="63">
        <f t="shared" si="66"/>
        <v>0</v>
      </c>
      <c r="AC171" s="28">
        <f t="shared" si="71"/>
        <v>0</v>
      </c>
      <c r="AD171" s="61">
        <v>1</v>
      </c>
      <c r="AE171" s="59"/>
      <c r="AF171" s="12" t="s">
        <v>292</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292</v>
      </c>
      <c r="V172" s="28">
        <f t="shared" si="64"/>
        <v>0</v>
      </c>
      <c r="W172" s="28">
        <f>VLOOKUP(U172,Sheet1!$B$6:$C$45,2,FALSE)*V172</f>
        <v>0</v>
      </c>
      <c r="X172" s="59"/>
      <c r="Y172" s="12" t="s">
        <v>292</v>
      </c>
      <c r="Z172" s="68">
        <f>VLOOKUP(Takeoffs!Y172,Sheet1!$B$6:$C$124,2,FALSE)</f>
        <v>0</v>
      </c>
      <c r="AA172" s="68">
        <f t="shared" si="65"/>
        <v>0</v>
      </c>
      <c r="AB172" s="63">
        <f t="shared" si="66"/>
        <v>0</v>
      </c>
      <c r="AC172" s="28">
        <f t="shared" si="71"/>
        <v>0</v>
      </c>
      <c r="AD172" s="61">
        <v>1</v>
      </c>
      <c r="AE172" s="59"/>
      <c r="AF172" s="12" t="s">
        <v>292</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292</v>
      </c>
      <c r="V173" s="28">
        <f t="shared" si="64"/>
        <v>0</v>
      </c>
      <c r="W173" s="28">
        <f>VLOOKUP(U173,Sheet1!$B$6:$C$45,2,FALSE)*V173</f>
        <v>0</v>
      </c>
      <c r="X173" s="59"/>
      <c r="Y173" s="12" t="s">
        <v>292</v>
      </c>
      <c r="Z173" s="68">
        <f>VLOOKUP(Takeoffs!Y173,Sheet1!$B$6:$C$124,2,FALSE)</f>
        <v>0</v>
      </c>
      <c r="AA173" s="68">
        <f t="shared" si="65"/>
        <v>0</v>
      </c>
      <c r="AB173" s="63">
        <f t="shared" si="66"/>
        <v>0</v>
      </c>
      <c r="AC173" s="28">
        <f t="shared" si="71"/>
        <v>0</v>
      </c>
      <c r="AD173" s="61">
        <v>1</v>
      </c>
      <c r="AE173" s="59"/>
      <c r="AF173" s="12" t="s">
        <v>292</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292</v>
      </c>
      <c r="V174" s="28">
        <f t="shared" si="64"/>
        <v>0</v>
      </c>
      <c r="W174" s="28">
        <f>VLOOKUP(U174,Sheet1!$B$6:$C$45,2,FALSE)*V174</f>
        <v>0</v>
      </c>
      <c r="X174" s="59"/>
      <c r="Y174" s="12" t="s">
        <v>292</v>
      </c>
      <c r="Z174" s="68">
        <f>VLOOKUP(Takeoffs!Y174,Sheet1!$B$6:$C$124,2,FALSE)</f>
        <v>0</v>
      </c>
      <c r="AA174" s="68">
        <f t="shared" si="65"/>
        <v>0</v>
      </c>
      <c r="AB174" s="63">
        <f t="shared" si="66"/>
        <v>0</v>
      </c>
      <c r="AC174" s="28">
        <f t="shared" si="71"/>
        <v>0</v>
      </c>
      <c r="AD174" s="61">
        <v>1</v>
      </c>
      <c r="AE174" s="59"/>
      <c r="AF174" s="12" t="s">
        <v>292</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292</v>
      </c>
      <c r="V175" s="28">
        <f t="shared" si="64"/>
        <v>0</v>
      </c>
      <c r="W175" s="28">
        <f>VLOOKUP(U175,Sheet1!$B$6:$C$45,2,FALSE)*V175</f>
        <v>0</v>
      </c>
      <c r="X175" s="59"/>
      <c r="Y175" s="12" t="s">
        <v>292</v>
      </c>
      <c r="Z175" s="68">
        <f>VLOOKUP(Takeoffs!Y175,Sheet1!$B$6:$C$124,2,FALSE)</f>
        <v>0</v>
      </c>
      <c r="AA175" s="68">
        <f t="shared" si="65"/>
        <v>0</v>
      </c>
      <c r="AB175" s="63">
        <f t="shared" si="66"/>
        <v>0</v>
      </c>
      <c r="AC175" s="28">
        <f t="shared" si="71"/>
        <v>0</v>
      </c>
      <c r="AD175" s="61">
        <v>1</v>
      </c>
      <c r="AE175" s="59"/>
      <c r="AF175" s="12" t="s">
        <v>292</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292</v>
      </c>
      <c r="V176" s="28">
        <f t="shared" si="64"/>
        <v>0</v>
      </c>
      <c r="W176" s="28">
        <f>VLOOKUP(U176,Sheet1!$B$6:$C$45,2,FALSE)*V176</f>
        <v>0</v>
      </c>
      <c r="X176" s="59"/>
      <c r="Y176" s="12" t="s">
        <v>292</v>
      </c>
      <c r="Z176" s="68">
        <f>VLOOKUP(Takeoffs!Y176,Sheet1!$B$6:$C$124,2,FALSE)</f>
        <v>0</v>
      </c>
      <c r="AA176" s="68">
        <f t="shared" si="65"/>
        <v>0</v>
      </c>
      <c r="AB176" s="63">
        <f t="shared" si="66"/>
        <v>0</v>
      </c>
      <c r="AC176" s="28">
        <f t="shared" si="71"/>
        <v>0</v>
      </c>
      <c r="AD176" s="61">
        <v>1</v>
      </c>
      <c r="AE176" s="59"/>
      <c r="AF176" s="12" t="s">
        <v>292</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292</v>
      </c>
      <c r="V177" s="28">
        <f t="shared" si="64"/>
        <v>0</v>
      </c>
      <c r="W177" s="28">
        <f>VLOOKUP(U177,Sheet1!$B$6:$C$45,2,FALSE)*V177</f>
        <v>0</v>
      </c>
      <c r="X177" s="59"/>
      <c r="Y177" s="12" t="s">
        <v>292</v>
      </c>
      <c r="Z177" s="68">
        <f>VLOOKUP(Takeoffs!Y177,Sheet1!$B$6:$C$124,2,FALSE)</f>
        <v>0</v>
      </c>
      <c r="AA177" s="68">
        <f t="shared" si="65"/>
        <v>0</v>
      </c>
      <c r="AB177" s="63">
        <f t="shared" si="66"/>
        <v>0</v>
      </c>
      <c r="AC177" s="28">
        <f t="shared" si="71"/>
        <v>0</v>
      </c>
      <c r="AD177" s="61">
        <v>1</v>
      </c>
      <c r="AE177" s="59"/>
      <c r="AF177" s="12" t="s">
        <v>292</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292</v>
      </c>
      <c r="V178" s="28">
        <f t="shared" si="64"/>
        <v>0</v>
      </c>
      <c r="W178" s="28">
        <f>VLOOKUP(U178,Sheet1!$B$6:$C$45,2,FALSE)*V178</f>
        <v>0</v>
      </c>
      <c r="X178" s="59"/>
      <c r="Y178" s="12" t="s">
        <v>292</v>
      </c>
      <c r="Z178" s="68">
        <f>VLOOKUP(Takeoffs!Y178,Sheet1!$B$6:$C$124,2,FALSE)</f>
        <v>0</v>
      </c>
      <c r="AA178" s="68">
        <f t="shared" si="65"/>
        <v>0</v>
      </c>
      <c r="AB178" s="63">
        <f t="shared" si="66"/>
        <v>0</v>
      </c>
      <c r="AC178" s="28">
        <f t="shared" si="71"/>
        <v>0</v>
      </c>
      <c r="AD178" s="61">
        <v>2</v>
      </c>
      <c r="AE178" s="59"/>
      <c r="AF178" s="12" t="s">
        <v>292</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292</v>
      </c>
      <c r="V179" s="28">
        <f t="shared" si="64"/>
        <v>0</v>
      </c>
      <c r="W179" s="28">
        <f>VLOOKUP(U179,Sheet1!$B$6:$C$45,2,FALSE)*V179</f>
        <v>0</v>
      </c>
      <c r="X179" s="59"/>
      <c r="Y179" s="12" t="s">
        <v>292</v>
      </c>
      <c r="Z179" s="68">
        <f>VLOOKUP(Takeoffs!Y179,Sheet1!$B$6:$C$124,2,FALSE)</f>
        <v>0</v>
      </c>
      <c r="AA179" s="68">
        <f t="shared" si="65"/>
        <v>0</v>
      </c>
      <c r="AB179" s="63">
        <f t="shared" si="66"/>
        <v>0</v>
      </c>
      <c r="AC179" s="28">
        <f t="shared" si="71"/>
        <v>0</v>
      </c>
      <c r="AD179" s="61">
        <v>1</v>
      </c>
      <c r="AE179" s="59"/>
      <c r="AF179" s="12" t="s">
        <v>292</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292</v>
      </c>
      <c r="V180" s="28">
        <f t="shared" si="64"/>
        <v>0</v>
      </c>
      <c r="W180" s="28">
        <f>VLOOKUP(U180,Sheet1!$B$6:$C$45,2,FALSE)*V180</f>
        <v>0</v>
      </c>
      <c r="X180" s="59"/>
      <c r="Y180" s="12" t="s">
        <v>292</v>
      </c>
      <c r="Z180" s="68">
        <f>VLOOKUP(Takeoffs!Y180,Sheet1!$B$6:$C$124,2,FALSE)</f>
        <v>0</v>
      </c>
      <c r="AA180" s="68">
        <f t="shared" si="65"/>
        <v>0</v>
      </c>
      <c r="AB180" s="63">
        <f t="shared" si="66"/>
        <v>0</v>
      </c>
      <c r="AC180" s="28">
        <f t="shared" si="71"/>
        <v>0</v>
      </c>
      <c r="AD180" s="61">
        <v>1</v>
      </c>
      <c r="AE180" s="59"/>
      <c r="AF180" s="12" t="s">
        <v>292</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292</v>
      </c>
      <c r="V181" s="28">
        <f t="shared" si="64"/>
        <v>0</v>
      </c>
      <c r="W181" s="28">
        <f>VLOOKUP(U181,Sheet1!$B$6:$C$45,2,FALSE)*V181</f>
        <v>0</v>
      </c>
      <c r="X181" s="59"/>
      <c r="Y181" s="12" t="s">
        <v>292</v>
      </c>
      <c r="Z181" s="68">
        <f>VLOOKUP(Takeoffs!Y181,Sheet1!$B$6:$C$124,2,FALSE)</f>
        <v>0</v>
      </c>
      <c r="AA181" s="68">
        <f t="shared" si="65"/>
        <v>0</v>
      </c>
      <c r="AB181" s="63">
        <f t="shared" si="66"/>
        <v>0</v>
      </c>
      <c r="AC181" s="28">
        <f t="shared" si="71"/>
        <v>0</v>
      </c>
      <c r="AD181" s="61">
        <v>1</v>
      </c>
      <c r="AE181" s="59"/>
      <c r="AF181" s="12" t="s">
        <v>292</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292</v>
      </c>
      <c r="V182" s="28">
        <f t="shared" si="64"/>
        <v>0</v>
      </c>
      <c r="W182" s="28">
        <f>VLOOKUP(U182,Sheet1!$B$6:$C$45,2,FALSE)*V182</f>
        <v>0</v>
      </c>
      <c r="X182" s="59"/>
      <c r="Y182" s="12" t="s">
        <v>292</v>
      </c>
      <c r="Z182" s="68">
        <f>VLOOKUP(Takeoffs!Y182,Sheet1!$B$6:$C$124,2,FALSE)</f>
        <v>0</v>
      </c>
      <c r="AA182" s="68">
        <f t="shared" si="65"/>
        <v>0</v>
      </c>
      <c r="AB182" s="63">
        <f t="shared" si="66"/>
        <v>0</v>
      </c>
      <c r="AC182" s="28">
        <f t="shared" si="71"/>
        <v>0</v>
      </c>
      <c r="AD182" s="61">
        <v>1</v>
      </c>
      <c r="AE182" s="59"/>
      <c r="AF182" s="12" t="s">
        <v>292</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292</v>
      </c>
      <c r="V183" s="28">
        <f t="shared" si="64"/>
        <v>0</v>
      </c>
      <c r="W183" s="28">
        <f>VLOOKUP(U183,Sheet1!$B$6:$C$45,2,FALSE)*V183</f>
        <v>0</v>
      </c>
      <c r="X183" s="59"/>
      <c r="Y183" s="12" t="s">
        <v>292</v>
      </c>
      <c r="Z183" s="68">
        <f>VLOOKUP(Takeoffs!Y183,Sheet1!$B$6:$C$124,2,FALSE)</f>
        <v>0</v>
      </c>
      <c r="AA183" s="68">
        <f t="shared" si="65"/>
        <v>0</v>
      </c>
      <c r="AB183" s="63">
        <f t="shared" si="66"/>
        <v>0</v>
      </c>
      <c r="AC183" s="28">
        <f t="shared" si="71"/>
        <v>0</v>
      </c>
      <c r="AD183" s="61">
        <v>1</v>
      </c>
      <c r="AE183" s="59"/>
      <c r="AF183" s="12" t="s">
        <v>292</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377</v>
      </c>
      <c r="L184" s="21" t="s">
        <v>378</v>
      </c>
      <c r="N184" s="22"/>
      <c r="O184" s="23" t="s">
        <v>357</v>
      </c>
      <c r="P184" s="98">
        <f>V184+AA184+AH184</f>
        <v>0</v>
      </c>
      <c r="Q184" s="65"/>
      <c r="R184" s="65"/>
      <c r="S184" s="23"/>
      <c r="T184" s="20"/>
      <c r="U184" s="19" t="s">
        <v>351</v>
      </c>
      <c r="V184" s="20">
        <f>W184*80</f>
        <v>0</v>
      </c>
      <c r="W184" s="69">
        <f>SUM(W163:W183)</f>
        <v>0</v>
      </c>
      <c r="X184" s="70"/>
      <c r="Y184" s="20" t="s">
        <v>352</v>
      </c>
      <c r="Z184" s="2"/>
      <c r="AA184" s="2">
        <f>SUM(AA163:AA183)</f>
        <v>0</v>
      </c>
      <c r="AB184" s="71"/>
      <c r="AC184" s="71"/>
      <c r="AD184" s="71"/>
      <c r="AE184" s="71"/>
      <c r="AF184" s="20" t="s">
        <v>356</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hidden="1" x14ac:dyDescent="0.8">
      <c r="A185" s="262">
        <f>ROW()</f>
        <v>185</v>
      </c>
      <c r="B185" s="234" t="s">
        <v>491</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367</v>
      </c>
      <c r="N185" s="83" t="str">
        <f>N163</f>
        <v>medium-sized Form 1 MSSBs</v>
      </c>
      <c r="O185" s="83" t="s">
        <v>365</v>
      </c>
      <c r="P185" s="64" t="e">
        <f>P184/M163</f>
        <v>#DIV/0!</v>
      </c>
      <c r="Q185" s="84"/>
      <c r="R185" s="84"/>
      <c r="S185" s="83"/>
      <c r="T185" s="84"/>
      <c r="U185" s="571" t="s">
        <v>366</v>
      </c>
      <c r="V185" s="571"/>
      <c r="W185" s="85" t="e">
        <f>W184/M163</f>
        <v>#DIV/0!</v>
      </c>
      <c r="X185" s="86"/>
      <c r="Y185" s="570" t="s">
        <v>365</v>
      </c>
      <c r="Z185" s="570"/>
      <c r="AA185" s="87" t="e">
        <f>AA184/M163</f>
        <v>#DIV/0!</v>
      </c>
      <c r="AB185" s="84"/>
      <c r="AC185" s="84"/>
      <c r="AD185" s="84"/>
      <c r="AE185" s="84"/>
      <c r="AF185" s="570" t="s">
        <v>365</v>
      </c>
      <c r="AG185" s="570"/>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452</v>
      </c>
      <c r="M186" s="2" t="s">
        <v>107</v>
      </c>
      <c r="N186" s="2" t="s">
        <v>108</v>
      </c>
      <c r="O186" s="97" t="s">
        <v>386</v>
      </c>
      <c r="P186" s="572" t="s">
        <v>375</v>
      </c>
      <c r="Q186" s="572"/>
      <c r="R186" s="101" t="s">
        <v>452</v>
      </c>
      <c r="S186" s="2" t="s">
        <v>0</v>
      </c>
      <c r="T186" s="9"/>
      <c r="U186" s="2" t="s">
        <v>287</v>
      </c>
      <c r="V186" s="2" t="s">
        <v>288</v>
      </c>
      <c r="W186" s="2" t="s">
        <v>291</v>
      </c>
      <c r="X186" s="58"/>
      <c r="Y186" s="2" t="s">
        <v>289</v>
      </c>
      <c r="Z186" s="2" t="s">
        <v>354</v>
      </c>
      <c r="AA186" s="2" t="s">
        <v>355</v>
      </c>
      <c r="AB186" s="2" t="s">
        <v>317</v>
      </c>
      <c r="AC186" s="2" t="s">
        <v>318</v>
      </c>
      <c r="AD186" s="2" t="s">
        <v>316</v>
      </c>
      <c r="AE186" s="58"/>
      <c r="AF186" s="2" t="s">
        <v>293</v>
      </c>
      <c r="AG186" s="2" t="s">
        <v>354</v>
      </c>
      <c r="AH186" s="2" t="s">
        <v>355</v>
      </c>
      <c r="AI186" s="2" t="s">
        <v>296</v>
      </c>
      <c r="AJ186" s="2" t="s">
        <v>294</v>
      </c>
      <c r="AK186" s="2" t="s">
        <v>295</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348</v>
      </c>
      <c r="O187" s="12" t="s">
        <v>195</v>
      </c>
      <c r="P187" s="96" t="s">
        <v>379</v>
      </c>
      <c r="Q187" s="96" t="s">
        <v>375</v>
      </c>
      <c r="R187" s="96"/>
      <c r="S187" s="28">
        <f>M187</f>
        <v>0</v>
      </c>
      <c r="T187" s="10"/>
      <c r="U187" s="73" t="s">
        <v>236</v>
      </c>
      <c r="V187" s="28">
        <f>S187</f>
        <v>0</v>
      </c>
      <c r="W187" s="28">
        <f>VLOOKUP(U187,Sheet1!$B$6:$C$45,2,FALSE)*V187</f>
        <v>0</v>
      </c>
      <c r="X187" s="59"/>
      <c r="Y187" s="12" t="s">
        <v>292</v>
      </c>
      <c r="Z187" s="68">
        <f>VLOOKUP(Takeoffs!Y187,Sheet1!$B$6:$C$124,2,FALSE)</f>
        <v>0</v>
      </c>
      <c r="AA187" s="68">
        <f>Z187*AB187</f>
        <v>0</v>
      </c>
      <c r="AB187" s="63">
        <f>AD187*AC187</f>
        <v>0</v>
      </c>
      <c r="AC187" s="28">
        <f>S187</f>
        <v>0</v>
      </c>
      <c r="AD187" s="61">
        <v>1</v>
      </c>
      <c r="AE187" s="59"/>
      <c r="AF187" s="12" t="s">
        <v>292</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398</v>
      </c>
      <c r="P188" s="12"/>
      <c r="Q188" s="12"/>
      <c r="R188" s="12"/>
      <c r="S188" s="28">
        <f>M187</f>
        <v>0</v>
      </c>
      <c r="T188" s="11"/>
      <c r="U188" s="12" t="s">
        <v>292</v>
      </c>
      <c r="V188" s="28">
        <f t="shared" ref="V188:V207" si="72">S188</f>
        <v>0</v>
      </c>
      <c r="W188" s="28">
        <f>VLOOKUP(U188,Sheet1!$B$6:$C$45,2,FALSE)*V188</f>
        <v>0</v>
      </c>
      <c r="X188" s="59"/>
      <c r="Y188" s="73" t="s">
        <v>417</v>
      </c>
      <c r="Z188" s="68">
        <f>VLOOKUP(Takeoffs!Y188,Sheet1!$B$6:$C$124,2,FALSE)</f>
        <v>586.15199999999993</v>
      </c>
      <c r="AA188" s="68">
        <f t="shared" ref="AA188:AA207" si="73">Z188*AB188</f>
        <v>0</v>
      </c>
      <c r="AB188" s="63">
        <f t="shared" ref="AB188:AB207" si="74">AD188*AC188</f>
        <v>0</v>
      </c>
      <c r="AC188" s="28">
        <f>S188</f>
        <v>0</v>
      </c>
      <c r="AD188" s="61">
        <v>1</v>
      </c>
      <c r="AE188" s="59"/>
      <c r="AF188" s="12" t="s">
        <v>292</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399</v>
      </c>
      <c r="P189" s="12"/>
      <c r="Q189" s="12"/>
      <c r="R189" s="12"/>
      <c r="S189" s="28">
        <f>M187</f>
        <v>0</v>
      </c>
      <c r="T189" s="11"/>
      <c r="U189" s="12" t="s">
        <v>292</v>
      </c>
      <c r="V189" s="28">
        <f t="shared" si="72"/>
        <v>0</v>
      </c>
      <c r="W189" s="28">
        <f>VLOOKUP(U189,Sheet1!$B$6:$C$45,2,FALSE)*V189</f>
        <v>0</v>
      </c>
      <c r="X189" s="59"/>
      <c r="Y189" s="12" t="s">
        <v>292</v>
      </c>
      <c r="Z189" s="68">
        <f>VLOOKUP(Takeoffs!Y189,Sheet1!$B$6:$C$124,2,FALSE)</f>
        <v>0</v>
      </c>
      <c r="AA189" s="68">
        <f t="shared" si="73"/>
        <v>0</v>
      </c>
      <c r="AB189" s="63">
        <f t="shared" si="74"/>
        <v>0</v>
      </c>
      <c r="AC189" s="28">
        <f>S189</f>
        <v>0</v>
      </c>
      <c r="AD189" s="61">
        <v>1</v>
      </c>
      <c r="AE189" s="59"/>
      <c r="AF189" s="12" t="s">
        <v>292</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400</v>
      </c>
      <c r="P190" s="12"/>
      <c r="Q190" s="12"/>
      <c r="R190" s="12"/>
      <c r="S190" s="28">
        <f>M187</f>
        <v>0</v>
      </c>
      <c r="T190" s="11"/>
      <c r="U190" s="12" t="s">
        <v>292</v>
      </c>
      <c r="V190" s="28">
        <f t="shared" si="72"/>
        <v>0</v>
      </c>
      <c r="W190" s="28">
        <f>VLOOKUP(U190,Sheet1!$B$6:$C$45,2,FALSE)*V190</f>
        <v>0</v>
      </c>
      <c r="X190" s="59"/>
      <c r="Y190" s="12" t="s">
        <v>292</v>
      </c>
      <c r="Z190" s="68">
        <f>VLOOKUP(Takeoffs!Y190,Sheet1!$B$6:$C$124,2,FALSE)</f>
        <v>0</v>
      </c>
      <c r="AA190" s="68">
        <f t="shared" si="73"/>
        <v>0</v>
      </c>
      <c r="AB190" s="63">
        <f t="shared" si="74"/>
        <v>0</v>
      </c>
      <c r="AC190" s="28">
        <f t="shared" ref="AC190:AC207" si="79">S190</f>
        <v>0</v>
      </c>
      <c r="AD190" s="61">
        <v>1</v>
      </c>
      <c r="AE190" s="59"/>
      <c r="AF190" s="12" t="s">
        <v>292</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401</v>
      </c>
      <c r="P191" s="12"/>
      <c r="Q191" s="12"/>
      <c r="R191" s="12"/>
      <c r="S191" s="28">
        <f>M187</f>
        <v>0</v>
      </c>
      <c r="T191" s="11"/>
      <c r="U191" s="12" t="s">
        <v>292</v>
      </c>
      <c r="V191" s="28">
        <f t="shared" si="72"/>
        <v>0</v>
      </c>
      <c r="W191" s="28">
        <f>VLOOKUP(U191,Sheet1!$B$6:$C$45,2,FALSE)*V191</f>
        <v>0</v>
      </c>
      <c r="X191" s="59"/>
      <c r="Y191" s="12" t="s">
        <v>292</v>
      </c>
      <c r="Z191" s="68">
        <f>VLOOKUP(Takeoffs!Y191,Sheet1!$B$6:$C$124,2,FALSE)</f>
        <v>0</v>
      </c>
      <c r="AA191" s="68">
        <f t="shared" si="73"/>
        <v>0</v>
      </c>
      <c r="AB191" s="63">
        <f t="shared" si="74"/>
        <v>0</v>
      </c>
      <c r="AC191" s="28">
        <f t="shared" si="79"/>
        <v>0</v>
      </c>
      <c r="AD191" s="61">
        <v>1</v>
      </c>
      <c r="AE191" s="59"/>
      <c r="AF191" s="12" t="s">
        <v>292</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402</v>
      </c>
      <c r="P192" s="12"/>
      <c r="Q192" s="12"/>
      <c r="R192" s="12"/>
      <c r="S192" s="28">
        <f>M187</f>
        <v>0</v>
      </c>
      <c r="T192" s="11"/>
      <c r="U192" s="12" t="s">
        <v>292</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292</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403</v>
      </c>
      <c r="P193" s="12"/>
      <c r="Q193" s="12"/>
      <c r="R193" s="12"/>
      <c r="S193" s="28">
        <f>M187</f>
        <v>0</v>
      </c>
      <c r="T193" s="11"/>
      <c r="U193" s="12" t="s">
        <v>292</v>
      </c>
      <c r="V193" s="28">
        <f t="shared" si="72"/>
        <v>0</v>
      </c>
      <c r="W193" s="28">
        <f>VLOOKUP(U193,Sheet1!$B$6:$C$45,2,FALSE)*V193</f>
        <v>0</v>
      </c>
      <c r="X193" s="59"/>
      <c r="Y193" s="12" t="s">
        <v>292</v>
      </c>
      <c r="Z193" s="68">
        <f>VLOOKUP(Takeoffs!Y193,Sheet1!$B$6:$C$124,2,FALSE)</f>
        <v>0</v>
      </c>
      <c r="AA193" s="68">
        <f t="shared" si="73"/>
        <v>0</v>
      </c>
      <c r="AB193" s="63">
        <f t="shared" si="74"/>
        <v>0</v>
      </c>
      <c r="AC193" s="28">
        <f t="shared" si="79"/>
        <v>0</v>
      </c>
      <c r="AD193" s="61">
        <v>1</v>
      </c>
      <c r="AE193" s="59"/>
      <c r="AF193" s="12" t="s">
        <v>292</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404</v>
      </c>
      <c r="P194" s="12"/>
      <c r="Q194" s="12"/>
      <c r="R194" s="12"/>
      <c r="S194" s="28">
        <f>M187</f>
        <v>0</v>
      </c>
      <c r="T194" s="11"/>
      <c r="U194" s="12" t="s">
        <v>292</v>
      </c>
      <c r="V194" s="28">
        <f t="shared" si="72"/>
        <v>0</v>
      </c>
      <c r="W194" s="28">
        <f>VLOOKUP(U194,Sheet1!$B$6:$C$45,2,FALSE)*V194</f>
        <v>0</v>
      </c>
      <c r="X194" s="59"/>
      <c r="Y194" s="12" t="s">
        <v>292</v>
      </c>
      <c r="Z194" s="68">
        <f>VLOOKUP(Takeoffs!Y194,Sheet1!$B$6:$C$124,2,FALSE)</f>
        <v>0</v>
      </c>
      <c r="AA194" s="68">
        <f t="shared" si="73"/>
        <v>0</v>
      </c>
      <c r="AB194" s="63">
        <f t="shared" si="74"/>
        <v>0</v>
      </c>
      <c r="AC194" s="28">
        <f t="shared" si="79"/>
        <v>0</v>
      </c>
      <c r="AD194" s="61">
        <v>1</v>
      </c>
      <c r="AE194" s="59"/>
      <c r="AF194" s="12" t="s">
        <v>292</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440</v>
      </c>
      <c r="P195" s="12"/>
      <c r="Q195" s="12"/>
      <c r="R195" s="12"/>
      <c r="S195" s="28">
        <f>M187</f>
        <v>0</v>
      </c>
      <c r="T195" s="11"/>
      <c r="U195" s="12" t="s">
        <v>292</v>
      </c>
      <c r="V195" s="28">
        <f t="shared" si="72"/>
        <v>0</v>
      </c>
      <c r="W195" s="28">
        <f>VLOOKUP(U195,Sheet1!$B$6:$C$45,2,FALSE)*V195</f>
        <v>0</v>
      </c>
      <c r="X195" s="59"/>
      <c r="Y195" s="12" t="s">
        <v>292</v>
      </c>
      <c r="Z195" s="68">
        <f>VLOOKUP(Takeoffs!Y195,Sheet1!$B$6:$C$124,2,FALSE)</f>
        <v>0</v>
      </c>
      <c r="AA195" s="68">
        <f t="shared" si="73"/>
        <v>0</v>
      </c>
      <c r="AB195" s="63">
        <f t="shared" si="74"/>
        <v>0</v>
      </c>
      <c r="AC195" s="28">
        <f t="shared" si="79"/>
        <v>0</v>
      </c>
      <c r="AD195" s="61">
        <v>1</v>
      </c>
      <c r="AE195" s="59"/>
      <c r="AF195" s="12" t="s">
        <v>292</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292</v>
      </c>
      <c r="V196" s="28">
        <f t="shared" si="72"/>
        <v>0</v>
      </c>
      <c r="W196" s="28">
        <f>VLOOKUP(U196,Sheet1!$B$6:$C$45,2,FALSE)*V196</f>
        <v>0</v>
      </c>
      <c r="X196" s="59"/>
      <c r="Y196" s="12" t="s">
        <v>292</v>
      </c>
      <c r="Z196" s="68">
        <f>VLOOKUP(Takeoffs!Y196,Sheet1!$B$6:$C$124,2,FALSE)</f>
        <v>0</v>
      </c>
      <c r="AA196" s="68">
        <f t="shared" si="73"/>
        <v>0</v>
      </c>
      <c r="AB196" s="63">
        <f t="shared" si="74"/>
        <v>0</v>
      </c>
      <c r="AC196" s="28">
        <f t="shared" si="79"/>
        <v>0</v>
      </c>
      <c r="AD196" s="61">
        <v>1</v>
      </c>
      <c r="AE196" s="59"/>
      <c r="AF196" s="12" t="s">
        <v>292</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292</v>
      </c>
      <c r="V197" s="28">
        <f t="shared" si="72"/>
        <v>0</v>
      </c>
      <c r="W197" s="28">
        <f>VLOOKUP(U197,Sheet1!$B$6:$C$45,2,FALSE)*V197</f>
        <v>0</v>
      </c>
      <c r="X197" s="59"/>
      <c r="Y197" s="12" t="s">
        <v>292</v>
      </c>
      <c r="Z197" s="68">
        <f>VLOOKUP(Takeoffs!Y197,Sheet1!$B$6:$C$124,2,FALSE)</f>
        <v>0</v>
      </c>
      <c r="AA197" s="68">
        <f t="shared" si="73"/>
        <v>0</v>
      </c>
      <c r="AB197" s="63">
        <f t="shared" si="74"/>
        <v>0</v>
      </c>
      <c r="AC197" s="28">
        <f t="shared" si="79"/>
        <v>0</v>
      </c>
      <c r="AD197" s="61">
        <v>1</v>
      </c>
      <c r="AE197" s="59"/>
      <c r="AF197" s="12" t="s">
        <v>292</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292</v>
      </c>
      <c r="V198" s="28">
        <f t="shared" si="72"/>
        <v>0</v>
      </c>
      <c r="W198" s="28">
        <f>VLOOKUP(U198,Sheet1!$B$6:$C$45,2,FALSE)*V198</f>
        <v>0</v>
      </c>
      <c r="X198" s="59"/>
      <c r="Y198" s="12" t="s">
        <v>292</v>
      </c>
      <c r="Z198" s="68">
        <f>VLOOKUP(Takeoffs!Y198,Sheet1!$B$6:$C$124,2,FALSE)</f>
        <v>0</v>
      </c>
      <c r="AA198" s="68">
        <f t="shared" si="73"/>
        <v>0</v>
      </c>
      <c r="AB198" s="63">
        <f t="shared" si="74"/>
        <v>0</v>
      </c>
      <c r="AC198" s="28">
        <f t="shared" si="79"/>
        <v>0</v>
      </c>
      <c r="AD198" s="61">
        <v>1</v>
      </c>
      <c r="AE198" s="59"/>
      <c r="AF198" s="12" t="s">
        <v>292</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292</v>
      </c>
      <c r="V199" s="28">
        <f t="shared" si="72"/>
        <v>0</v>
      </c>
      <c r="W199" s="28">
        <f>VLOOKUP(U199,Sheet1!$B$6:$C$45,2,FALSE)*V199</f>
        <v>0</v>
      </c>
      <c r="X199" s="59"/>
      <c r="Y199" s="12" t="s">
        <v>292</v>
      </c>
      <c r="Z199" s="68">
        <f>VLOOKUP(Takeoffs!Y199,Sheet1!$B$6:$C$124,2,FALSE)</f>
        <v>0</v>
      </c>
      <c r="AA199" s="68">
        <f t="shared" si="73"/>
        <v>0</v>
      </c>
      <c r="AB199" s="63">
        <f t="shared" si="74"/>
        <v>0</v>
      </c>
      <c r="AC199" s="28">
        <f t="shared" si="79"/>
        <v>0</v>
      </c>
      <c r="AD199" s="61">
        <v>1</v>
      </c>
      <c r="AE199" s="59"/>
      <c r="AF199" s="12" t="s">
        <v>292</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292</v>
      </c>
      <c r="V200" s="28">
        <f t="shared" si="72"/>
        <v>0</v>
      </c>
      <c r="W200" s="28">
        <f>VLOOKUP(U200,Sheet1!$B$6:$C$45,2,FALSE)*V200</f>
        <v>0</v>
      </c>
      <c r="X200" s="59"/>
      <c r="Y200" s="12" t="s">
        <v>292</v>
      </c>
      <c r="Z200" s="68">
        <f>VLOOKUP(Takeoffs!Y200,Sheet1!$B$6:$C$124,2,FALSE)</f>
        <v>0</v>
      </c>
      <c r="AA200" s="68">
        <f t="shared" si="73"/>
        <v>0</v>
      </c>
      <c r="AB200" s="63">
        <f t="shared" si="74"/>
        <v>0</v>
      </c>
      <c r="AC200" s="28">
        <f t="shared" si="79"/>
        <v>0</v>
      </c>
      <c r="AD200" s="61">
        <v>1</v>
      </c>
      <c r="AE200" s="59"/>
      <c r="AF200" s="12" t="s">
        <v>292</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292</v>
      </c>
      <c r="V201" s="28">
        <f t="shared" si="72"/>
        <v>0</v>
      </c>
      <c r="W201" s="28">
        <f>VLOOKUP(U201,Sheet1!$B$6:$C$45,2,FALSE)*V201</f>
        <v>0</v>
      </c>
      <c r="X201" s="59"/>
      <c r="Y201" s="12" t="s">
        <v>292</v>
      </c>
      <c r="Z201" s="68">
        <f>VLOOKUP(Takeoffs!Y201,Sheet1!$B$6:$C$124,2,FALSE)</f>
        <v>0</v>
      </c>
      <c r="AA201" s="68">
        <f t="shared" si="73"/>
        <v>0</v>
      </c>
      <c r="AB201" s="63">
        <f t="shared" si="74"/>
        <v>0</v>
      </c>
      <c r="AC201" s="28">
        <f t="shared" si="79"/>
        <v>0</v>
      </c>
      <c r="AD201" s="61">
        <v>1</v>
      </c>
      <c r="AE201" s="59"/>
      <c r="AF201" s="12" t="s">
        <v>292</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292</v>
      </c>
      <c r="V202" s="28">
        <f t="shared" si="72"/>
        <v>0</v>
      </c>
      <c r="W202" s="28">
        <f>VLOOKUP(U202,Sheet1!$B$6:$C$45,2,FALSE)*V202</f>
        <v>0</v>
      </c>
      <c r="X202" s="59"/>
      <c r="Y202" s="12" t="s">
        <v>292</v>
      </c>
      <c r="Z202" s="68">
        <f>VLOOKUP(Takeoffs!Y202,Sheet1!$B$6:$C$124,2,FALSE)</f>
        <v>0</v>
      </c>
      <c r="AA202" s="68">
        <f t="shared" si="73"/>
        <v>0</v>
      </c>
      <c r="AB202" s="63">
        <f t="shared" si="74"/>
        <v>0</v>
      </c>
      <c r="AC202" s="28">
        <f t="shared" si="79"/>
        <v>0</v>
      </c>
      <c r="AD202" s="61">
        <v>2</v>
      </c>
      <c r="AE202" s="59"/>
      <c r="AF202" s="12" t="s">
        <v>292</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292</v>
      </c>
      <c r="V203" s="28">
        <f t="shared" si="72"/>
        <v>0</v>
      </c>
      <c r="W203" s="28">
        <f>VLOOKUP(U203,Sheet1!$B$6:$C$45,2,FALSE)*V203</f>
        <v>0</v>
      </c>
      <c r="X203" s="59"/>
      <c r="Y203" s="12" t="s">
        <v>292</v>
      </c>
      <c r="Z203" s="68">
        <f>VLOOKUP(Takeoffs!Y203,Sheet1!$B$6:$C$124,2,FALSE)</f>
        <v>0</v>
      </c>
      <c r="AA203" s="68">
        <f t="shared" si="73"/>
        <v>0</v>
      </c>
      <c r="AB203" s="63">
        <f t="shared" si="74"/>
        <v>0</v>
      </c>
      <c r="AC203" s="28">
        <f t="shared" si="79"/>
        <v>0</v>
      </c>
      <c r="AD203" s="61">
        <v>1</v>
      </c>
      <c r="AE203" s="59"/>
      <c r="AF203" s="12" t="s">
        <v>292</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292</v>
      </c>
      <c r="V204" s="28">
        <f t="shared" si="72"/>
        <v>0</v>
      </c>
      <c r="W204" s="28">
        <f>VLOOKUP(U204,Sheet1!$B$6:$C$45,2,FALSE)*V204</f>
        <v>0</v>
      </c>
      <c r="X204" s="59"/>
      <c r="Y204" s="12" t="s">
        <v>292</v>
      </c>
      <c r="Z204" s="68">
        <f>VLOOKUP(Takeoffs!Y204,Sheet1!$B$6:$C$124,2,FALSE)</f>
        <v>0</v>
      </c>
      <c r="AA204" s="68">
        <f t="shared" si="73"/>
        <v>0</v>
      </c>
      <c r="AB204" s="63">
        <f t="shared" si="74"/>
        <v>0</v>
      </c>
      <c r="AC204" s="28">
        <f t="shared" si="79"/>
        <v>0</v>
      </c>
      <c r="AD204" s="61">
        <v>1</v>
      </c>
      <c r="AE204" s="59"/>
      <c r="AF204" s="12" t="s">
        <v>292</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292</v>
      </c>
      <c r="V205" s="28">
        <f t="shared" si="72"/>
        <v>0</v>
      </c>
      <c r="W205" s="28">
        <f>VLOOKUP(U205,Sheet1!$B$6:$C$45,2,FALSE)*V205</f>
        <v>0</v>
      </c>
      <c r="X205" s="59"/>
      <c r="Y205" s="12" t="s">
        <v>292</v>
      </c>
      <c r="Z205" s="68">
        <f>VLOOKUP(Takeoffs!Y205,Sheet1!$B$6:$C$124,2,FALSE)</f>
        <v>0</v>
      </c>
      <c r="AA205" s="68">
        <f t="shared" si="73"/>
        <v>0</v>
      </c>
      <c r="AB205" s="63">
        <f t="shared" si="74"/>
        <v>0</v>
      </c>
      <c r="AC205" s="28">
        <f t="shared" si="79"/>
        <v>0</v>
      </c>
      <c r="AD205" s="61">
        <v>1</v>
      </c>
      <c r="AE205" s="59"/>
      <c r="AF205" s="12" t="s">
        <v>292</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292</v>
      </c>
      <c r="V206" s="28">
        <f t="shared" si="72"/>
        <v>0</v>
      </c>
      <c r="W206" s="28">
        <f>VLOOKUP(U206,Sheet1!$B$6:$C$45,2,FALSE)*V206</f>
        <v>0</v>
      </c>
      <c r="X206" s="59"/>
      <c r="Y206" s="12" t="s">
        <v>292</v>
      </c>
      <c r="Z206" s="68">
        <f>VLOOKUP(Takeoffs!Y206,Sheet1!$B$6:$C$124,2,FALSE)</f>
        <v>0</v>
      </c>
      <c r="AA206" s="68">
        <f t="shared" si="73"/>
        <v>0</v>
      </c>
      <c r="AB206" s="63">
        <f t="shared" si="74"/>
        <v>0</v>
      </c>
      <c r="AC206" s="28">
        <f t="shared" si="79"/>
        <v>0</v>
      </c>
      <c r="AD206" s="61">
        <v>1</v>
      </c>
      <c r="AE206" s="59"/>
      <c r="AF206" s="12" t="s">
        <v>292</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292</v>
      </c>
      <c r="V207" s="28">
        <f t="shared" si="72"/>
        <v>0</v>
      </c>
      <c r="W207" s="28">
        <f>VLOOKUP(U207,Sheet1!$B$6:$C$45,2,FALSE)*V207</f>
        <v>0</v>
      </c>
      <c r="X207" s="59"/>
      <c r="Y207" s="12" t="s">
        <v>292</v>
      </c>
      <c r="Z207" s="68">
        <f>VLOOKUP(Takeoffs!Y207,Sheet1!$B$6:$C$124,2,FALSE)</f>
        <v>0</v>
      </c>
      <c r="AA207" s="68">
        <f t="shared" si="73"/>
        <v>0</v>
      </c>
      <c r="AB207" s="63">
        <f t="shared" si="74"/>
        <v>0</v>
      </c>
      <c r="AC207" s="28">
        <f t="shared" si="79"/>
        <v>0</v>
      </c>
      <c r="AD207" s="61">
        <v>1</v>
      </c>
      <c r="AE207" s="59"/>
      <c r="AF207" s="12" t="s">
        <v>292</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377</v>
      </c>
      <c r="L208" s="21" t="s">
        <v>378</v>
      </c>
      <c r="N208" s="22"/>
      <c r="O208" s="23" t="s">
        <v>357</v>
      </c>
      <c r="P208" s="98">
        <f>V208+AA208+AH208</f>
        <v>0</v>
      </c>
      <c r="Q208" s="65"/>
      <c r="R208" s="65"/>
      <c r="S208" s="23"/>
      <c r="T208" s="20"/>
      <c r="U208" s="19" t="s">
        <v>351</v>
      </c>
      <c r="V208" s="20">
        <f>W208*80</f>
        <v>0</v>
      </c>
      <c r="W208" s="69">
        <f>SUM(W187:W207)</f>
        <v>0</v>
      </c>
      <c r="X208" s="70"/>
      <c r="Y208" s="20" t="s">
        <v>352</v>
      </c>
      <c r="Z208" s="2"/>
      <c r="AA208" s="2">
        <f>SUM(AA187:AA207)</f>
        <v>0</v>
      </c>
      <c r="AB208" s="71"/>
      <c r="AC208" s="71"/>
      <c r="AD208" s="71"/>
      <c r="AE208" s="71"/>
      <c r="AF208" s="20" t="s">
        <v>356</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hidden="1" x14ac:dyDescent="0.8">
      <c r="A209" s="262">
        <f>ROW()</f>
        <v>209</v>
      </c>
      <c r="B209" s="234" t="s">
        <v>491</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367</v>
      </c>
      <c r="N209" s="83" t="str">
        <f>N187</f>
        <v>small MSSBs</v>
      </c>
      <c r="O209" s="83" t="s">
        <v>365</v>
      </c>
      <c r="P209" s="84" t="e">
        <f>P208/M187</f>
        <v>#DIV/0!</v>
      </c>
      <c r="Q209" s="84"/>
      <c r="R209" s="84"/>
      <c r="S209" s="83"/>
      <c r="T209" s="84"/>
      <c r="U209" s="571" t="s">
        <v>366</v>
      </c>
      <c r="V209" s="571"/>
      <c r="W209" s="85" t="e">
        <f>W208/M187</f>
        <v>#DIV/0!</v>
      </c>
      <c r="X209" s="86"/>
      <c r="Y209" s="570" t="s">
        <v>365</v>
      </c>
      <c r="Z209" s="570"/>
      <c r="AA209" s="87" t="e">
        <f>AA208/M187</f>
        <v>#DIV/0!</v>
      </c>
      <c r="AB209" s="84"/>
      <c r="AC209" s="84"/>
      <c r="AD209" s="84"/>
      <c r="AE209" s="84"/>
      <c r="AF209" s="570" t="s">
        <v>365</v>
      </c>
      <c r="AG209" s="570"/>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hidden="1" x14ac:dyDescent="1.2">
      <c r="A210" s="262">
        <f>ROW()</f>
        <v>210</v>
      </c>
      <c r="B210" s="261" t="s">
        <v>491</v>
      </c>
      <c r="I210" s="269">
        <f>SUM(I234:I954)</f>
        <v>0</v>
      </c>
      <c r="J210" s="261" t="s">
        <v>493</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452</v>
      </c>
      <c r="M211" s="2" t="s">
        <v>107</v>
      </c>
      <c r="N211" s="2" t="s">
        <v>108</v>
      </c>
      <c r="O211" s="97" t="s">
        <v>386</v>
      </c>
      <c r="P211" s="573" t="s">
        <v>375</v>
      </c>
      <c r="Q211" s="573"/>
      <c r="R211" s="101" t="s">
        <v>452</v>
      </c>
      <c r="S211" s="2" t="s">
        <v>0</v>
      </c>
      <c r="T211" s="9"/>
      <c r="U211" s="2" t="s">
        <v>287</v>
      </c>
      <c r="V211" s="2" t="s">
        <v>288</v>
      </c>
      <c r="W211" s="2" t="s">
        <v>291</v>
      </c>
      <c r="X211" s="58"/>
      <c r="Y211" s="2" t="s">
        <v>289</v>
      </c>
      <c r="Z211" s="2" t="s">
        <v>354</v>
      </c>
      <c r="AA211" s="2" t="s">
        <v>355</v>
      </c>
      <c r="AB211" s="2" t="s">
        <v>317</v>
      </c>
      <c r="AC211" s="2" t="s">
        <v>318</v>
      </c>
      <c r="AD211" s="2" t="s">
        <v>316</v>
      </c>
      <c r="AE211" s="58"/>
      <c r="AF211" s="2" t="s">
        <v>293</v>
      </c>
      <c r="AG211" s="2" t="s">
        <v>354</v>
      </c>
      <c r="AH211" s="2" t="s">
        <v>355</v>
      </c>
      <c r="AI211" s="2" t="s">
        <v>296</v>
      </c>
      <c r="AJ211" s="2" t="s">
        <v>294</v>
      </c>
      <c r="AK211" s="2" t="s">
        <v>295</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344</v>
      </c>
      <c r="O212" s="12" t="s">
        <v>347</v>
      </c>
      <c r="P212" s="96" t="s">
        <v>379</v>
      </c>
      <c r="Q212" s="96" t="s">
        <v>375</v>
      </c>
      <c r="R212" s="96"/>
      <c r="S212" s="28">
        <f>M212</f>
        <v>0</v>
      </c>
      <c r="T212" s="10"/>
      <c r="U212" s="12" t="s">
        <v>292</v>
      </c>
      <c r="V212" s="28">
        <f>S212</f>
        <v>0</v>
      </c>
      <c r="W212" s="28">
        <f>VLOOKUP(U212,Sheet1!$B$6:$C$45,2,FALSE)*V212</f>
        <v>0</v>
      </c>
      <c r="X212" s="59"/>
      <c r="Y212" s="12" t="s">
        <v>292</v>
      </c>
      <c r="Z212" s="68">
        <f>VLOOKUP(Takeoffs!Y212,Sheet1!$B$6:$C$124,2,FALSE)</f>
        <v>0</v>
      </c>
      <c r="AA212" s="68">
        <f>Z212*AB212</f>
        <v>0</v>
      </c>
      <c r="AB212" s="63">
        <f>AD212*AC212</f>
        <v>0</v>
      </c>
      <c r="AC212" s="28">
        <f>S212</f>
        <v>0</v>
      </c>
      <c r="AD212" s="61">
        <v>1</v>
      </c>
      <c r="AE212" s="59"/>
      <c r="AF212" s="12" t="s">
        <v>292</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340</v>
      </c>
      <c r="P213" s="12"/>
      <c r="Q213" s="66"/>
      <c r="R213" s="12"/>
      <c r="S213" s="28">
        <f>M212</f>
        <v>0</v>
      </c>
      <c r="T213" s="11"/>
      <c r="U213" s="12" t="s">
        <v>233</v>
      </c>
      <c r="V213" s="28">
        <f t="shared" ref="V213:V232" si="85">S213</f>
        <v>0</v>
      </c>
      <c r="W213" s="28">
        <f>VLOOKUP(U213,Sheet1!$B$6:$C$45,2,FALSE)*V213</f>
        <v>0</v>
      </c>
      <c r="X213" s="59"/>
      <c r="Y213" s="12" t="s">
        <v>292</v>
      </c>
      <c r="Z213" s="68">
        <f>VLOOKUP(Takeoffs!Y213,Sheet1!$B$6:$C$124,2,FALSE)</f>
        <v>0</v>
      </c>
      <c r="AA213" s="68">
        <f t="shared" ref="AA213:AA232" si="86">Z213*AB213</f>
        <v>0</v>
      </c>
      <c r="AB213" s="63">
        <f t="shared" ref="AB213:AB232" si="87">AD213*AC213</f>
        <v>0</v>
      </c>
      <c r="AC213" s="28">
        <f>S213</f>
        <v>0</v>
      </c>
      <c r="AD213" s="61">
        <v>1</v>
      </c>
      <c r="AE213" s="59"/>
      <c r="AF213" s="12" t="s">
        <v>292</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441</v>
      </c>
      <c r="P214" s="12" t="s">
        <v>539</v>
      </c>
      <c r="Q214" s="66" t="s">
        <v>687</v>
      </c>
      <c r="R214" s="12"/>
      <c r="S214" s="28">
        <f>M212</f>
        <v>0</v>
      </c>
      <c r="T214" s="11"/>
      <c r="U214" s="12" t="s">
        <v>361</v>
      </c>
      <c r="V214" s="28">
        <f t="shared" si="85"/>
        <v>0</v>
      </c>
      <c r="W214" s="28">
        <f>VLOOKUP(U214,Sheet1!$B$6:$C$45,2,FALSE)*V214</f>
        <v>0</v>
      </c>
      <c r="X214" s="59"/>
      <c r="Y214" s="12" t="s">
        <v>292</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406</v>
      </c>
      <c r="P215" s="12"/>
      <c r="Q215" s="66"/>
      <c r="R215" s="12"/>
      <c r="S215" s="28">
        <f>M212</f>
        <v>0</v>
      </c>
      <c r="T215" s="11"/>
      <c r="U215" s="12" t="s">
        <v>292</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292</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292</v>
      </c>
      <c r="V216" s="28">
        <f t="shared" si="85"/>
        <v>0</v>
      </c>
      <c r="W216" s="28">
        <f>VLOOKUP(U216,Sheet1!$B$6:$C$45,2,FALSE)*V216</f>
        <v>0</v>
      </c>
      <c r="X216" s="59"/>
      <c r="Y216" s="12" t="s">
        <v>292</v>
      </c>
      <c r="Z216" s="68">
        <f>VLOOKUP(Takeoffs!Y216,Sheet1!$B$6:$C$124,2,FALSE)</f>
        <v>0</v>
      </c>
      <c r="AA216" s="68">
        <f t="shared" si="86"/>
        <v>0</v>
      </c>
      <c r="AB216" s="63">
        <f t="shared" si="87"/>
        <v>0</v>
      </c>
      <c r="AC216" s="28">
        <f t="shared" si="93"/>
        <v>0</v>
      </c>
      <c r="AD216" s="61">
        <v>1</v>
      </c>
      <c r="AE216" s="59"/>
      <c r="AF216" s="12" t="s">
        <v>292</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292</v>
      </c>
      <c r="V217" s="28">
        <f t="shared" si="85"/>
        <v>0</v>
      </c>
      <c r="W217" s="28">
        <f>VLOOKUP(U217,Sheet1!$B$6:$C$45,2,FALSE)*V217</f>
        <v>0</v>
      </c>
      <c r="X217" s="59"/>
      <c r="Y217" s="12" t="s">
        <v>292</v>
      </c>
      <c r="Z217" s="68">
        <f>VLOOKUP(Takeoffs!Y217,Sheet1!$B$6:$C$124,2,FALSE)</f>
        <v>0</v>
      </c>
      <c r="AA217" s="68">
        <f t="shared" si="86"/>
        <v>0</v>
      </c>
      <c r="AB217" s="63">
        <f t="shared" si="87"/>
        <v>0</v>
      </c>
      <c r="AC217" s="28">
        <f t="shared" si="93"/>
        <v>0</v>
      </c>
      <c r="AD217" s="61">
        <v>1</v>
      </c>
      <c r="AE217" s="59"/>
      <c r="AF217" s="12" t="s">
        <v>292</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292</v>
      </c>
      <c r="V218" s="28">
        <f t="shared" si="85"/>
        <v>0</v>
      </c>
      <c r="W218" s="28">
        <f>VLOOKUP(U218,Sheet1!$B$6:$C$45,2,FALSE)*V218</f>
        <v>0</v>
      </c>
      <c r="X218" s="59"/>
      <c r="Y218" s="12" t="s">
        <v>292</v>
      </c>
      <c r="Z218" s="68">
        <f>VLOOKUP(Takeoffs!Y218,Sheet1!$B$6:$C$124,2,FALSE)</f>
        <v>0</v>
      </c>
      <c r="AA218" s="68">
        <f t="shared" si="86"/>
        <v>0</v>
      </c>
      <c r="AB218" s="63">
        <f t="shared" si="87"/>
        <v>0</v>
      </c>
      <c r="AC218" s="28">
        <f t="shared" si="93"/>
        <v>0</v>
      </c>
      <c r="AD218" s="61">
        <v>1</v>
      </c>
      <c r="AE218" s="59"/>
      <c r="AF218" s="12" t="s">
        <v>292</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292</v>
      </c>
      <c r="V219" s="28">
        <f t="shared" si="85"/>
        <v>0</v>
      </c>
      <c r="W219" s="28">
        <f>VLOOKUP(U219,Sheet1!$B$6:$C$45,2,FALSE)*V219</f>
        <v>0</v>
      </c>
      <c r="X219" s="59"/>
      <c r="Y219" s="12" t="s">
        <v>292</v>
      </c>
      <c r="Z219" s="68">
        <f>VLOOKUP(Takeoffs!Y219,Sheet1!$B$6:$C$124,2,FALSE)</f>
        <v>0</v>
      </c>
      <c r="AA219" s="68">
        <f t="shared" si="86"/>
        <v>0</v>
      </c>
      <c r="AB219" s="63">
        <f t="shared" si="87"/>
        <v>0</v>
      </c>
      <c r="AC219" s="28">
        <f t="shared" si="93"/>
        <v>0</v>
      </c>
      <c r="AD219" s="61">
        <v>1</v>
      </c>
      <c r="AE219" s="59"/>
      <c r="AF219" s="12" t="s">
        <v>292</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328</v>
      </c>
      <c r="P220" s="12"/>
      <c r="Q220" s="66"/>
      <c r="R220" s="12"/>
      <c r="S220" s="28">
        <f>M212</f>
        <v>0</v>
      </c>
      <c r="T220" s="11"/>
      <c r="U220" s="12" t="s">
        <v>242</v>
      </c>
      <c r="V220" s="28">
        <f t="shared" si="85"/>
        <v>0</v>
      </c>
      <c r="W220" s="28">
        <f>VLOOKUP(U220,Sheet1!$B$6:$C$45,2,FALSE)*V220</f>
        <v>0</v>
      </c>
      <c r="X220" s="59"/>
      <c r="Y220" s="12" t="s">
        <v>292</v>
      </c>
      <c r="Z220" s="68">
        <f>VLOOKUP(Takeoffs!Y220,Sheet1!$B$6:$C$124,2,FALSE)</f>
        <v>0</v>
      </c>
      <c r="AA220" s="68">
        <f t="shared" si="86"/>
        <v>0</v>
      </c>
      <c r="AB220" s="63">
        <f t="shared" si="87"/>
        <v>0</v>
      </c>
      <c r="AC220" s="28">
        <f t="shared" si="93"/>
        <v>0</v>
      </c>
      <c r="AD220" s="61">
        <v>1</v>
      </c>
      <c r="AE220" s="59"/>
      <c r="AF220" s="12" t="s">
        <v>292</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292</v>
      </c>
      <c r="V221" s="28">
        <f t="shared" si="85"/>
        <v>0</v>
      </c>
      <c r="W221" s="28">
        <f>VLOOKUP(U221,Sheet1!$B$6:$C$45,2,FALSE)*V221</f>
        <v>0</v>
      </c>
      <c r="X221" s="59"/>
      <c r="Y221" s="12" t="s">
        <v>292</v>
      </c>
      <c r="Z221" s="68">
        <f>VLOOKUP(Takeoffs!Y221,Sheet1!$B$6:$C$124,2,FALSE)</f>
        <v>0</v>
      </c>
      <c r="AA221" s="68">
        <f t="shared" si="86"/>
        <v>0</v>
      </c>
      <c r="AB221" s="63">
        <f t="shared" si="87"/>
        <v>0</v>
      </c>
      <c r="AC221" s="28">
        <f t="shared" si="93"/>
        <v>0</v>
      </c>
      <c r="AD221" s="61">
        <v>1</v>
      </c>
      <c r="AE221" s="59"/>
      <c r="AF221" s="12" t="s">
        <v>292</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336</v>
      </c>
      <c r="P222" s="12"/>
      <c r="Q222" s="66"/>
      <c r="R222" s="12" t="s">
        <v>454</v>
      </c>
      <c r="S222" s="28">
        <f>M212</f>
        <v>0</v>
      </c>
      <c r="T222" s="11"/>
      <c r="U222" s="12" t="s">
        <v>363</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292</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498</v>
      </c>
      <c r="P223" s="12"/>
      <c r="Q223" s="66"/>
      <c r="R223" s="12"/>
      <c r="S223" s="28">
        <f>M212</f>
        <v>0</v>
      </c>
      <c r="T223" s="11"/>
      <c r="U223" s="12" t="s">
        <v>363</v>
      </c>
      <c r="V223" s="28">
        <f t="shared" si="85"/>
        <v>0</v>
      </c>
      <c r="W223" s="28">
        <f>VLOOKUP(U223,Sheet1!$B$6:$C$45,2,FALSE)*V223</f>
        <v>0</v>
      </c>
      <c r="X223" s="59"/>
      <c r="Y223" s="12" t="s">
        <v>292</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292</v>
      </c>
      <c r="V224" s="28">
        <f t="shared" si="85"/>
        <v>0</v>
      </c>
      <c r="W224" s="28">
        <f>VLOOKUP(U224,Sheet1!$B$6:$C$45,2,FALSE)*V224</f>
        <v>0</v>
      </c>
      <c r="X224" s="59"/>
      <c r="Y224" s="12" t="s">
        <v>292</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312</v>
      </c>
      <c r="P225" s="12"/>
      <c r="Q225" s="66"/>
      <c r="R225" s="12"/>
      <c r="S225" s="28">
        <f>M212</f>
        <v>0</v>
      </c>
      <c r="T225" s="11"/>
      <c r="U225" s="12" t="s">
        <v>232</v>
      </c>
      <c r="V225" s="28">
        <f t="shared" si="85"/>
        <v>0</v>
      </c>
      <c r="W225" s="28">
        <f>VLOOKUP(U225,Sheet1!$B$6:$C$45,2,FALSE)*V225</f>
        <v>0</v>
      </c>
      <c r="X225" s="59"/>
      <c r="Y225" s="13" t="s">
        <v>1344</v>
      </c>
      <c r="Z225" s="68">
        <f>VLOOKUP(Takeoffs!Y225,Sheet1!$B$6:$C$124,2,FALSE)</f>
        <v>109.25999999999999</v>
      </c>
      <c r="AA225" s="68">
        <f t="shared" si="86"/>
        <v>0</v>
      </c>
      <c r="AB225" s="63">
        <f t="shared" si="87"/>
        <v>0</v>
      </c>
      <c r="AC225" s="28">
        <f t="shared" si="93"/>
        <v>0</v>
      </c>
      <c r="AD225" s="61">
        <v>1</v>
      </c>
      <c r="AE225" s="59"/>
      <c r="AF225" s="12" t="s">
        <v>292</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345</v>
      </c>
      <c r="P226" s="12" t="s">
        <v>380</v>
      </c>
      <c r="Q226" s="66" t="s">
        <v>421</v>
      </c>
      <c r="R226" s="12"/>
      <c r="S226" s="28">
        <f>M212</f>
        <v>0</v>
      </c>
      <c r="T226" s="11"/>
      <c r="U226" s="12" t="s">
        <v>292</v>
      </c>
      <c r="V226" s="28">
        <f t="shared" si="85"/>
        <v>0</v>
      </c>
      <c r="W226" s="28">
        <f>VLOOKUP(U226,Sheet1!$B$6:$C$45,2,FALSE)*V226</f>
        <v>0</v>
      </c>
      <c r="X226" s="59"/>
      <c r="Y226" s="13" t="s">
        <v>326</v>
      </c>
      <c r="Z226" s="68">
        <f>VLOOKUP(Takeoffs!Y226,Sheet1!$B$6:$C$124,2,FALSE)</f>
        <v>29.04</v>
      </c>
      <c r="AA226" s="68">
        <f t="shared" si="86"/>
        <v>0</v>
      </c>
      <c r="AB226" s="63">
        <f t="shared" si="87"/>
        <v>0</v>
      </c>
      <c r="AC226" s="28">
        <f t="shared" si="93"/>
        <v>0</v>
      </c>
      <c r="AD226" s="61">
        <v>1</v>
      </c>
      <c r="AE226" s="59"/>
      <c r="AF226" s="12" t="s">
        <v>292</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337</v>
      </c>
      <c r="P227" s="12"/>
      <c r="Q227" s="66"/>
      <c r="R227" s="12"/>
      <c r="S227" s="28">
        <f>M212</f>
        <v>0</v>
      </c>
      <c r="T227" s="11"/>
      <c r="U227" s="12" t="s">
        <v>292</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292</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292</v>
      </c>
      <c r="V228" s="28">
        <f t="shared" si="85"/>
        <v>0</v>
      </c>
      <c r="W228" s="28">
        <f>VLOOKUP(U228,Sheet1!$B$6:$C$45,2,FALSE)*V228</f>
        <v>0</v>
      </c>
      <c r="X228" s="59"/>
      <c r="Y228" s="12" t="s">
        <v>292</v>
      </c>
      <c r="Z228" s="68">
        <f>VLOOKUP(Takeoffs!Y228,Sheet1!$B$6:$C$124,2,FALSE)</f>
        <v>0</v>
      </c>
      <c r="AA228" s="68">
        <f t="shared" si="86"/>
        <v>0</v>
      </c>
      <c r="AB228" s="63">
        <f t="shared" si="87"/>
        <v>0</v>
      </c>
      <c r="AC228" s="28">
        <f t="shared" si="93"/>
        <v>0</v>
      </c>
      <c r="AD228" s="61">
        <v>1</v>
      </c>
      <c r="AE228" s="59"/>
      <c r="AF228" s="12" t="s">
        <v>292</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329</v>
      </c>
      <c r="P229" s="12"/>
      <c r="Q229" s="66"/>
      <c r="R229" s="12" t="s">
        <v>304</v>
      </c>
      <c r="S229" s="28">
        <f>M212</f>
        <v>0</v>
      </c>
      <c r="T229" s="11"/>
      <c r="U229" s="12" t="s">
        <v>292</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292</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338</v>
      </c>
      <c r="P230" s="12"/>
      <c r="Q230" s="66"/>
      <c r="R230" s="12"/>
      <c r="S230" s="28">
        <f>M212</f>
        <v>0</v>
      </c>
      <c r="T230" s="11"/>
      <c r="U230" s="12" t="s">
        <v>292</v>
      </c>
      <c r="V230" s="28">
        <f t="shared" si="85"/>
        <v>0</v>
      </c>
      <c r="W230" s="28">
        <f>VLOOKUP(U230,Sheet1!$B$6:$C$45,2,FALSE)*V230</f>
        <v>0</v>
      </c>
      <c r="X230" s="59"/>
      <c r="Y230" s="13" t="s">
        <v>333</v>
      </c>
      <c r="Z230" s="68">
        <f>VLOOKUP(Takeoffs!Y230,Sheet1!$B$6:$C$124,2,FALSE)</f>
        <v>60</v>
      </c>
      <c r="AA230" s="68">
        <f t="shared" si="86"/>
        <v>0</v>
      </c>
      <c r="AB230" s="63">
        <f t="shared" si="87"/>
        <v>0</v>
      </c>
      <c r="AC230" s="28">
        <f t="shared" si="93"/>
        <v>0</v>
      </c>
      <c r="AD230" s="61">
        <v>1</v>
      </c>
      <c r="AE230" s="59"/>
      <c r="AF230" s="12" t="s">
        <v>292</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402</v>
      </c>
      <c r="P231" s="12"/>
      <c r="Q231" s="66"/>
      <c r="R231" s="12"/>
      <c r="S231" s="28">
        <f>M212</f>
        <v>0</v>
      </c>
      <c r="T231" s="11"/>
      <c r="U231" s="12" t="s">
        <v>292</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292</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408</v>
      </c>
      <c r="P232" s="12"/>
      <c r="Q232" s="66"/>
      <c r="R232" s="12"/>
      <c r="S232" s="28">
        <f>M212</f>
        <v>0</v>
      </c>
      <c r="T232" s="11"/>
      <c r="U232" s="12" t="s">
        <v>362</v>
      </c>
      <c r="V232" s="28">
        <f t="shared" si="85"/>
        <v>0</v>
      </c>
      <c r="W232" s="28">
        <f>VLOOKUP(U232,Sheet1!$B$6:$C$45,2,FALSE)*V232</f>
        <v>0</v>
      </c>
      <c r="X232" s="59"/>
      <c r="Y232" s="12" t="s">
        <v>292</v>
      </c>
      <c r="Z232" s="68">
        <f>VLOOKUP(Takeoffs!Y232,Sheet1!$B$6:$C$124,2,FALSE)</f>
        <v>0</v>
      </c>
      <c r="AA232" s="68">
        <f t="shared" si="86"/>
        <v>0</v>
      </c>
      <c r="AB232" s="63">
        <f t="shared" si="87"/>
        <v>0</v>
      </c>
      <c r="AC232" s="28">
        <f t="shared" si="93"/>
        <v>0</v>
      </c>
      <c r="AD232" s="61">
        <v>1</v>
      </c>
      <c r="AE232" s="59"/>
      <c r="AF232" s="12" t="s">
        <v>292</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377</v>
      </c>
      <c r="L233" s="21" t="s">
        <v>378</v>
      </c>
      <c r="N233" s="22"/>
      <c r="O233" s="23" t="s">
        <v>357</v>
      </c>
      <c r="P233" s="24">
        <f>V233+AA233+AH233</f>
        <v>0</v>
      </c>
      <c r="Q233" s="24"/>
      <c r="R233" s="24"/>
      <c r="S233" s="23"/>
      <c r="T233" s="20"/>
      <c r="U233" s="19" t="s">
        <v>351</v>
      </c>
      <c r="V233" s="20">
        <f>W233*80</f>
        <v>0</v>
      </c>
      <c r="W233" s="69">
        <f>SUM(W212:W232)</f>
        <v>0</v>
      </c>
      <c r="X233" s="70"/>
      <c r="Y233" s="20" t="s">
        <v>352</v>
      </c>
      <c r="Z233" s="2"/>
      <c r="AA233" s="2">
        <f>SUM(AA212:AA232)</f>
        <v>0</v>
      </c>
      <c r="AB233" s="71"/>
      <c r="AC233" s="71"/>
      <c r="AD233" s="71"/>
      <c r="AE233" s="71"/>
      <c r="AF233" s="20" t="s">
        <v>356</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hidden="1" x14ac:dyDescent="0.8">
      <c r="A234" s="262">
        <f>ROW()</f>
        <v>234</v>
      </c>
      <c r="B234" s="234" t="s">
        <v>491</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367</v>
      </c>
      <c r="N234" s="83" t="str">
        <f>N212</f>
        <v>fire pump room fan - from local power supply</v>
      </c>
      <c r="O234" s="83" t="s">
        <v>365</v>
      </c>
      <c r="P234" s="98" t="e">
        <f>P233/M212</f>
        <v>#DIV/0!</v>
      </c>
      <c r="Q234" s="84"/>
      <c r="R234" s="84"/>
      <c r="S234" s="83"/>
      <c r="T234" s="84"/>
      <c r="U234" s="571" t="s">
        <v>366</v>
      </c>
      <c r="V234" s="571"/>
      <c r="W234" s="85" t="e">
        <f>W233/M212</f>
        <v>#DIV/0!</v>
      </c>
      <c r="X234" s="86"/>
      <c r="Y234" s="570" t="s">
        <v>365</v>
      </c>
      <c r="Z234" s="570"/>
      <c r="AA234" s="87" t="e">
        <f>AA233/M212</f>
        <v>#DIV/0!</v>
      </c>
      <c r="AB234" s="84"/>
      <c r="AC234" s="84"/>
      <c r="AD234" s="84"/>
      <c r="AE234" s="84"/>
      <c r="AF234" s="570" t="s">
        <v>365</v>
      </c>
      <c r="AG234" s="570"/>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452</v>
      </c>
      <c r="M235" s="116" t="s">
        <v>107</v>
      </c>
      <c r="N235" s="116" t="s">
        <v>108</v>
      </c>
      <c r="O235" s="170" t="s">
        <v>386</v>
      </c>
      <c r="P235" s="572" t="s">
        <v>375</v>
      </c>
      <c r="Q235" s="572"/>
      <c r="R235" s="101" t="s">
        <v>452</v>
      </c>
      <c r="S235" s="116" t="s">
        <v>0</v>
      </c>
      <c r="T235" s="118"/>
      <c r="U235" s="116" t="s">
        <v>287</v>
      </c>
      <c r="V235" s="116" t="s">
        <v>288</v>
      </c>
      <c r="W235" s="116" t="s">
        <v>291</v>
      </c>
      <c r="X235" s="140"/>
      <c r="Y235" s="116" t="s">
        <v>289</v>
      </c>
      <c r="Z235" s="116" t="s">
        <v>354</v>
      </c>
      <c r="AA235" s="116" t="s">
        <v>355</v>
      </c>
      <c r="AB235" s="116" t="s">
        <v>317</v>
      </c>
      <c r="AC235" s="116" t="s">
        <v>318</v>
      </c>
      <c r="AD235" s="116" t="s">
        <v>316</v>
      </c>
      <c r="AE235" s="140"/>
      <c r="AF235" s="116" t="s">
        <v>293</v>
      </c>
      <c r="AG235" s="116" t="s">
        <v>354</v>
      </c>
      <c r="AH235" s="116" t="s">
        <v>355</v>
      </c>
      <c r="AI235" s="116" t="s">
        <v>296</v>
      </c>
      <c r="AJ235" s="116" t="s">
        <v>294</v>
      </c>
      <c r="AK235" s="116" t="s">
        <v>295</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633</v>
      </c>
      <c r="O236" s="121" t="s">
        <v>347</v>
      </c>
      <c r="P236" s="169" t="s">
        <v>379</v>
      </c>
      <c r="Q236" s="169" t="s">
        <v>375</v>
      </c>
      <c r="R236" s="169"/>
      <c r="S236" s="133">
        <f>M236</f>
        <v>0</v>
      </c>
      <c r="T236" s="119"/>
      <c r="U236" s="121" t="s">
        <v>292</v>
      </c>
      <c r="V236" s="133">
        <f>S236</f>
        <v>0</v>
      </c>
      <c r="W236" s="133">
        <f>VLOOKUP(U236,Sheet1!$B$6:$C$45,2,FALSE)*V236</f>
        <v>0</v>
      </c>
      <c r="X236" s="141"/>
      <c r="Y236" s="121" t="s">
        <v>292</v>
      </c>
      <c r="Z236" s="146">
        <f>VLOOKUP(Takeoffs!Y236,Sheet1!$B$6:$C$124,2,FALSE)</f>
        <v>0</v>
      </c>
      <c r="AA236" s="146">
        <f>Z236*AB236</f>
        <v>0</v>
      </c>
      <c r="AB236" s="143">
        <f>AD236*AC236</f>
        <v>0</v>
      </c>
      <c r="AC236" s="133">
        <f>S236</f>
        <v>0</v>
      </c>
      <c r="AD236" s="142">
        <v>1</v>
      </c>
      <c r="AE236" s="141"/>
      <c r="AF236" s="121" t="s">
        <v>292</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340</v>
      </c>
      <c r="P237" s="121"/>
      <c r="Q237" s="66"/>
      <c r="R237" s="121"/>
      <c r="S237" s="133">
        <f>M236</f>
        <v>0</v>
      </c>
      <c r="T237" s="120"/>
      <c r="U237" s="121" t="s">
        <v>233</v>
      </c>
      <c r="V237" s="133">
        <f t="shared" ref="V237:V256" si="96">S237</f>
        <v>0</v>
      </c>
      <c r="W237" s="133">
        <f>VLOOKUP(U237,Sheet1!$B$6:$C$45,2,FALSE)*V237</f>
        <v>0</v>
      </c>
      <c r="X237" s="141"/>
      <c r="Y237" s="121" t="s">
        <v>292</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292</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441</v>
      </c>
      <c r="P238" s="121" t="s">
        <v>539</v>
      </c>
      <c r="Q238" s="66" t="s">
        <v>687</v>
      </c>
      <c r="R238" s="121"/>
      <c r="S238" s="133">
        <f>M236</f>
        <v>0</v>
      </c>
      <c r="T238" s="120"/>
      <c r="U238" s="121" t="s">
        <v>361</v>
      </c>
      <c r="V238" s="133">
        <f t="shared" si="96"/>
        <v>0</v>
      </c>
      <c r="W238" s="133">
        <f>VLOOKUP(U238,Sheet1!$B$6:$C$45,2,FALSE)*V238</f>
        <v>0</v>
      </c>
      <c r="X238" s="141"/>
      <c r="Y238" s="121" t="s">
        <v>292</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406</v>
      </c>
      <c r="P239" s="121"/>
      <c r="Q239" s="66"/>
      <c r="R239" s="121"/>
      <c r="S239" s="133">
        <f>M236</f>
        <v>0</v>
      </c>
      <c r="T239" s="120"/>
      <c r="U239" s="121" t="s">
        <v>292</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292</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292</v>
      </c>
      <c r="V240" s="133">
        <f t="shared" si="96"/>
        <v>0</v>
      </c>
      <c r="W240" s="133">
        <f>VLOOKUP(U240,Sheet1!$B$6:$C$45,2,FALSE)*V240</f>
        <v>0</v>
      </c>
      <c r="X240" s="141"/>
      <c r="Y240" s="121" t="s">
        <v>292</v>
      </c>
      <c r="Z240" s="146">
        <f>VLOOKUP(Takeoffs!Y240,Sheet1!$B$6:$C$124,2,FALSE)</f>
        <v>0</v>
      </c>
      <c r="AA240" s="146">
        <f t="shared" si="97"/>
        <v>0</v>
      </c>
      <c r="AB240" s="143">
        <f t="shared" si="98"/>
        <v>0</v>
      </c>
      <c r="AC240" s="133">
        <f t="shared" si="99"/>
        <v>0</v>
      </c>
      <c r="AD240" s="142">
        <v>1</v>
      </c>
      <c r="AE240" s="141"/>
      <c r="AF240" s="121" t="s">
        <v>292</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292</v>
      </c>
      <c r="V241" s="133">
        <f t="shared" si="96"/>
        <v>0</v>
      </c>
      <c r="W241" s="133">
        <f>VLOOKUP(U241,Sheet1!$B$6:$C$45,2,FALSE)*V241</f>
        <v>0</v>
      </c>
      <c r="X241" s="141"/>
      <c r="Y241" s="121" t="s">
        <v>292</v>
      </c>
      <c r="Z241" s="146">
        <f>VLOOKUP(Takeoffs!Y241,Sheet1!$B$6:$C$124,2,FALSE)</f>
        <v>0</v>
      </c>
      <c r="AA241" s="146">
        <f t="shared" si="97"/>
        <v>0</v>
      </c>
      <c r="AB241" s="143">
        <f t="shared" si="98"/>
        <v>0</v>
      </c>
      <c r="AC241" s="133">
        <f t="shared" si="99"/>
        <v>0</v>
      </c>
      <c r="AD241" s="142">
        <v>1</v>
      </c>
      <c r="AE241" s="141"/>
      <c r="AF241" s="121" t="s">
        <v>292</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292</v>
      </c>
      <c r="V242" s="133">
        <f t="shared" si="96"/>
        <v>0</v>
      </c>
      <c r="W242" s="133">
        <f>VLOOKUP(U242,Sheet1!$B$6:$C$45,2,FALSE)*V242</f>
        <v>0</v>
      </c>
      <c r="X242" s="141"/>
      <c r="Y242" s="121" t="s">
        <v>292</v>
      </c>
      <c r="Z242" s="146">
        <f>VLOOKUP(Takeoffs!Y242,Sheet1!$B$6:$C$124,2,FALSE)</f>
        <v>0</v>
      </c>
      <c r="AA242" s="146">
        <f t="shared" si="97"/>
        <v>0</v>
      </c>
      <c r="AB242" s="143">
        <f t="shared" si="98"/>
        <v>0</v>
      </c>
      <c r="AC242" s="133">
        <f t="shared" si="99"/>
        <v>0</v>
      </c>
      <c r="AD242" s="142">
        <v>1</v>
      </c>
      <c r="AE242" s="141"/>
      <c r="AF242" s="121" t="s">
        <v>292</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292</v>
      </c>
      <c r="V243" s="133">
        <f t="shared" si="96"/>
        <v>0</v>
      </c>
      <c r="W243" s="133">
        <f>VLOOKUP(U243,Sheet1!$B$6:$C$45,2,FALSE)*V243</f>
        <v>0</v>
      </c>
      <c r="X243" s="141"/>
      <c r="Y243" s="121" t="s">
        <v>292</v>
      </c>
      <c r="Z243" s="146">
        <f>VLOOKUP(Takeoffs!Y243,Sheet1!$B$6:$C$124,2,FALSE)</f>
        <v>0</v>
      </c>
      <c r="AA243" s="146">
        <f t="shared" si="97"/>
        <v>0</v>
      </c>
      <c r="AB243" s="143">
        <f t="shared" si="98"/>
        <v>0</v>
      </c>
      <c r="AC243" s="133">
        <f t="shared" si="99"/>
        <v>0</v>
      </c>
      <c r="AD243" s="142">
        <v>1</v>
      </c>
      <c r="AE243" s="141"/>
      <c r="AF243" s="121" t="s">
        <v>292</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328</v>
      </c>
      <c r="P244" s="121"/>
      <c r="Q244" s="66"/>
      <c r="R244" s="121"/>
      <c r="S244" s="133">
        <f>M236</f>
        <v>0</v>
      </c>
      <c r="T244" s="120"/>
      <c r="U244" s="121" t="s">
        <v>242</v>
      </c>
      <c r="V244" s="133">
        <f t="shared" si="96"/>
        <v>0</v>
      </c>
      <c r="W244" s="133">
        <f>VLOOKUP(U244,Sheet1!$B$6:$C$45,2,FALSE)*V244</f>
        <v>0</v>
      </c>
      <c r="X244" s="141"/>
      <c r="Y244" s="121" t="s">
        <v>292</v>
      </c>
      <c r="Z244" s="146">
        <f>VLOOKUP(Takeoffs!Y244,Sheet1!$B$6:$C$124,2,FALSE)</f>
        <v>0</v>
      </c>
      <c r="AA244" s="146">
        <f t="shared" si="97"/>
        <v>0</v>
      </c>
      <c r="AB244" s="143">
        <f t="shared" si="98"/>
        <v>0</v>
      </c>
      <c r="AC244" s="133">
        <f t="shared" si="99"/>
        <v>0</v>
      </c>
      <c r="AD244" s="142">
        <v>1</v>
      </c>
      <c r="AE244" s="141"/>
      <c r="AF244" s="121" t="s">
        <v>292</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292</v>
      </c>
      <c r="V245" s="133">
        <f t="shared" si="96"/>
        <v>0</v>
      </c>
      <c r="W245" s="133">
        <f>VLOOKUP(U245,Sheet1!$B$6:$C$45,2,FALSE)*V245</f>
        <v>0</v>
      </c>
      <c r="X245" s="141"/>
      <c r="Y245" s="121" t="s">
        <v>292</v>
      </c>
      <c r="Z245" s="146">
        <f>VLOOKUP(Takeoffs!Y245,Sheet1!$B$6:$C$124,2,FALSE)</f>
        <v>0</v>
      </c>
      <c r="AA245" s="146">
        <f t="shared" si="97"/>
        <v>0</v>
      </c>
      <c r="AB245" s="143">
        <f t="shared" si="98"/>
        <v>0</v>
      </c>
      <c r="AC245" s="133">
        <f t="shared" si="99"/>
        <v>0</v>
      </c>
      <c r="AD245" s="142">
        <v>1</v>
      </c>
      <c r="AE245" s="141"/>
      <c r="AF245" s="121" t="s">
        <v>292</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634</v>
      </c>
      <c r="P246" s="121"/>
      <c r="Q246" s="66"/>
      <c r="R246" s="121"/>
      <c r="S246" s="133">
        <f>M236</f>
        <v>0</v>
      </c>
      <c r="T246" s="120"/>
      <c r="U246" s="121" t="s">
        <v>363</v>
      </c>
      <c r="V246" s="133">
        <f t="shared" si="96"/>
        <v>0</v>
      </c>
      <c r="W246" s="133">
        <f>VLOOKUP(U246,Sheet1!$B$6:$C$45,2,FALSE)*V246</f>
        <v>0</v>
      </c>
      <c r="X246" s="141"/>
      <c r="Y246" s="135" t="s">
        <v>588</v>
      </c>
      <c r="Z246" s="146">
        <f>VLOOKUP(Takeoffs!Y246,Sheet1!$B$6:$C$124,2,FALSE)</f>
        <v>96</v>
      </c>
      <c r="AA246" s="146">
        <f t="shared" si="97"/>
        <v>0</v>
      </c>
      <c r="AB246" s="143">
        <f t="shared" si="98"/>
        <v>0</v>
      </c>
      <c r="AC246" s="133">
        <f t="shared" si="99"/>
        <v>0</v>
      </c>
      <c r="AD246" s="142">
        <v>1</v>
      </c>
      <c r="AE246" s="141"/>
      <c r="AF246" s="121" t="s">
        <v>292</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292</v>
      </c>
      <c r="V247" s="133">
        <f t="shared" si="96"/>
        <v>0</v>
      </c>
      <c r="W247" s="133">
        <f>VLOOKUP(U247,Sheet1!$B$6:$C$45,2,FALSE)*V247</f>
        <v>0</v>
      </c>
      <c r="X247" s="141"/>
      <c r="Y247" s="121" t="s">
        <v>292</v>
      </c>
      <c r="Z247" s="146">
        <f>VLOOKUP(Takeoffs!Y247,Sheet1!$B$6:$C$124,2,FALSE)</f>
        <v>0</v>
      </c>
      <c r="AA247" s="146">
        <f t="shared" si="97"/>
        <v>0</v>
      </c>
      <c r="AB247" s="143">
        <f t="shared" si="98"/>
        <v>0</v>
      </c>
      <c r="AC247" s="133">
        <f t="shared" si="99"/>
        <v>0</v>
      </c>
      <c r="AD247" s="142">
        <v>1</v>
      </c>
      <c r="AE247" s="141"/>
      <c r="AF247" s="121" t="s">
        <v>292</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292</v>
      </c>
      <c r="V248" s="133">
        <f t="shared" si="96"/>
        <v>0</v>
      </c>
      <c r="W248" s="133">
        <f>VLOOKUP(U248,Sheet1!$B$6:$C$45,2,FALSE)*V248</f>
        <v>0</v>
      </c>
      <c r="X248" s="141"/>
      <c r="Y248" s="121" t="s">
        <v>292</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312</v>
      </c>
      <c r="P249" s="121"/>
      <c r="Q249" s="66"/>
      <c r="R249" s="121"/>
      <c r="S249" s="133">
        <f>M236</f>
        <v>0</v>
      </c>
      <c r="T249" s="120"/>
      <c r="U249" s="121" t="s">
        <v>232</v>
      </c>
      <c r="V249" s="133">
        <f t="shared" si="96"/>
        <v>0</v>
      </c>
      <c r="W249" s="133">
        <f>VLOOKUP(U249,Sheet1!$B$6:$C$45,2,FALSE)*V249</f>
        <v>0</v>
      </c>
      <c r="X249" s="141"/>
      <c r="Y249" s="122" t="s">
        <v>1344</v>
      </c>
      <c r="Z249" s="146">
        <f>VLOOKUP(Takeoffs!Y249,Sheet1!$B$6:$C$124,2,FALSE)</f>
        <v>109.25999999999999</v>
      </c>
      <c r="AA249" s="146">
        <f t="shared" si="97"/>
        <v>0</v>
      </c>
      <c r="AB249" s="143">
        <f t="shared" si="98"/>
        <v>0</v>
      </c>
      <c r="AC249" s="133">
        <f t="shared" si="99"/>
        <v>0</v>
      </c>
      <c r="AD249" s="142">
        <v>1</v>
      </c>
      <c r="AE249" s="141"/>
      <c r="AF249" s="121" t="s">
        <v>292</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292</v>
      </c>
      <c r="V250" s="133">
        <f t="shared" si="96"/>
        <v>0</v>
      </c>
      <c r="W250" s="133">
        <f>VLOOKUP(U250,Sheet1!$B$6:$C$45,2,FALSE)*V250</f>
        <v>0</v>
      </c>
      <c r="X250" s="141"/>
      <c r="Y250" s="121" t="s">
        <v>292</v>
      </c>
      <c r="Z250" s="146">
        <f>VLOOKUP(Takeoffs!Y250,Sheet1!$B$6:$C$124,2,FALSE)</f>
        <v>0</v>
      </c>
      <c r="AA250" s="146">
        <f t="shared" si="97"/>
        <v>0</v>
      </c>
      <c r="AB250" s="143">
        <f t="shared" si="98"/>
        <v>0</v>
      </c>
      <c r="AC250" s="133">
        <f t="shared" si="99"/>
        <v>0</v>
      </c>
      <c r="AD250" s="142">
        <v>1</v>
      </c>
      <c r="AE250" s="141"/>
      <c r="AF250" s="121" t="s">
        <v>292</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337</v>
      </c>
      <c r="P251" s="121"/>
      <c r="Q251" s="66"/>
      <c r="R251" s="121" t="s">
        <v>331</v>
      </c>
      <c r="S251" s="133">
        <f>M236</f>
        <v>0</v>
      </c>
      <c r="T251" s="120"/>
      <c r="U251" s="121" t="s">
        <v>292</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292</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292</v>
      </c>
      <c r="V252" s="133">
        <f t="shared" si="96"/>
        <v>0</v>
      </c>
      <c r="W252" s="133">
        <f>VLOOKUP(U252,Sheet1!$B$6:$C$45,2,FALSE)*V252</f>
        <v>0</v>
      </c>
      <c r="X252" s="141"/>
      <c r="Y252" s="121" t="s">
        <v>292</v>
      </c>
      <c r="Z252" s="146">
        <f>VLOOKUP(Takeoffs!Y252,Sheet1!$B$6:$C$124,2,FALSE)</f>
        <v>0</v>
      </c>
      <c r="AA252" s="146">
        <f t="shared" si="97"/>
        <v>0</v>
      </c>
      <c r="AB252" s="143">
        <f t="shared" si="98"/>
        <v>0</v>
      </c>
      <c r="AC252" s="133">
        <f t="shared" si="99"/>
        <v>0</v>
      </c>
      <c r="AD252" s="142">
        <v>1</v>
      </c>
      <c r="AE252" s="141"/>
      <c r="AF252" s="121" t="s">
        <v>292</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329</v>
      </c>
      <c r="P253" s="121"/>
      <c r="Q253" s="66"/>
      <c r="R253" s="121" t="s">
        <v>304</v>
      </c>
      <c r="S253" s="133">
        <f>M236</f>
        <v>0</v>
      </c>
      <c r="T253" s="120"/>
      <c r="U253" s="121" t="s">
        <v>292</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292</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338</v>
      </c>
      <c r="P254" s="121"/>
      <c r="Q254" s="66"/>
      <c r="R254" s="121"/>
      <c r="S254" s="133">
        <f>M236</f>
        <v>0</v>
      </c>
      <c r="T254" s="120"/>
      <c r="U254" s="121" t="s">
        <v>292</v>
      </c>
      <c r="V254" s="133">
        <f t="shared" si="96"/>
        <v>0</v>
      </c>
      <c r="W254" s="133">
        <f>VLOOKUP(U254,Sheet1!$B$6:$C$45,2,FALSE)*V254</f>
        <v>0</v>
      </c>
      <c r="X254" s="141"/>
      <c r="Y254" s="122" t="s">
        <v>333</v>
      </c>
      <c r="Z254" s="146">
        <f>VLOOKUP(Takeoffs!Y254,Sheet1!$B$6:$C$124,2,FALSE)</f>
        <v>60</v>
      </c>
      <c r="AA254" s="146">
        <f t="shared" si="97"/>
        <v>0</v>
      </c>
      <c r="AB254" s="143">
        <f t="shared" si="98"/>
        <v>0</v>
      </c>
      <c r="AC254" s="133">
        <f t="shared" si="99"/>
        <v>0</v>
      </c>
      <c r="AD254" s="142">
        <v>1</v>
      </c>
      <c r="AE254" s="141"/>
      <c r="AF254" s="121" t="s">
        <v>292</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402</v>
      </c>
      <c r="P255" s="121"/>
      <c r="Q255" s="66"/>
      <c r="R255" s="121"/>
      <c r="S255" s="133">
        <f>M236</f>
        <v>0</v>
      </c>
      <c r="T255" s="120"/>
      <c r="U255" s="121" t="s">
        <v>292</v>
      </c>
      <c r="V255" s="133">
        <f t="shared" si="96"/>
        <v>0</v>
      </c>
      <c r="W255" s="133">
        <f>VLOOKUP(U255,Sheet1!$B$6:$C$45,2,FALSE)*V255</f>
        <v>0</v>
      </c>
      <c r="X255" s="141"/>
      <c r="Y255" s="122" t="s">
        <v>334</v>
      </c>
      <c r="Z255" s="146">
        <f>VLOOKUP(Takeoffs!Y255,Sheet1!$B$6:$C$124,2,FALSE)</f>
        <v>56.4</v>
      </c>
      <c r="AA255" s="146">
        <f t="shared" si="97"/>
        <v>0</v>
      </c>
      <c r="AB255" s="143">
        <f t="shared" si="98"/>
        <v>0</v>
      </c>
      <c r="AC255" s="133">
        <f t="shared" si="99"/>
        <v>0</v>
      </c>
      <c r="AD255" s="142">
        <v>1</v>
      </c>
      <c r="AE255" s="141"/>
      <c r="AF255" s="121" t="s">
        <v>292</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408</v>
      </c>
      <c r="P256" s="121"/>
      <c r="Q256" s="66"/>
      <c r="R256" s="121"/>
      <c r="S256" s="133">
        <f>M236</f>
        <v>0</v>
      </c>
      <c r="T256" s="120"/>
      <c r="U256" s="121" t="s">
        <v>362</v>
      </c>
      <c r="V256" s="133">
        <f t="shared" si="96"/>
        <v>0</v>
      </c>
      <c r="W256" s="133">
        <f>VLOOKUP(U256,Sheet1!$B$6:$C$45,2,FALSE)*V256</f>
        <v>0</v>
      </c>
      <c r="X256" s="141"/>
      <c r="Y256" s="121" t="s">
        <v>292</v>
      </c>
      <c r="Z256" s="146">
        <f>VLOOKUP(Takeoffs!Y256,Sheet1!$B$6:$C$124,2,FALSE)</f>
        <v>0</v>
      </c>
      <c r="AA256" s="146">
        <f t="shared" si="97"/>
        <v>0</v>
      </c>
      <c r="AB256" s="143">
        <f t="shared" si="98"/>
        <v>0</v>
      </c>
      <c r="AC256" s="133">
        <f t="shared" si="99"/>
        <v>0</v>
      </c>
      <c r="AD256" s="142">
        <v>1</v>
      </c>
      <c r="AE256" s="141"/>
      <c r="AF256" s="121" t="s">
        <v>292</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377</v>
      </c>
      <c r="L257" s="128" t="s">
        <v>378</v>
      </c>
      <c r="N257" s="129"/>
      <c r="O257" s="130" t="s">
        <v>357</v>
      </c>
      <c r="P257" s="171">
        <f>V257+AA257+AH257</f>
        <v>0</v>
      </c>
      <c r="Q257" s="131"/>
      <c r="R257" s="131"/>
      <c r="S257" s="130"/>
      <c r="T257" s="127"/>
      <c r="U257" s="126" t="s">
        <v>351</v>
      </c>
      <c r="V257" s="127">
        <f>W257*80</f>
        <v>0</v>
      </c>
      <c r="W257" s="147">
        <f>SUM(W236:W256)</f>
        <v>0</v>
      </c>
      <c r="X257" s="148"/>
      <c r="Y257" s="127" t="s">
        <v>352</v>
      </c>
      <c r="Z257" s="116"/>
      <c r="AA257" s="116">
        <f>SUM(AA236:AA256)</f>
        <v>0</v>
      </c>
      <c r="AB257" s="149"/>
      <c r="AC257" s="149"/>
      <c r="AD257" s="149"/>
      <c r="AE257" s="149"/>
      <c r="AF257" s="127" t="s">
        <v>356</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hidden="1" x14ac:dyDescent="0.8">
      <c r="A258" s="262">
        <f>ROW()</f>
        <v>258</v>
      </c>
      <c r="B258" s="234" t="s">
        <v>491</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367</v>
      </c>
      <c r="N258" s="160" t="str">
        <f>N236</f>
        <v>timeclock controlled DOL fan - from local power supply</v>
      </c>
      <c r="O258" s="160" t="s">
        <v>365</v>
      </c>
      <c r="P258" s="171" t="e">
        <f>P257/M236</f>
        <v>#DIV/0!</v>
      </c>
      <c r="Q258" s="161"/>
      <c r="R258" s="161"/>
      <c r="S258" s="160"/>
      <c r="T258" s="161"/>
      <c r="U258" s="571" t="s">
        <v>366</v>
      </c>
      <c r="V258" s="571"/>
      <c r="W258" s="162" t="e">
        <f>W257/M236</f>
        <v>#DIV/0!</v>
      </c>
      <c r="X258" s="163"/>
      <c r="Y258" s="570" t="s">
        <v>365</v>
      </c>
      <c r="Z258" s="570"/>
      <c r="AA258" s="164" t="e">
        <f>AA257/M236</f>
        <v>#DIV/0!</v>
      </c>
      <c r="AB258" s="161"/>
      <c r="AC258" s="161"/>
      <c r="AD258" s="161"/>
      <c r="AE258" s="161"/>
      <c r="AF258" s="570" t="s">
        <v>365</v>
      </c>
      <c r="AG258" s="570"/>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452</v>
      </c>
      <c r="M259" s="2" t="s">
        <v>107</v>
      </c>
      <c r="N259" s="2" t="s">
        <v>108</v>
      </c>
      <c r="O259" s="97" t="s">
        <v>386</v>
      </c>
      <c r="P259" s="572" t="s">
        <v>375</v>
      </c>
      <c r="Q259" s="572"/>
      <c r="R259" s="101" t="s">
        <v>452</v>
      </c>
      <c r="S259" s="2" t="s">
        <v>0</v>
      </c>
      <c r="T259" s="9"/>
      <c r="U259" s="2" t="s">
        <v>287</v>
      </c>
      <c r="V259" s="2" t="s">
        <v>288</v>
      </c>
      <c r="W259" s="2" t="s">
        <v>291</v>
      </c>
      <c r="X259" s="58"/>
      <c r="Y259" s="2" t="s">
        <v>289</v>
      </c>
      <c r="Z259" s="2" t="s">
        <v>354</v>
      </c>
      <c r="AA259" s="2" t="s">
        <v>355</v>
      </c>
      <c r="AB259" s="2" t="s">
        <v>317</v>
      </c>
      <c r="AC259" s="2" t="s">
        <v>318</v>
      </c>
      <c r="AD259" s="2" t="s">
        <v>316</v>
      </c>
      <c r="AE259" s="58"/>
      <c r="AF259" s="2" t="s">
        <v>293</v>
      </c>
      <c r="AG259" s="2" t="s">
        <v>354</v>
      </c>
      <c r="AH259" s="2" t="s">
        <v>355</v>
      </c>
      <c r="AI259" s="2" t="s">
        <v>296</v>
      </c>
      <c r="AJ259" s="2" t="s">
        <v>294</v>
      </c>
      <c r="AK259" s="2" t="s">
        <v>295</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335</v>
      </c>
      <c r="O260" s="12" t="s">
        <v>347</v>
      </c>
      <c r="P260" s="96" t="s">
        <v>379</v>
      </c>
      <c r="Q260" s="96" t="s">
        <v>375</v>
      </c>
      <c r="R260" s="96"/>
      <c r="S260" s="28">
        <f>M260</f>
        <v>0</v>
      </c>
      <c r="T260" s="10"/>
      <c r="U260" s="12" t="s">
        <v>292</v>
      </c>
      <c r="V260" s="28">
        <f>S260</f>
        <v>0</v>
      </c>
      <c r="W260" s="28">
        <f>VLOOKUP(U260,Sheet1!$B$6:$C$45,2,FALSE)*V260</f>
        <v>0</v>
      </c>
      <c r="X260" s="59"/>
      <c r="Y260" s="12" t="s">
        <v>292</v>
      </c>
      <c r="Z260" s="68">
        <f>VLOOKUP(Takeoffs!Y260,Sheet1!$B$6:$C$124,2,FALSE)</f>
        <v>0</v>
      </c>
      <c r="AA260" s="68">
        <f>Z260*AB260</f>
        <v>0</v>
      </c>
      <c r="AB260" s="63">
        <f>AD260*AC260</f>
        <v>0</v>
      </c>
      <c r="AC260" s="28">
        <f>S260</f>
        <v>0</v>
      </c>
      <c r="AD260" s="61">
        <v>1</v>
      </c>
      <c r="AE260" s="59"/>
      <c r="AF260" s="12" t="s">
        <v>292</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340</v>
      </c>
      <c r="P261" s="12"/>
      <c r="Q261" s="66"/>
      <c r="R261" s="12"/>
      <c r="S261" s="28">
        <f>M260</f>
        <v>0</v>
      </c>
      <c r="T261" s="11"/>
      <c r="U261" s="12" t="s">
        <v>233</v>
      </c>
      <c r="V261" s="28">
        <f t="shared" ref="V261:V280" si="106">S261</f>
        <v>0</v>
      </c>
      <c r="W261" s="28">
        <f>VLOOKUP(U261,Sheet1!$B$6:$C$45,2,FALSE)*V261</f>
        <v>0</v>
      </c>
      <c r="X261" s="59"/>
      <c r="Y261" s="12" t="s">
        <v>292</v>
      </c>
      <c r="Z261" s="68">
        <f>VLOOKUP(Takeoffs!Y261,Sheet1!$B$6:$C$124,2,FALSE)</f>
        <v>0</v>
      </c>
      <c r="AA261" s="68">
        <f t="shared" ref="AA261:AA280" si="107">Z261*AB261</f>
        <v>0</v>
      </c>
      <c r="AB261" s="63">
        <f t="shared" ref="AB261:AB280" si="108">AD261*AC261</f>
        <v>0</v>
      </c>
      <c r="AC261" s="28">
        <f>S261</f>
        <v>0</v>
      </c>
      <c r="AD261" s="61">
        <v>1</v>
      </c>
      <c r="AE261" s="59"/>
      <c r="AF261" s="12" t="s">
        <v>292</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441</v>
      </c>
      <c r="P262" s="121" t="s">
        <v>539</v>
      </c>
      <c r="Q262" s="66" t="s">
        <v>687</v>
      </c>
      <c r="R262" s="12"/>
      <c r="S262" s="28">
        <f>M260</f>
        <v>0</v>
      </c>
      <c r="T262" s="11"/>
      <c r="U262" s="12" t="s">
        <v>361</v>
      </c>
      <c r="V262" s="28">
        <f t="shared" si="106"/>
        <v>0</v>
      </c>
      <c r="W262" s="28">
        <f>VLOOKUP(U262,Sheet1!$B$6:$C$45,2,FALSE)*V262</f>
        <v>0</v>
      </c>
      <c r="X262" s="59"/>
      <c r="Y262" s="12" t="s">
        <v>292</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406</v>
      </c>
      <c r="P263" s="12"/>
      <c r="Q263" s="66"/>
      <c r="R263" s="12"/>
      <c r="S263" s="28">
        <f>M260</f>
        <v>0</v>
      </c>
      <c r="T263" s="11"/>
      <c r="U263" s="12" t="s">
        <v>292</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292</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292</v>
      </c>
      <c r="V264" s="28">
        <f t="shared" si="106"/>
        <v>0</v>
      </c>
      <c r="W264" s="28">
        <f>VLOOKUP(U264,Sheet1!$B$6:$C$45,2,FALSE)*V264</f>
        <v>0</v>
      </c>
      <c r="X264" s="59"/>
      <c r="Y264" s="12" t="s">
        <v>292</v>
      </c>
      <c r="Z264" s="68">
        <f>VLOOKUP(Takeoffs!Y264,Sheet1!$B$6:$C$124,2,FALSE)</f>
        <v>0</v>
      </c>
      <c r="AA264" s="68">
        <f t="shared" si="107"/>
        <v>0</v>
      </c>
      <c r="AB264" s="63">
        <f t="shared" si="108"/>
        <v>0</v>
      </c>
      <c r="AC264" s="28">
        <f t="shared" si="113"/>
        <v>0</v>
      </c>
      <c r="AD264" s="61">
        <v>1</v>
      </c>
      <c r="AE264" s="59"/>
      <c r="AF264" s="12" t="s">
        <v>292</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292</v>
      </c>
      <c r="V265" s="28">
        <f t="shared" si="106"/>
        <v>0</v>
      </c>
      <c r="W265" s="28">
        <f>VLOOKUP(U265,Sheet1!$B$6:$C$45,2,FALSE)*V265</f>
        <v>0</v>
      </c>
      <c r="X265" s="59"/>
      <c r="Y265" s="12" t="s">
        <v>292</v>
      </c>
      <c r="Z265" s="68">
        <f>VLOOKUP(Takeoffs!Y265,Sheet1!$B$6:$C$124,2,FALSE)</f>
        <v>0</v>
      </c>
      <c r="AA265" s="68">
        <f t="shared" si="107"/>
        <v>0</v>
      </c>
      <c r="AB265" s="63">
        <f t="shared" si="108"/>
        <v>0</v>
      </c>
      <c r="AC265" s="28">
        <f t="shared" si="113"/>
        <v>0</v>
      </c>
      <c r="AD265" s="61">
        <v>1</v>
      </c>
      <c r="AE265" s="59"/>
      <c r="AF265" s="12" t="s">
        <v>292</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292</v>
      </c>
      <c r="V266" s="28">
        <f t="shared" si="106"/>
        <v>0</v>
      </c>
      <c r="W266" s="28">
        <f>VLOOKUP(U266,Sheet1!$B$6:$C$45,2,FALSE)*V266</f>
        <v>0</v>
      </c>
      <c r="X266" s="59"/>
      <c r="Y266" s="12" t="s">
        <v>292</v>
      </c>
      <c r="Z266" s="68">
        <f>VLOOKUP(Takeoffs!Y266,Sheet1!$B$6:$C$124,2,FALSE)</f>
        <v>0</v>
      </c>
      <c r="AA266" s="68">
        <f t="shared" si="107"/>
        <v>0</v>
      </c>
      <c r="AB266" s="63">
        <f t="shared" si="108"/>
        <v>0</v>
      </c>
      <c r="AC266" s="28">
        <f t="shared" si="113"/>
        <v>0</v>
      </c>
      <c r="AD266" s="61">
        <v>1</v>
      </c>
      <c r="AE266" s="59"/>
      <c r="AF266" s="12" t="s">
        <v>292</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292</v>
      </c>
      <c r="V267" s="28">
        <f t="shared" si="106"/>
        <v>0</v>
      </c>
      <c r="W267" s="28">
        <f>VLOOKUP(U267,Sheet1!$B$6:$C$45,2,FALSE)*V267</f>
        <v>0</v>
      </c>
      <c r="X267" s="59"/>
      <c r="Y267" s="12" t="s">
        <v>292</v>
      </c>
      <c r="Z267" s="68">
        <f>VLOOKUP(Takeoffs!Y267,Sheet1!$B$6:$C$124,2,FALSE)</f>
        <v>0</v>
      </c>
      <c r="AA267" s="68">
        <f t="shared" si="107"/>
        <v>0</v>
      </c>
      <c r="AB267" s="63">
        <f t="shared" si="108"/>
        <v>0</v>
      </c>
      <c r="AC267" s="28">
        <f t="shared" si="113"/>
        <v>0</v>
      </c>
      <c r="AD267" s="61">
        <v>1</v>
      </c>
      <c r="AE267" s="59"/>
      <c r="AF267" s="12" t="s">
        <v>292</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328</v>
      </c>
      <c r="P268" s="12"/>
      <c r="Q268" s="66"/>
      <c r="R268" s="12"/>
      <c r="S268" s="28">
        <f>M260</f>
        <v>0</v>
      </c>
      <c r="T268" s="11"/>
      <c r="U268" s="12" t="s">
        <v>242</v>
      </c>
      <c r="V268" s="28">
        <f t="shared" si="106"/>
        <v>0</v>
      </c>
      <c r="W268" s="28">
        <f>VLOOKUP(U268,Sheet1!$B$6:$C$45,2,FALSE)*V268</f>
        <v>0</v>
      </c>
      <c r="X268" s="59"/>
      <c r="Y268" s="12" t="s">
        <v>292</v>
      </c>
      <c r="Z268" s="68">
        <f>VLOOKUP(Takeoffs!Y268,Sheet1!$B$6:$C$124,2,FALSE)</f>
        <v>0</v>
      </c>
      <c r="AA268" s="68">
        <f t="shared" si="107"/>
        <v>0</v>
      </c>
      <c r="AB268" s="63">
        <f t="shared" si="108"/>
        <v>0</v>
      </c>
      <c r="AC268" s="28">
        <f t="shared" si="113"/>
        <v>0</v>
      </c>
      <c r="AD268" s="61">
        <v>1</v>
      </c>
      <c r="AE268" s="59"/>
      <c r="AF268" s="12" t="s">
        <v>292</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292</v>
      </c>
      <c r="V269" s="28">
        <f t="shared" si="106"/>
        <v>0</v>
      </c>
      <c r="W269" s="28">
        <f>VLOOKUP(U269,Sheet1!$B$6:$C$45,2,FALSE)*V269</f>
        <v>0</v>
      </c>
      <c r="X269" s="59"/>
      <c r="Y269" s="12" t="s">
        <v>292</v>
      </c>
      <c r="Z269" s="68">
        <f>VLOOKUP(Takeoffs!Y269,Sheet1!$B$6:$C$124,2,FALSE)</f>
        <v>0</v>
      </c>
      <c r="AA269" s="68">
        <f t="shared" si="107"/>
        <v>0</v>
      </c>
      <c r="AB269" s="63">
        <f t="shared" si="108"/>
        <v>0</v>
      </c>
      <c r="AC269" s="28">
        <f t="shared" si="113"/>
        <v>0</v>
      </c>
      <c r="AD269" s="61">
        <v>1</v>
      </c>
      <c r="AE269" s="59"/>
      <c r="AF269" s="12" t="s">
        <v>292</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336</v>
      </c>
      <c r="P270" s="12"/>
      <c r="Q270" s="66"/>
      <c r="R270" s="12"/>
      <c r="S270" s="28">
        <f>M260</f>
        <v>0</v>
      </c>
      <c r="T270" s="11"/>
      <c r="U270" s="12" t="s">
        <v>363</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292</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292</v>
      </c>
      <c r="V271" s="28">
        <f t="shared" si="106"/>
        <v>0</v>
      </c>
      <c r="W271" s="28">
        <f>VLOOKUP(U271,Sheet1!$B$6:$C$45,2,FALSE)*V271</f>
        <v>0</v>
      </c>
      <c r="X271" s="59"/>
      <c r="Y271" s="12" t="s">
        <v>292</v>
      </c>
      <c r="Z271" s="68">
        <f>VLOOKUP(Takeoffs!Y271,Sheet1!$B$6:$C$124,2,FALSE)</f>
        <v>0</v>
      </c>
      <c r="AA271" s="68">
        <f t="shared" si="107"/>
        <v>0</v>
      </c>
      <c r="AB271" s="63">
        <f t="shared" si="108"/>
        <v>0</v>
      </c>
      <c r="AC271" s="28">
        <f t="shared" si="113"/>
        <v>0</v>
      </c>
      <c r="AD271" s="61">
        <v>1</v>
      </c>
      <c r="AE271" s="59"/>
      <c r="AF271" s="12" t="s">
        <v>292</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292</v>
      </c>
      <c r="V272" s="28">
        <f t="shared" si="106"/>
        <v>0</v>
      </c>
      <c r="W272" s="28">
        <f>VLOOKUP(U272,Sheet1!$B$6:$C$45,2,FALSE)*V272</f>
        <v>0</v>
      </c>
      <c r="X272" s="59"/>
      <c r="Y272" s="12" t="s">
        <v>292</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312</v>
      </c>
      <c r="P273" s="12"/>
      <c r="Q273" s="66"/>
      <c r="R273" s="12"/>
      <c r="S273" s="28">
        <f>M260</f>
        <v>0</v>
      </c>
      <c r="T273" s="11"/>
      <c r="U273" s="12" t="s">
        <v>232</v>
      </c>
      <c r="V273" s="28">
        <f t="shared" si="106"/>
        <v>0</v>
      </c>
      <c r="W273" s="28">
        <f>VLOOKUP(U273,Sheet1!$B$6:$C$45,2,FALSE)*V273</f>
        <v>0</v>
      </c>
      <c r="X273" s="59"/>
      <c r="Y273" s="13" t="s">
        <v>1344</v>
      </c>
      <c r="Z273" s="68">
        <f>VLOOKUP(Takeoffs!Y273,Sheet1!$B$6:$C$124,2,FALSE)</f>
        <v>109.25999999999999</v>
      </c>
      <c r="AA273" s="68">
        <f t="shared" si="107"/>
        <v>0</v>
      </c>
      <c r="AB273" s="63">
        <f t="shared" si="108"/>
        <v>0</v>
      </c>
      <c r="AC273" s="28">
        <f t="shared" si="113"/>
        <v>0</v>
      </c>
      <c r="AD273" s="61">
        <v>1</v>
      </c>
      <c r="AE273" s="59"/>
      <c r="AF273" s="12" t="s">
        <v>292</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292</v>
      </c>
      <c r="V274" s="28">
        <f t="shared" si="106"/>
        <v>0</v>
      </c>
      <c r="W274" s="28">
        <f>VLOOKUP(U274,Sheet1!$B$6:$C$45,2,FALSE)*V274</f>
        <v>0</v>
      </c>
      <c r="X274" s="59"/>
      <c r="Y274" s="12" t="s">
        <v>292</v>
      </c>
      <c r="Z274" s="68">
        <f>VLOOKUP(Takeoffs!Y274,Sheet1!$B$6:$C$124,2,FALSE)</f>
        <v>0</v>
      </c>
      <c r="AA274" s="68">
        <f t="shared" si="107"/>
        <v>0</v>
      </c>
      <c r="AB274" s="63">
        <f t="shared" si="108"/>
        <v>0</v>
      </c>
      <c r="AC274" s="28">
        <f t="shared" si="113"/>
        <v>0</v>
      </c>
      <c r="AD274" s="61">
        <v>1</v>
      </c>
      <c r="AE274" s="59"/>
      <c r="AF274" s="12" t="s">
        <v>292</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337</v>
      </c>
      <c r="P275" s="12"/>
      <c r="Q275" s="66"/>
      <c r="R275" s="12" t="s">
        <v>331</v>
      </c>
      <c r="S275" s="28">
        <f>M260</f>
        <v>0</v>
      </c>
      <c r="T275" s="11"/>
      <c r="U275" s="12" t="s">
        <v>292</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292</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292</v>
      </c>
      <c r="V276" s="28">
        <f t="shared" si="106"/>
        <v>0</v>
      </c>
      <c r="W276" s="28">
        <f>VLOOKUP(U276,Sheet1!$B$6:$C$45,2,FALSE)*V276</f>
        <v>0</v>
      </c>
      <c r="X276" s="59"/>
      <c r="Y276" s="12" t="s">
        <v>292</v>
      </c>
      <c r="Z276" s="68">
        <f>VLOOKUP(Takeoffs!Y276,Sheet1!$B$6:$C$124,2,FALSE)</f>
        <v>0</v>
      </c>
      <c r="AA276" s="68">
        <f t="shared" si="107"/>
        <v>0</v>
      </c>
      <c r="AB276" s="63">
        <f t="shared" si="108"/>
        <v>0</v>
      </c>
      <c r="AC276" s="28">
        <f t="shared" si="113"/>
        <v>0</v>
      </c>
      <c r="AD276" s="61">
        <v>1</v>
      </c>
      <c r="AE276" s="59"/>
      <c r="AF276" s="12" t="s">
        <v>292</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329</v>
      </c>
      <c r="P277" s="12"/>
      <c r="Q277" s="66"/>
      <c r="R277" s="12" t="s">
        <v>304</v>
      </c>
      <c r="S277" s="28">
        <f>M260</f>
        <v>0</v>
      </c>
      <c r="T277" s="11"/>
      <c r="U277" s="12" t="s">
        <v>292</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292</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338</v>
      </c>
      <c r="P278" s="12"/>
      <c r="Q278" s="66"/>
      <c r="R278" s="12"/>
      <c r="S278" s="28">
        <f>M260</f>
        <v>0</v>
      </c>
      <c r="T278" s="11"/>
      <c r="U278" s="12" t="s">
        <v>292</v>
      </c>
      <c r="V278" s="28">
        <f t="shared" si="106"/>
        <v>0</v>
      </c>
      <c r="W278" s="28">
        <f>VLOOKUP(U278,Sheet1!$B$6:$C$45,2,FALSE)*V278</f>
        <v>0</v>
      </c>
      <c r="X278" s="59"/>
      <c r="Y278" s="13" t="s">
        <v>333</v>
      </c>
      <c r="Z278" s="68">
        <f>VLOOKUP(Takeoffs!Y278,Sheet1!$B$6:$C$124,2,FALSE)</f>
        <v>60</v>
      </c>
      <c r="AA278" s="68">
        <f t="shared" si="107"/>
        <v>0</v>
      </c>
      <c r="AB278" s="63">
        <f t="shared" si="108"/>
        <v>0</v>
      </c>
      <c r="AC278" s="28">
        <f t="shared" si="113"/>
        <v>0</v>
      </c>
      <c r="AD278" s="61">
        <v>1</v>
      </c>
      <c r="AE278" s="59"/>
      <c r="AF278" s="12" t="s">
        <v>292</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402</v>
      </c>
      <c r="P279" s="12"/>
      <c r="Q279" s="66"/>
      <c r="R279" s="12"/>
      <c r="S279" s="28">
        <f>M260</f>
        <v>0</v>
      </c>
      <c r="T279" s="11"/>
      <c r="U279" s="12" t="s">
        <v>292</v>
      </c>
      <c r="V279" s="28">
        <f t="shared" si="106"/>
        <v>0</v>
      </c>
      <c r="W279" s="28">
        <f>VLOOKUP(U279,Sheet1!$B$6:$C$45,2,FALSE)*V279</f>
        <v>0</v>
      </c>
      <c r="X279" s="59"/>
      <c r="Y279" s="13" t="s">
        <v>334</v>
      </c>
      <c r="Z279" s="68">
        <f>VLOOKUP(Takeoffs!Y279,Sheet1!$B$6:$C$124,2,FALSE)</f>
        <v>56.4</v>
      </c>
      <c r="AA279" s="68">
        <f t="shared" si="107"/>
        <v>0</v>
      </c>
      <c r="AB279" s="63">
        <f t="shared" si="108"/>
        <v>0</v>
      </c>
      <c r="AC279" s="28">
        <f t="shared" si="113"/>
        <v>0</v>
      </c>
      <c r="AD279" s="61">
        <v>1</v>
      </c>
      <c r="AE279" s="59"/>
      <c r="AF279" s="12" t="s">
        <v>292</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408</v>
      </c>
      <c r="P280" s="12"/>
      <c r="Q280" s="66"/>
      <c r="R280" s="12"/>
      <c r="S280" s="28">
        <f>M260</f>
        <v>0</v>
      </c>
      <c r="T280" s="11"/>
      <c r="U280" s="12" t="s">
        <v>362</v>
      </c>
      <c r="V280" s="28">
        <f t="shared" si="106"/>
        <v>0</v>
      </c>
      <c r="W280" s="28">
        <f>VLOOKUP(U280,Sheet1!$B$6:$C$45,2,FALSE)*V280</f>
        <v>0</v>
      </c>
      <c r="X280" s="59"/>
      <c r="Y280" s="12" t="s">
        <v>292</v>
      </c>
      <c r="Z280" s="68">
        <f>VLOOKUP(Takeoffs!Y280,Sheet1!$B$6:$C$124,2,FALSE)</f>
        <v>0</v>
      </c>
      <c r="AA280" s="68">
        <f t="shared" si="107"/>
        <v>0</v>
      </c>
      <c r="AB280" s="63">
        <f t="shared" si="108"/>
        <v>0</v>
      </c>
      <c r="AC280" s="28">
        <f t="shared" si="113"/>
        <v>0</v>
      </c>
      <c r="AD280" s="61">
        <v>1</v>
      </c>
      <c r="AE280" s="59"/>
      <c r="AF280" s="12" t="s">
        <v>292</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377</v>
      </c>
      <c r="L281" s="21" t="s">
        <v>378</v>
      </c>
      <c r="N281" s="22"/>
      <c r="O281" s="23" t="s">
        <v>357</v>
      </c>
      <c r="P281" s="98">
        <f>V281+AA281+AH281</f>
        <v>0</v>
      </c>
      <c r="Q281" s="24"/>
      <c r="R281" s="24"/>
      <c r="S281" s="23"/>
      <c r="T281" s="20"/>
      <c r="U281" s="19" t="s">
        <v>351</v>
      </c>
      <c r="V281" s="20">
        <f>W281*80</f>
        <v>0</v>
      </c>
      <c r="W281" s="69">
        <f>SUM(W260:W280)</f>
        <v>0</v>
      </c>
      <c r="X281" s="70"/>
      <c r="Y281" s="20" t="s">
        <v>352</v>
      </c>
      <c r="Z281" s="2"/>
      <c r="AA281" s="2">
        <f>SUM(AA260:AA280)</f>
        <v>0</v>
      </c>
      <c r="AB281" s="71"/>
      <c r="AC281" s="71"/>
      <c r="AD281" s="71"/>
      <c r="AE281" s="71"/>
      <c r="AF281" s="20" t="s">
        <v>356</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hidden="1" x14ac:dyDescent="0.8">
      <c r="A282" s="262">
        <f>ROW()</f>
        <v>282</v>
      </c>
      <c r="B282" s="234" t="s">
        <v>491</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367</v>
      </c>
      <c r="N282" s="83" t="str">
        <f>N260</f>
        <v>temperature controlled fan - from local power supply</v>
      </c>
      <c r="O282" s="83" t="s">
        <v>365</v>
      </c>
      <c r="P282" s="84" t="e">
        <f>P281/M260</f>
        <v>#DIV/0!</v>
      </c>
      <c r="Q282" s="84"/>
      <c r="R282" s="84"/>
      <c r="S282" s="83"/>
      <c r="T282" s="84"/>
      <c r="U282" s="571" t="s">
        <v>366</v>
      </c>
      <c r="V282" s="571"/>
      <c r="W282" s="85" t="e">
        <f>W281/M260</f>
        <v>#DIV/0!</v>
      </c>
      <c r="X282" s="86"/>
      <c r="Y282" s="570" t="s">
        <v>365</v>
      </c>
      <c r="Z282" s="570"/>
      <c r="AA282" s="87" t="e">
        <f>AA281/M260</f>
        <v>#DIV/0!</v>
      </c>
      <c r="AB282" s="84"/>
      <c r="AC282" s="84"/>
      <c r="AD282" s="84"/>
      <c r="AE282" s="84"/>
      <c r="AF282" s="570" t="s">
        <v>365</v>
      </c>
      <c r="AG282" s="570"/>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452</v>
      </c>
      <c r="M283" s="116" t="s">
        <v>107</v>
      </c>
      <c r="N283" s="116" t="s">
        <v>108</v>
      </c>
      <c r="O283" s="170" t="s">
        <v>386</v>
      </c>
      <c r="P283" s="572" t="s">
        <v>375</v>
      </c>
      <c r="Q283" s="572"/>
      <c r="R283" s="101" t="s">
        <v>452</v>
      </c>
      <c r="S283" s="116" t="s">
        <v>0</v>
      </c>
      <c r="T283" s="118"/>
      <c r="U283" s="116" t="s">
        <v>287</v>
      </c>
      <c r="V283" s="116" t="s">
        <v>288</v>
      </c>
      <c r="W283" s="116" t="s">
        <v>291</v>
      </c>
      <c r="X283" s="140"/>
      <c r="Y283" s="116" t="s">
        <v>289</v>
      </c>
      <c r="Z283" s="116" t="s">
        <v>354</v>
      </c>
      <c r="AA283" s="116" t="s">
        <v>355</v>
      </c>
      <c r="AB283" s="116" t="s">
        <v>317</v>
      </c>
      <c r="AC283" s="116" t="s">
        <v>318</v>
      </c>
      <c r="AD283" s="116" t="s">
        <v>316</v>
      </c>
      <c r="AE283" s="140"/>
      <c r="AF283" s="116" t="s">
        <v>293</v>
      </c>
      <c r="AG283" s="116" t="s">
        <v>354</v>
      </c>
      <c r="AH283" s="116" t="s">
        <v>355</v>
      </c>
      <c r="AI283" s="116" t="s">
        <v>296</v>
      </c>
      <c r="AJ283" s="116" t="s">
        <v>294</v>
      </c>
      <c r="AK283" s="116" t="s">
        <v>295</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570</v>
      </c>
      <c r="O284" s="121" t="s">
        <v>347</v>
      </c>
      <c r="P284" s="169" t="s">
        <v>379</v>
      </c>
      <c r="Q284" s="169" t="s">
        <v>375</v>
      </c>
      <c r="R284" s="169"/>
      <c r="S284" s="133">
        <f>M284</f>
        <v>0</v>
      </c>
      <c r="T284" s="119"/>
      <c r="U284" s="153" t="s">
        <v>292</v>
      </c>
      <c r="V284" s="133">
        <f>S284</f>
        <v>0</v>
      </c>
      <c r="W284" s="133">
        <f>VLOOKUP(U284,Sheet1!$B$6:$C$45,2,FALSE)*V284</f>
        <v>0</v>
      </c>
      <c r="X284" s="141"/>
      <c r="Y284" s="121" t="s">
        <v>292</v>
      </c>
      <c r="Z284" s="146">
        <f>VLOOKUP(Takeoffs!Y284,Sheet1!$B$6:$C$124,2,FALSE)</f>
        <v>0</v>
      </c>
      <c r="AA284" s="146">
        <f>Z284*AB284</f>
        <v>0</v>
      </c>
      <c r="AB284" s="143">
        <f>AD284*AC284</f>
        <v>0</v>
      </c>
      <c r="AC284" s="133">
        <f>S284</f>
        <v>0</v>
      </c>
      <c r="AD284" s="142">
        <v>1</v>
      </c>
      <c r="AE284" s="141"/>
      <c r="AF284" s="121" t="s">
        <v>292</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411</v>
      </c>
      <c r="P285" s="121"/>
      <c r="Q285" s="121"/>
      <c r="R285" s="121"/>
      <c r="S285" s="133">
        <f>M284</f>
        <v>0</v>
      </c>
      <c r="T285" s="120"/>
      <c r="U285" s="121" t="s">
        <v>235</v>
      </c>
      <c r="V285" s="133">
        <f t="shared" ref="V285:V304" si="121">S285</f>
        <v>0</v>
      </c>
      <c r="W285" s="133">
        <f>VLOOKUP(U285,Sheet1!$B$6:$C$45,2,FALSE)*V285</f>
        <v>0</v>
      </c>
      <c r="X285" s="141"/>
      <c r="Y285" s="121" t="s">
        <v>292</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292</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308</v>
      </c>
      <c r="P286" s="121"/>
      <c r="Q286" s="121"/>
      <c r="R286" s="121"/>
      <c r="S286" s="133">
        <f>M284</f>
        <v>0</v>
      </c>
      <c r="T286" s="120"/>
      <c r="U286" s="121" t="s">
        <v>292</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292</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305</v>
      </c>
      <c r="P287" s="121"/>
      <c r="Q287" s="121"/>
      <c r="R287" s="121"/>
      <c r="S287" s="133">
        <f>M284</f>
        <v>0</v>
      </c>
      <c r="T287" s="120"/>
      <c r="U287" s="121" t="s">
        <v>361</v>
      </c>
      <c r="V287" s="133">
        <f t="shared" si="121"/>
        <v>0</v>
      </c>
      <c r="W287" s="133">
        <f>VLOOKUP(U287,Sheet1!$B$6:$C$45,2,FALSE)*V287</f>
        <v>0</v>
      </c>
      <c r="X287" s="141"/>
      <c r="Y287" s="121" t="s">
        <v>292</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391</v>
      </c>
      <c r="P288" s="121"/>
      <c r="Q288" s="121"/>
      <c r="R288" s="121"/>
      <c r="S288" s="133">
        <f>M284</f>
        <v>0</v>
      </c>
      <c r="T288" s="120"/>
      <c r="U288" s="121" t="s">
        <v>292</v>
      </c>
      <c r="V288" s="133">
        <f t="shared" si="121"/>
        <v>0</v>
      </c>
      <c r="W288" s="133">
        <f>VLOOKUP(U288,Sheet1!$B$6:$C$45,2,FALSE)*V288</f>
        <v>0</v>
      </c>
      <c r="X288" s="141"/>
      <c r="Y288" s="135" t="s">
        <v>545</v>
      </c>
      <c r="Z288" s="146">
        <f>VLOOKUP(Takeoffs!Y288,Sheet1!$B$6:$C$124,2,FALSE)</f>
        <v>971.52</v>
      </c>
      <c r="AA288" s="146">
        <f t="shared" si="122"/>
        <v>0</v>
      </c>
      <c r="AB288" s="143">
        <f t="shared" si="123"/>
        <v>0</v>
      </c>
      <c r="AC288" s="133">
        <f t="shared" si="124"/>
        <v>0</v>
      </c>
      <c r="AD288" s="142">
        <v>1</v>
      </c>
      <c r="AE288" s="141"/>
      <c r="AF288" s="121" t="s">
        <v>292</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390</v>
      </c>
      <c r="P289" s="121"/>
      <c r="Q289" s="121"/>
      <c r="R289" s="121"/>
      <c r="S289" s="133">
        <f>M284</f>
        <v>0</v>
      </c>
      <c r="T289" s="120"/>
      <c r="U289" s="121" t="s">
        <v>292</v>
      </c>
      <c r="V289" s="133">
        <f t="shared" si="121"/>
        <v>0</v>
      </c>
      <c r="W289" s="133">
        <f>VLOOKUP(U289,Sheet1!$B$6:$C$45,2,FALSE)*V289</f>
        <v>0</v>
      </c>
      <c r="X289" s="141"/>
      <c r="Y289" s="121" t="s">
        <v>292</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309</v>
      </c>
      <c r="P290" s="121"/>
      <c r="Q290" s="121"/>
      <c r="R290" s="121"/>
      <c r="S290" s="133">
        <f>M284</f>
        <v>0</v>
      </c>
      <c r="T290" s="120"/>
      <c r="U290" s="121" t="s">
        <v>292</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292</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310</v>
      </c>
      <c r="P291" s="121"/>
      <c r="Q291" s="121"/>
      <c r="R291" s="121"/>
      <c r="S291" s="133">
        <f>M284</f>
        <v>0</v>
      </c>
      <c r="T291" s="120"/>
      <c r="U291" s="121" t="s">
        <v>292</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292</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709</v>
      </c>
      <c r="P292" s="121"/>
      <c r="Q292" s="121"/>
      <c r="R292" s="121"/>
      <c r="S292" s="133">
        <f>M284</f>
        <v>0</v>
      </c>
      <c r="T292" s="120"/>
      <c r="U292" s="121" t="s">
        <v>292</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292</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307</v>
      </c>
      <c r="P293" s="121"/>
      <c r="Q293" s="121"/>
      <c r="R293" s="121"/>
      <c r="S293" s="133">
        <f>M284</f>
        <v>0</v>
      </c>
      <c r="T293" s="120"/>
      <c r="U293" s="121" t="s">
        <v>364</v>
      </c>
      <c r="V293" s="133">
        <f t="shared" si="121"/>
        <v>0</v>
      </c>
      <c r="W293" s="133">
        <f>VLOOKUP(U293,Sheet1!$B$6:$C$45,2,FALSE)*V293</f>
        <v>0</v>
      </c>
      <c r="X293" s="141"/>
      <c r="Y293" s="121" t="s">
        <v>292</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292</v>
      </c>
      <c r="V294" s="133">
        <f t="shared" si="121"/>
        <v>0</v>
      </c>
      <c r="W294" s="133">
        <f>VLOOKUP(U294,Sheet1!$B$6:$C$45,2,FALSE)*V294</f>
        <v>0</v>
      </c>
      <c r="X294" s="141"/>
      <c r="Y294" s="121" t="s">
        <v>292</v>
      </c>
      <c r="Z294" s="146">
        <f>VLOOKUP(Takeoffs!Y294,Sheet1!$B$6:$C$124,2,FALSE)</f>
        <v>0</v>
      </c>
      <c r="AA294" s="146">
        <f t="shared" si="122"/>
        <v>0</v>
      </c>
      <c r="AB294" s="143">
        <f t="shared" si="123"/>
        <v>0</v>
      </c>
      <c r="AC294" s="133">
        <f t="shared" si="124"/>
        <v>0</v>
      </c>
      <c r="AD294" s="142">
        <v>2</v>
      </c>
      <c r="AE294" s="141"/>
      <c r="AF294" s="121" t="s">
        <v>292</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292</v>
      </c>
      <c r="V295" s="133">
        <f t="shared" si="121"/>
        <v>0</v>
      </c>
      <c r="W295" s="133">
        <f>VLOOKUP(U295,Sheet1!$B$6:$C$45,2,FALSE)*V295</f>
        <v>0</v>
      </c>
      <c r="X295" s="141"/>
      <c r="Y295" s="121" t="s">
        <v>292</v>
      </c>
      <c r="Z295" s="146">
        <f>VLOOKUP(Takeoffs!Y295,Sheet1!$B$6:$C$124,2,FALSE)</f>
        <v>0</v>
      </c>
      <c r="AA295" s="146">
        <f t="shared" si="122"/>
        <v>0</v>
      </c>
      <c r="AB295" s="143">
        <f t="shared" si="123"/>
        <v>0</v>
      </c>
      <c r="AC295" s="133">
        <f t="shared" si="124"/>
        <v>0</v>
      </c>
      <c r="AD295" s="142">
        <v>1</v>
      </c>
      <c r="AE295" s="141"/>
      <c r="AF295" s="121" t="s">
        <v>292</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364</v>
      </c>
      <c r="V296" s="133">
        <f t="shared" si="121"/>
        <v>0</v>
      </c>
      <c r="W296" s="133">
        <f>VLOOKUP(U296,Sheet1!$B$6:$C$45,2,FALSE)*V296</f>
        <v>0</v>
      </c>
      <c r="X296" s="141"/>
      <c r="Y296" s="121" t="s">
        <v>292</v>
      </c>
      <c r="Z296" s="146">
        <f>VLOOKUP(Takeoffs!Y296,Sheet1!$B$6:$C$124,2,FALSE)</f>
        <v>0</v>
      </c>
      <c r="AA296" s="146">
        <f t="shared" si="122"/>
        <v>0</v>
      </c>
      <c r="AB296" s="143">
        <f t="shared" si="123"/>
        <v>0</v>
      </c>
      <c r="AC296" s="133">
        <f t="shared" si="124"/>
        <v>0</v>
      </c>
      <c r="AD296" s="142">
        <v>1</v>
      </c>
      <c r="AE296" s="141"/>
      <c r="AF296" s="121" t="s">
        <v>292</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312</v>
      </c>
      <c r="P297" s="121"/>
      <c r="Q297" s="121"/>
      <c r="R297" s="121"/>
      <c r="S297" s="133">
        <f>M284</f>
        <v>0</v>
      </c>
      <c r="T297" s="120"/>
      <c r="U297" s="121" t="s">
        <v>232</v>
      </c>
      <c r="V297" s="133">
        <f t="shared" si="121"/>
        <v>0</v>
      </c>
      <c r="W297" s="133">
        <f>VLOOKUP(U297,Sheet1!$B$6:$C$45,2,FALSE)*V297</f>
        <v>0</v>
      </c>
      <c r="X297" s="141"/>
      <c r="Y297" s="122" t="s">
        <v>1344</v>
      </c>
      <c r="Z297" s="146">
        <f>VLOOKUP(Takeoffs!Y297,Sheet1!$B$6:$C$124,2,FALSE)</f>
        <v>109.25999999999999</v>
      </c>
      <c r="AA297" s="146">
        <f t="shared" si="122"/>
        <v>0</v>
      </c>
      <c r="AB297" s="143">
        <f t="shared" si="123"/>
        <v>0</v>
      </c>
      <c r="AC297" s="133">
        <f t="shared" si="124"/>
        <v>0</v>
      </c>
      <c r="AD297" s="142">
        <v>1</v>
      </c>
      <c r="AE297" s="141"/>
      <c r="AF297" s="121" t="s">
        <v>292</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313</v>
      </c>
      <c r="P298" s="121"/>
      <c r="Q298" s="121"/>
      <c r="R298" s="121"/>
      <c r="S298" s="133">
        <f>M284</f>
        <v>0</v>
      </c>
      <c r="T298" s="120"/>
      <c r="U298" s="121" t="s">
        <v>363</v>
      </c>
      <c r="V298" s="133">
        <f t="shared" si="121"/>
        <v>0</v>
      </c>
      <c r="W298" s="133">
        <f>VLOOKUP(U298,Sheet1!$B$6:$C$45,2,FALSE)*V298</f>
        <v>0</v>
      </c>
      <c r="X298" s="141"/>
      <c r="Y298" s="122" t="s">
        <v>321</v>
      </c>
      <c r="Z298" s="146">
        <f>VLOOKUP(Takeoffs!Y298,Sheet1!$B$6:$C$124,2,FALSE)</f>
        <v>60</v>
      </c>
      <c r="AA298" s="146">
        <f t="shared" si="122"/>
        <v>0</v>
      </c>
      <c r="AB298" s="143">
        <f t="shared" si="123"/>
        <v>0</v>
      </c>
      <c r="AC298" s="133">
        <f t="shared" si="124"/>
        <v>0</v>
      </c>
      <c r="AD298" s="142">
        <v>1</v>
      </c>
      <c r="AE298" s="141"/>
      <c r="AF298" s="121" t="s">
        <v>292</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314</v>
      </c>
      <c r="P299" s="121"/>
      <c r="Q299" s="121"/>
      <c r="R299" s="121" t="s">
        <v>455</v>
      </c>
      <c r="S299" s="133">
        <f>M284</f>
        <v>0</v>
      </c>
      <c r="T299" s="120"/>
      <c r="U299" s="121" t="s">
        <v>292</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292</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315</v>
      </c>
      <c r="P300" s="121"/>
      <c r="Q300" s="121"/>
      <c r="R300" s="121"/>
      <c r="S300" s="133">
        <f>M284</f>
        <v>0</v>
      </c>
      <c r="T300" s="120"/>
      <c r="U300" s="121" t="s">
        <v>292</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292</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329</v>
      </c>
      <c r="P301" s="121"/>
      <c r="Q301" s="121"/>
      <c r="R301" s="121" t="s">
        <v>304</v>
      </c>
      <c r="S301" s="133">
        <f>M284</f>
        <v>0</v>
      </c>
      <c r="T301" s="120"/>
      <c r="U301" s="121" t="s">
        <v>292</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292</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292</v>
      </c>
      <c r="V302" s="133">
        <f t="shared" si="121"/>
        <v>0</v>
      </c>
      <c r="W302" s="133">
        <f>VLOOKUP(U302,Sheet1!$B$6:$C$45,2,FALSE)*V302</f>
        <v>0</v>
      </c>
      <c r="X302" s="141"/>
      <c r="Y302" s="121" t="s">
        <v>292</v>
      </c>
      <c r="Z302" s="146">
        <f>VLOOKUP(Takeoffs!Y302,Sheet1!$B$6:$C$124,2,FALSE)</f>
        <v>0</v>
      </c>
      <c r="AA302" s="146">
        <f t="shared" si="122"/>
        <v>0</v>
      </c>
      <c r="AB302" s="143">
        <f t="shared" si="123"/>
        <v>0</v>
      </c>
      <c r="AC302" s="133">
        <f t="shared" si="124"/>
        <v>0</v>
      </c>
      <c r="AD302" s="142">
        <v>1</v>
      </c>
      <c r="AE302" s="141"/>
      <c r="AF302" s="121" t="s">
        <v>292</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708</v>
      </c>
      <c r="P303" s="121" t="s">
        <v>380</v>
      </c>
      <c r="Q303" s="121" t="s">
        <v>384</v>
      </c>
      <c r="R303" s="121"/>
      <c r="S303" s="133">
        <f>M284</f>
        <v>0</v>
      </c>
      <c r="T303" s="120"/>
      <c r="U303" s="121" t="s">
        <v>292</v>
      </c>
      <c r="V303" s="133">
        <f t="shared" si="121"/>
        <v>0</v>
      </c>
      <c r="W303" s="133">
        <f>VLOOKUP(U303,Sheet1!$B$6:$C$45,2,FALSE)*V303</f>
        <v>0</v>
      </c>
      <c r="X303" s="141"/>
      <c r="Y303" s="122" t="s">
        <v>322</v>
      </c>
      <c r="Z303" s="146">
        <f>VLOOKUP(Takeoffs!Y303,Sheet1!$B$6:$C$124,2,FALSE)</f>
        <v>48</v>
      </c>
      <c r="AA303" s="146">
        <f t="shared" si="122"/>
        <v>0</v>
      </c>
      <c r="AB303" s="143">
        <f t="shared" si="123"/>
        <v>0</v>
      </c>
      <c r="AC303" s="133">
        <f t="shared" si="124"/>
        <v>0</v>
      </c>
      <c r="AD303" s="142">
        <v>1</v>
      </c>
      <c r="AE303" s="141"/>
      <c r="AF303" s="121" t="s">
        <v>292</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408</v>
      </c>
      <c r="P304" s="121"/>
      <c r="Q304" s="121"/>
      <c r="R304" s="121"/>
      <c r="S304" s="133">
        <f>M284</f>
        <v>0</v>
      </c>
      <c r="T304" s="120"/>
      <c r="U304" s="121" t="s">
        <v>364</v>
      </c>
      <c r="V304" s="133">
        <f t="shared" si="121"/>
        <v>0</v>
      </c>
      <c r="W304" s="133">
        <f>VLOOKUP(U304,Sheet1!$B$6:$C$45,2,FALSE)*V304</f>
        <v>0</v>
      </c>
      <c r="X304" s="141"/>
      <c r="Y304" s="121" t="s">
        <v>292</v>
      </c>
      <c r="Z304" s="146">
        <f>VLOOKUP(Takeoffs!Y304,Sheet1!$B$6:$C$124,2,FALSE)</f>
        <v>0</v>
      </c>
      <c r="AA304" s="146">
        <f t="shared" si="122"/>
        <v>0</v>
      </c>
      <c r="AB304" s="143">
        <f t="shared" si="123"/>
        <v>0</v>
      </c>
      <c r="AC304" s="133">
        <f t="shared" si="124"/>
        <v>0</v>
      </c>
      <c r="AD304" s="142">
        <v>1</v>
      </c>
      <c r="AE304" s="141"/>
      <c r="AF304" s="121" t="s">
        <v>292</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377</v>
      </c>
      <c r="L305" s="128" t="s">
        <v>378</v>
      </c>
      <c r="N305" s="129"/>
      <c r="O305" s="130" t="s">
        <v>357</v>
      </c>
      <c r="P305" s="131">
        <f>V305+AA305+AH305</f>
        <v>0</v>
      </c>
      <c r="Q305" s="131"/>
      <c r="R305" s="131"/>
      <c r="S305" s="130"/>
      <c r="T305" s="127"/>
      <c r="U305" s="126" t="s">
        <v>351</v>
      </c>
      <c r="V305" s="127">
        <f>W305*80</f>
        <v>0</v>
      </c>
      <c r="W305" s="147">
        <f>SUM(W284:W304)</f>
        <v>0</v>
      </c>
      <c r="X305" s="148"/>
      <c r="Y305" s="127" t="s">
        <v>352</v>
      </c>
      <c r="Z305" s="116"/>
      <c r="AA305" s="116">
        <f>SUM(AA284:AA304)</f>
        <v>0</v>
      </c>
      <c r="AB305" s="149"/>
      <c r="AC305" s="149"/>
      <c r="AD305" s="149"/>
      <c r="AE305" s="149"/>
      <c r="AF305" s="127" t="s">
        <v>356</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hidden="1" x14ac:dyDescent="0.8">
      <c r="A306" s="262">
        <f>ROW()</f>
        <v>306</v>
      </c>
      <c r="B306" s="234" t="s">
        <v>491</v>
      </c>
      <c r="C306" s="217" t="str">
        <f>N284</f>
        <v>carpark fan ( excluding controls)</v>
      </c>
      <c r="D306" s="260" t="s">
        <v>677</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367</v>
      </c>
      <c r="N306" s="160" t="str">
        <f>N284</f>
        <v>carpark fan ( excluding controls)</v>
      </c>
      <c r="O306" s="160" t="s">
        <v>365</v>
      </c>
      <c r="P306" s="64" t="e">
        <f>P305/M284</f>
        <v>#DIV/0!</v>
      </c>
      <c r="Q306" s="161"/>
      <c r="R306" s="161"/>
      <c r="S306" s="160"/>
      <c r="T306" s="161"/>
      <c r="U306" s="571" t="s">
        <v>366</v>
      </c>
      <c r="V306" s="571"/>
      <c r="W306" s="162" t="e">
        <f>W305/M284</f>
        <v>#DIV/0!</v>
      </c>
      <c r="X306" s="163"/>
      <c r="Y306" s="570" t="s">
        <v>365</v>
      </c>
      <c r="Z306" s="570"/>
      <c r="AA306" s="164" t="e">
        <f>AA305/M284</f>
        <v>#DIV/0!</v>
      </c>
      <c r="AB306" s="161"/>
      <c r="AC306" s="161"/>
      <c r="AD306" s="161"/>
      <c r="AE306" s="161"/>
      <c r="AF306" s="570" t="s">
        <v>365</v>
      </c>
      <c r="AG306" s="570"/>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452</v>
      </c>
      <c r="M307" s="2" t="s">
        <v>107</v>
      </c>
      <c r="N307" s="2" t="s">
        <v>108</v>
      </c>
      <c r="O307" s="97" t="s">
        <v>386</v>
      </c>
      <c r="P307" s="572" t="s">
        <v>375</v>
      </c>
      <c r="Q307" s="572"/>
      <c r="R307" s="101" t="s">
        <v>452</v>
      </c>
      <c r="S307" s="2" t="s">
        <v>0</v>
      </c>
      <c r="T307" s="9"/>
      <c r="U307" s="2" t="s">
        <v>287</v>
      </c>
      <c r="V307" s="2" t="s">
        <v>288</v>
      </c>
      <c r="W307" s="2" t="s">
        <v>291</v>
      </c>
      <c r="X307" s="58"/>
      <c r="Y307" s="2" t="s">
        <v>289</v>
      </c>
      <c r="Z307" s="2" t="s">
        <v>354</v>
      </c>
      <c r="AA307" s="2" t="s">
        <v>355</v>
      </c>
      <c r="AB307" s="2" t="s">
        <v>317</v>
      </c>
      <c r="AC307" s="2" t="s">
        <v>318</v>
      </c>
      <c r="AD307" s="2" t="s">
        <v>316</v>
      </c>
      <c r="AE307" s="58"/>
      <c r="AF307" s="2" t="s">
        <v>293</v>
      </c>
      <c r="AG307" s="2" t="s">
        <v>354</v>
      </c>
      <c r="AH307" s="2" t="s">
        <v>355</v>
      </c>
      <c r="AI307" s="2" t="s">
        <v>296</v>
      </c>
      <c r="AJ307" s="2" t="s">
        <v>294</v>
      </c>
      <c r="AK307" s="2" t="s">
        <v>295</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442</v>
      </c>
      <c r="O308" s="12" t="s">
        <v>347</v>
      </c>
      <c r="P308" s="96" t="s">
        <v>379</v>
      </c>
      <c r="Q308" s="96" t="s">
        <v>375</v>
      </c>
      <c r="R308" s="96"/>
      <c r="S308" s="28">
        <f>M308</f>
        <v>0</v>
      </c>
      <c r="T308" s="10"/>
      <c r="U308" s="12" t="s">
        <v>292</v>
      </c>
      <c r="V308" s="28">
        <f>S308</f>
        <v>0</v>
      </c>
      <c r="W308" s="28">
        <f>VLOOKUP(U308,Sheet1!$B$6:$C$45,2,FALSE)*V308</f>
        <v>0</v>
      </c>
      <c r="X308" s="59"/>
      <c r="Y308" s="12" t="s">
        <v>292</v>
      </c>
      <c r="Z308" s="68">
        <f>VLOOKUP(Takeoffs!Y308,Sheet1!$B$6:$C$124,2,FALSE)</f>
        <v>0</v>
      </c>
      <c r="AA308" s="68">
        <f>Z308*AB308</f>
        <v>0</v>
      </c>
      <c r="AB308" s="63">
        <f>AD308*AC308</f>
        <v>0</v>
      </c>
      <c r="AC308" s="28">
        <f>S308</f>
        <v>0</v>
      </c>
      <c r="AD308" s="61">
        <v>1</v>
      </c>
      <c r="AE308" s="59"/>
      <c r="AF308" s="12" t="s">
        <v>292</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340</v>
      </c>
      <c r="P309" s="12"/>
      <c r="Q309" s="66"/>
      <c r="R309" s="12"/>
      <c r="S309" s="28">
        <f>M308</f>
        <v>0</v>
      </c>
      <c r="T309" s="11"/>
      <c r="U309" s="12" t="s">
        <v>233</v>
      </c>
      <c r="V309" s="28">
        <f t="shared" ref="V309:V328" si="130">S309</f>
        <v>0</v>
      </c>
      <c r="W309" s="28">
        <f>VLOOKUP(U309,Sheet1!$B$6:$C$45,2,FALSE)*V309</f>
        <v>0</v>
      </c>
      <c r="X309" s="59"/>
      <c r="Y309" s="12" t="s">
        <v>292</v>
      </c>
      <c r="Z309" s="68">
        <f>VLOOKUP(Takeoffs!Y309,Sheet1!$B$6:$C$124,2,FALSE)</f>
        <v>0</v>
      </c>
      <c r="AA309" s="68">
        <f t="shared" ref="AA309:AA328" si="131">Z309*AB309</f>
        <v>0</v>
      </c>
      <c r="AB309" s="63">
        <f t="shared" ref="AB309:AB328" si="132">AD309*AC309</f>
        <v>0</v>
      </c>
      <c r="AC309" s="28">
        <f>S309</f>
        <v>0</v>
      </c>
      <c r="AD309" s="61">
        <v>1</v>
      </c>
      <c r="AE309" s="59"/>
      <c r="AF309" s="12" t="s">
        <v>292</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441</v>
      </c>
      <c r="P310" s="12" t="s">
        <v>420</v>
      </c>
      <c r="Q310" s="66" t="s">
        <v>443</v>
      </c>
      <c r="R310" s="12"/>
      <c r="S310" s="28">
        <f>M308</f>
        <v>0</v>
      </c>
      <c r="T310" s="11"/>
      <c r="U310" s="12" t="s">
        <v>361</v>
      </c>
      <c r="V310" s="28">
        <f t="shared" si="130"/>
        <v>0</v>
      </c>
      <c r="W310" s="28">
        <f>VLOOKUP(U310,Sheet1!$B$6:$C$45,2,FALSE)*V310</f>
        <v>0</v>
      </c>
      <c r="X310" s="59"/>
      <c r="Y310" s="12" t="s">
        <v>292</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406</v>
      </c>
      <c r="P311" s="12"/>
      <c r="Q311" s="66"/>
      <c r="R311" s="12"/>
      <c r="S311" s="28">
        <f>M308</f>
        <v>0</v>
      </c>
      <c r="T311" s="11"/>
      <c r="U311" s="12" t="s">
        <v>292</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292</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292</v>
      </c>
      <c r="V312" s="28">
        <f t="shared" si="130"/>
        <v>0</v>
      </c>
      <c r="W312" s="28">
        <f>VLOOKUP(U312,Sheet1!$B$6:$C$45,2,FALSE)*V312</f>
        <v>0</v>
      </c>
      <c r="X312" s="59"/>
      <c r="Y312" s="12" t="s">
        <v>292</v>
      </c>
      <c r="Z312" s="68">
        <f>VLOOKUP(Takeoffs!Y312,Sheet1!$B$6:$C$124,2,FALSE)</f>
        <v>0</v>
      </c>
      <c r="AA312" s="68">
        <f t="shared" si="131"/>
        <v>0</v>
      </c>
      <c r="AB312" s="63">
        <f t="shared" si="132"/>
        <v>0</v>
      </c>
      <c r="AC312" s="28">
        <f t="shared" si="138"/>
        <v>0</v>
      </c>
      <c r="AD312" s="61">
        <v>1</v>
      </c>
      <c r="AE312" s="59"/>
      <c r="AF312" s="12" t="s">
        <v>292</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292</v>
      </c>
      <c r="V313" s="28">
        <f t="shared" si="130"/>
        <v>0</v>
      </c>
      <c r="W313" s="28">
        <f>VLOOKUP(U313,Sheet1!$B$6:$C$45,2,FALSE)*V313</f>
        <v>0</v>
      </c>
      <c r="X313" s="59"/>
      <c r="Y313" s="12" t="s">
        <v>292</v>
      </c>
      <c r="Z313" s="68">
        <f>VLOOKUP(Takeoffs!Y313,Sheet1!$B$6:$C$124,2,FALSE)</f>
        <v>0</v>
      </c>
      <c r="AA313" s="68">
        <f t="shared" si="131"/>
        <v>0</v>
      </c>
      <c r="AB313" s="63">
        <f t="shared" si="132"/>
        <v>0</v>
      </c>
      <c r="AC313" s="28">
        <f t="shared" si="138"/>
        <v>0</v>
      </c>
      <c r="AD313" s="61">
        <v>1</v>
      </c>
      <c r="AE313" s="59"/>
      <c r="AF313" s="12" t="s">
        <v>292</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292</v>
      </c>
      <c r="V314" s="28">
        <f t="shared" si="130"/>
        <v>0</v>
      </c>
      <c r="W314" s="28">
        <f>VLOOKUP(U314,Sheet1!$B$6:$C$45,2,FALSE)*V314</f>
        <v>0</v>
      </c>
      <c r="X314" s="59"/>
      <c r="Y314" s="12" t="s">
        <v>292</v>
      </c>
      <c r="Z314" s="68">
        <f>VLOOKUP(Takeoffs!Y314,Sheet1!$B$6:$C$124,2,FALSE)</f>
        <v>0</v>
      </c>
      <c r="AA314" s="68">
        <f t="shared" si="131"/>
        <v>0</v>
      </c>
      <c r="AB314" s="63">
        <f t="shared" si="132"/>
        <v>0</v>
      </c>
      <c r="AC314" s="28">
        <f t="shared" si="138"/>
        <v>0</v>
      </c>
      <c r="AD314" s="61">
        <v>1</v>
      </c>
      <c r="AE314" s="59"/>
      <c r="AF314" s="12" t="s">
        <v>292</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292</v>
      </c>
      <c r="V315" s="28">
        <f t="shared" si="130"/>
        <v>0</v>
      </c>
      <c r="W315" s="28">
        <f>VLOOKUP(U315,Sheet1!$B$6:$C$45,2,FALSE)*V315</f>
        <v>0</v>
      </c>
      <c r="X315" s="59"/>
      <c r="Y315" s="12" t="s">
        <v>292</v>
      </c>
      <c r="Z315" s="68">
        <f>VLOOKUP(Takeoffs!Y315,Sheet1!$B$6:$C$124,2,FALSE)</f>
        <v>0</v>
      </c>
      <c r="AA315" s="68">
        <f t="shared" si="131"/>
        <v>0</v>
      </c>
      <c r="AB315" s="63">
        <f t="shared" si="132"/>
        <v>0</v>
      </c>
      <c r="AC315" s="28">
        <f t="shared" si="138"/>
        <v>0</v>
      </c>
      <c r="AD315" s="61">
        <v>1</v>
      </c>
      <c r="AE315" s="59"/>
      <c r="AF315" s="12" t="s">
        <v>292</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328</v>
      </c>
      <c r="P316" s="12"/>
      <c r="Q316" s="66"/>
      <c r="R316" s="12"/>
      <c r="S316" s="28">
        <f>M308</f>
        <v>0</v>
      </c>
      <c r="T316" s="11"/>
      <c r="U316" s="12" t="s">
        <v>242</v>
      </c>
      <c r="V316" s="28">
        <f t="shared" si="130"/>
        <v>0</v>
      </c>
      <c r="W316" s="28">
        <f>VLOOKUP(U316,Sheet1!$B$6:$C$45,2,FALSE)*V316</f>
        <v>0</v>
      </c>
      <c r="X316" s="59"/>
      <c r="Y316" s="12" t="s">
        <v>292</v>
      </c>
      <c r="Z316" s="68">
        <f>VLOOKUP(Takeoffs!Y316,Sheet1!$B$6:$C$124,2,FALSE)</f>
        <v>0</v>
      </c>
      <c r="AA316" s="68">
        <f t="shared" si="131"/>
        <v>0</v>
      </c>
      <c r="AB316" s="63">
        <f t="shared" si="132"/>
        <v>0</v>
      </c>
      <c r="AC316" s="28">
        <f t="shared" si="138"/>
        <v>0</v>
      </c>
      <c r="AD316" s="61">
        <v>1</v>
      </c>
      <c r="AE316" s="59"/>
      <c r="AF316" s="12" t="s">
        <v>292</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341</v>
      </c>
      <c r="P317" s="12"/>
      <c r="Q317" s="66"/>
      <c r="R317" s="12" t="s">
        <v>453</v>
      </c>
      <c r="S317" s="28">
        <f>M308</f>
        <v>0</v>
      </c>
      <c r="T317" s="11"/>
      <c r="U317" s="12" t="s">
        <v>292</v>
      </c>
      <c r="V317" s="28">
        <f t="shared" si="130"/>
        <v>0</v>
      </c>
      <c r="W317" s="28">
        <f>VLOOKUP(U317,Sheet1!$B$6:$C$45,2,FALSE)*V317</f>
        <v>0</v>
      </c>
      <c r="X317" s="59"/>
      <c r="Y317" s="12" t="s">
        <v>292</v>
      </c>
      <c r="Z317" s="68">
        <f>VLOOKUP(Takeoffs!Y317,Sheet1!$B$6:$C$124,2,FALSE)</f>
        <v>0</v>
      </c>
      <c r="AA317" s="68">
        <f t="shared" si="131"/>
        <v>0</v>
      </c>
      <c r="AB317" s="63">
        <f t="shared" si="132"/>
        <v>0</v>
      </c>
      <c r="AC317" s="28">
        <f t="shared" si="138"/>
        <v>0</v>
      </c>
      <c r="AD317" s="61">
        <v>1</v>
      </c>
      <c r="AE317" s="59"/>
      <c r="AF317" s="12" t="s">
        <v>292</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336</v>
      </c>
      <c r="P318" s="12"/>
      <c r="Q318" s="66"/>
      <c r="R318" s="12"/>
      <c r="S318" s="28">
        <f>M308</f>
        <v>0</v>
      </c>
      <c r="T318" s="11"/>
      <c r="U318" s="12" t="s">
        <v>363</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292</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342</v>
      </c>
      <c r="P319" s="12"/>
      <c r="Q319" s="66"/>
      <c r="R319" s="12"/>
      <c r="S319" s="28">
        <f>M308</f>
        <v>0</v>
      </c>
      <c r="T319" s="11"/>
      <c r="U319" s="12" t="s">
        <v>363</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292</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292</v>
      </c>
      <c r="V320" s="28">
        <f t="shared" si="130"/>
        <v>0</v>
      </c>
      <c r="W320" s="28">
        <f>VLOOKUP(U320,Sheet1!$B$6:$C$45,2,FALSE)*V320</f>
        <v>0</v>
      </c>
      <c r="X320" s="59"/>
      <c r="Y320" s="12" t="s">
        <v>292</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312</v>
      </c>
      <c r="P321" s="12"/>
      <c r="Q321" s="66"/>
      <c r="R321" s="12"/>
      <c r="S321" s="28">
        <f>M308</f>
        <v>0</v>
      </c>
      <c r="T321" s="11"/>
      <c r="U321" s="12" t="s">
        <v>232</v>
      </c>
      <c r="V321" s="28">
        <f t="shared" si="130"/>
        <v>0</v>
      </c>
      <c r="W321" s="28">
        <f>VLOOKUP(U321,Sheet1!$B$6:$C$45,2,FALSE)*V321</f>
        <v>0</v>
      </c>
      <c r="X321" s="59"/>
      <c r="Y321" s="13" t="s">
        <v>1344</v>
      </c>
      <c r="Z321" s="68">
        <f>VLOOKUP(Takeoffs!Y321,Sheet1!$B$6:$C$124,2,FALSE)</f>
        <v>109.25999999999999</v>
      </c>
      <c r="AA321" s="68">
        <f t="shared" si="131"/>
        <v>0</v>
      </c>
      <c r="AB321" s="63">
        <f t="shared" si="132"/>
        <v>0</v>
      </c>
      <c r="AC321" s="28">
        <f t="shared" si="138"/>
        <v>0</v>
      </c>
      <c r="AD321" s="61">
        <v>3</v>
      </c>
      <c r="AE321" s="59"/>
      <c r="AF321" s="12" t="s">
        <v>292</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330</v>
      </c>
      <c r="P322" s="12"/>
      <c r="Q322" s="66"/>
      <c r="R322" s="12"/>
      <c r="S322" s="28">
        <f>M308</f>
        <v>0</v>
      </c>
      <c r="T322" s="11"/>
      <c r="U322" s="12" t="s">
        <v>292</v>
      </c>
      <c r="V322" s="28">
        <f t="shared" si="130"/>
        <v>0</v>
      </c>
      <c r="W322" s="28">
        <f>VLOOKUP(U322,Sheet1!$B$6:$C$45,2,FALSE)*V322</f>
        <v>0</v>
      </c>
      <c r="X322" s="59"/>
      <c r="Y322" s="13" t="s">
        <v>321</v>
      </c>
      <c r="Z322" s="68">
        <f>VLOOKUP(Takeoffs!Y322,Sheet1!$B$6:$C$124,2,FALSE)</f>
        <v>60</v>
      </c>
      <c r="AA322" s="68">
        <f t="shared" si="131"/>
        <v>0</v>
      </c>
      <c r="AB322" s="63">
        <f t="shared" si="132"/>
        <v>0</v>
      </c>
      <c r="AC322" s="28">
        <f t="shared" si="138"/>
        <v>0</v>
      </c>
      <c r="AD322" s="61">
        <v>1</v>
      </c>
      <c r="AE322" s="59"/>
      <c r="AF322" s="12" t="s">
        <v>292</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337</v>
      </c>
      <c r="P323" s="12"/>
      <c r="Q323" s="66"/>
      <c r="R323" s="12" t="s">
        <v>331</v>
      </c>
      <c r="S323" s="28">
        <f>M308</f>
        <v>0</v>
      </c>
      <c r="T323" s="11"/>
      <c r="U323" s="12" t="s">
        <v>292</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292</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343</v>
      </c>
      <c r="P324" s="12"/>
      <c r="Q324" s="66"/>
      <c r="R324" s="12"/>
      <c r="S324" s="28">
        <f>M308</f>
        <v>0</v>
      </c>
      <c r="T324" s="11"/>
      <c r="U324" s="12" t="s">
        <v>363</v>
      </c>
      <c r="V324" s="28">
        <f t="shared" si="130"/>
        <v>0</v>
      </c>
      <c r="W324" s="28">
        <f>3*M308</f>
        <v>0</v>
      </c>
      <c r="X324" s="59"/>
      <c r="Y324" s="13" t="s">
        <v>332</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329</v>
      </c>
      <c r="P325" s="12"/>
      <c r="Q325" s="66"/>
      <c r="R325" s="12" t="s">
        <v>304</v>
      </c>
      <c r="S325" s="28">
        <f>M308</f>
        <v>0</v>
      </c>
      <c r="T325" s="11"/>
      <c r="U325" s="12" t="s">
        <v>292</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292</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338</v>
      </c>
      <c r="P326" s="12"/>
      <c r="Q326" s="66"/>
      <c r="R326" s="12"/>
      <c r="S326" s="28">
        <f>M308</f>
        <v>0</v>
      </c>
      <c r="T326" s="11"/>
      <c r="U326" s="12" t="s">
        <v>292</v>
      </c>
      <c r="V326" s="28">
        <f t="shared" si="130"/>
        <v>0</v>
      </c>
      <c r="W326" s="28">
        <f>VLOOKUP(U326,Sheet1!$B$6:$C$45,2,FALSE)*V326</f>
        <v>0</v>
      </c>
      <c r="X326" s="59"/>
      <c r="Y326" s="13" t="s">
        <v>333</v>
      </c>
      <c r="Z326" s="68">
        <f>VLOOKUP(Takeoffs!Y326,Sheet1!$B$6:$C$124,2,FALSE)</f>
        <v>60</v>
      </c>
      <c r="AA326" s="68">
        <f t="shared" si="131"/>
        <v>0</v>
      </c>
      <c r="AB326" s="63">
        <f t="shared" si="132"/>
        <v>0</v>
      </c>
      <c r="AC326" s="28">
        <f t="shared" si="138"/>
        <v>0</v>
      </c>
      <c r="AD326" s="61">
        <v>1</v>
      </c>
      <c r="AE326" s="59"/>
      <c r="AF326" s="12" t="s">
        <v>292</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339</v>
      </c>
      <c r="P327" s="12"/>
      <c r="Q327" s="66"/>
      <c r="R327" s="12"/>
      <c r="S327" s="28">
        <f>M308</f>
        <v>0</v>
      </c>
      <c r="T327" s="11"/>
      <c r="U327" s="12" t="s">
        <v>292</v>
      </c>
      <c r="V327" s="28">
        <f t="shared" si="130"/>
        <v>0</v>
      </c>
      <c r="W327" s="28">
        <f>VLOOKUP(U327,Sheet1!$B$6:$C$45,2,FALSE)*V327</f>
        <v>0</v>
      </c>
      <c r="X327" s="59"/>
      <c r="Y327" s="13" t="s">
        <v>334</v>
      </c>
      <c r="Z327" s="68">
        <f>VLOOKUP(Takeoffs!Y327,Sheet1!$B$6:$C$124,2,FALSE)</f>
        <v>56.4</v>
      </c>
      <c r="AA327" s="68">
        <f t="shared" si="131"/>
        <v>0</v>
      </c>
      <c r="AB327" s="63">
        <f t="shared" si="132"/>
        <v>0</v>
      </c>
      <c r="AC327" s="28">
        <f t="shared" si="138"/>
        <v>0</v>
      </c>
      <c r="AD327" s="61">
        <v>1</v>
      </c>
      <c r="AE327" s="59"/>
      <c r="AF327" s="12" t="s">
        <v>292</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408</v>
      </c>
      <c r="P328" s="12"/>
      <c r="Q328" s="66"/>
      <c r="R328" s="12"/>
      <c r="S328" s="28">
        <f>M308</f>
        <v>0</v>
      </c>
      <c r="T328" s="11"/>
      <c r="U328" s="12" t="s">
        <v>362</v>
      </c>
      <c r="V328" s="28">
        <f t="shared" si="130"/>
        <v>0</v>
      </c>
      <c r="W328" s="28">
        <f>VLOOKUP(U328,Sheet1!$B$6:$C$45,2,FALSE)*V328</f>
        <v>0</v>
      </c>
      <c r="X328" s="59"/>
      <c r="Y328" s="12" t="s">
        <v>292</v>
      </c>
      <c r="Z328" s="68">
        <f>VLOOKUP(Takeoffs!Y328,Sheet1!$B$6:$C$124,2,FALSE)</f>
        <v>0</v>
      </c>
      <c r="AA328" s="68">
        <f t="shared" si="131"/>
        <v>0</v>
      </c>
      <c r="AB328" s="63">
        <f t="shared" si="132"/>
        <v>0</v>
      </c>
      <c r="AC328" s="28">
        <f t="shared" si="138"/>
        <v>0</v>
      </c>
      <c r="AD328" s="61">
        <v>1</v>
      </c>
      <c r="AE328" s="59"/>
      <c r="AF328" s="12" t="s">
        <v>292</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377</v>
      </c>
      <c r="L329" s="21" t="s">
        <v>378</v>
      </c>
      <c r="N329" s="22"/>
      <c r="O329" s="23" t="s">
        <v>357</v>
      </c>
      <c r="P329" s="98">
        <f>V329+AA329+AH329</f>
        <v>0</v>
      </c>
      <c r="Q329" s="65"/>
      <c r="R329" s="65"/>
      <c r="S329" s="23"/>
      <c r="T329" s="20"/>
      <c r="U329" s="19" t="s">
        <v>351</v>
      </c>
      <c r="V329" s="20">
        <f>W329*80</f>
        <v>0</v>
      </c>
      <c r="W329" s="69">
        <f>SUM(W308:W328)</f>
        <v>0</v>
      </c>
      <c r="X329" s="70"/>
      <c r="Y329" s="20" t="s">
        <v>352</v>
      </c>
      <c r="Z329" s="2"/>
      <c r="AA329" s="2">
        <f>SUM(AA308:AA328)</f>
        <v>0</v>
      </c>
      <c r="AB329" s="71"/>
      <c r="AC329" s="71"/>
      <c r="AD329" s="71"/>
      <c r="AE329" s="71"/>
      <c r="AF329" s="20" t="s">
        <v>356</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hidden="1" x14ac:dyDescent="0.8">
      <c r="A330" s="262">
        <f>ROW()</f>
        <v>330</v>
      </c>
      <c r="B330" s="234" t="s">
        <v>491</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367</v>
      </c>
      <c r="N330" s="83" t="str">
        <f>N308</f>
        <v>substation ventilation system (Including temperature control and alarm) - From local power supply</v>
      </c>
      <c r="O330" s="83" t="s">
        <v>365</v>
      </c>
      <c r="P330" s="84" t="e">
        <f>P329/M308</f>
        <v>#DIV/0!</v>
      </c>
      <c r="Q330" s="84"/>
      <c r="R330" s="84"/>
      <c r="S330" s="83"/>
      <c r="T330" s="84"/>
      <c r="U330" s="571" t="s">
        <v>366</v>
      </c>
      <c r="V330" s="571"/>
      <c r="W330" s="85" t="e">
        <f>W329/M308</f>
        <v>#DIV/0!</v>
      </c>
      <c r="X330" s="86"/>
      <c r="Y330" s="570" t="s">
        <v>365</v>
      </c>
      <c r="Z330" s="570"/>
      <c r="AA330" s="87" t="e">
        <f>AA329/M308</f>
        <v>#DIV/0!</v>
      </c>
      <c r="AB330" s="84"/>
      <c r="AC330" s="84"/>
      <c r="AD330" s="84"/>
      <c r="AE330" s="84"/>
      <c r="AF330" s="570" t="s">
        <v>365</v>
      </c>
      <c r="AG330" s="570"/>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452</v>
      </c>
      <c r="M331" s="116" t="s">
        <v>107</v>
      </c>
      <c r="N331" s="116" t="s">
        <v>108</v>
      </c>
      <c r="O331" s="170" t="s">
        <v>386</v>
      </c>
      <c r="P331" s="572" t="s">
        <v>375</v>
      </c>
      <c r="Q331" s="572"/>
      <c r="R331" s="101" t="s">
        <v>452</v>
      </c>
      <c r="S331" s="116" t="s">
        <v>0</v>
      </c>
      <c r="T331" s="118"/>
      <c r="U331" s="116" t="s">
        <v>287</v>
      </c>
      <c r="V331" s="116" t="s">
        <v>288</v>
      </c>
      <c r="W331" s="116" t="s">
        <v>291</v>
      </c>
      <c r="X331" s="140"/>
      <c r="Y331" s="116" t="s">
        <v>289</v>
      </c>
      <c r="Z331" s="116" t="s">
        <v>354</v>
      </c>
      <c r="AA331" s="116" t="s">
        <v>355</v>
      </c>
      <c r="AB331" s="116" t="s">
        <v>317</v>
      </c>
      <c r="AC331" s="116" t="s">
        <v>318</v>
      </c>
      <c r="AD331" s="116" t="s">
        <v>316</v>
      </c>
      <c r="AE331" s="140"/>
      <c r="AF331" s="116" t="s">
        <v>293</v>
      </c>
      <c r="AG331" s="116" t="s">
        <v>354</v>
      </c>
      <c r="AH331" s="116" t="s">
        <v>355</v>
      </c>
      <c r="AI331" s="116" t="s">
        <v>296</v>
      </c>
      <c r="AJ331" s="116" t="s">
        <v>294</v>
      </c>
      <c r="AK331" s="116" t="s">
        <v>295</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661</v>
      </c>
      <c r="O332" s="121" t="s">
        <v>347</v>
      </c>
      <c r="P332" s="169" t="s">
        <v>379</v>
      </c>
      <c r="Q332" s="169" t="s">
        <v>375</v>
      </c>
      <c r="R332" s="169"/>
      <c r="S332" s="133">
        <f>M332</f>
        <v>0</v>
      </c>
      <c r="T332" s="119"/>
      <c r="U332" s="121" t="s">
        <v>292</v>
      </c>
      <c r="V332" s="133">
        <f>S332</f>
        <v>0</v>
      </c>
      <c r="W332" s="133">
        <f>VLOOKUP(U332,Sheet1!$B$6:$C$45,2,FALSE)*V332</f>
        <v>0</v>
      </c>
      <c r="X332" s="141"/>
      <c r="Y332" s="121" t="s">
        <v>292</v>
      </c>
      <c r="Z332" s="146">
        <f>VLOOKUP(Takeoffs!Y332,Sheet1!$B$6:$C$124,2,FALSE)</f>
        <v>0</v>
      </c>
      <c r="AA332" s="146">
        <f>Z332*AB332</f>
        <v>0</v>
      </c>
      <c r="AB332" s="143">
        <f>AD332*AC332</f>
        <v>0</v>
      </c>
      <c r="AC332" s="133">
        <f>S332</f>
        <v>0</v>
      </c>
      <c r="AD332" s="142">
        <v>1</v>
      </c>
      <c r="AE332" s="141"/>
      <c r="AF332" s="121" t="s">
        <v>292</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340</v>
      </c>
      <c r="P333" s="121"/>
      <c r="Q333" s="66"/>
      <c r="R333" s="121"/>
      <c r="S333" s="133">
        <f>M332</f>
        <v>0</v>
      </c>
      <c r="T333" s="120"/>
      <c r="U333" s="121" t="s">
        <v>233</v>
      </c>
      <c r="V333" s="133">
        <f t="shared" ref="V333:V352" si="139">S333</f>
        <v>0</v>
      </c>
      <c r="W333" s="133">
        <f>VLOOKUP(U333,Sheet1!$B$6:$C$45,2,FALSE)*V333</f>
        <v>0</v>
      </c>
      <c r="X333" s="141"/>
      <c r="Y333" s="121" t="s">
        <v>292</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292</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590</v>
      </c>
      <c r="P334" s="121"/>
      <c r="Q334" s="66"/>
      <c r="R334" s="121"/>
      <c r="S334" s="133">
        <f>M332</f>
        <v>0</v>
      </c>
      <c r="T334" s="120"/>
      <c r="U334" s="117" t="s">
        <v>478</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406</v>
      </c>
      <c r="P335" s="121"/>
      <c r="Q335" s="66"/>
      <c r="R335" s="121"/>
      <c r="S335" s="133">
        <f>M332</f>
        <v>0</v>
      </c>
      <c r="T335" s="120"/>
      <c r="U335" s="121" t="s">
        <v>292</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292</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292</v>
      </c>
      <c r="V336" s="133">
        <f t="shared" si="139"/>
        <v>0</v>
      </c>
      <c r="W336" s="133">
        <f>VLOOKUP(U336,Sheet1!$B$6:$C$45,2,FALSE)*V336</f>
        <v>0</v>
      </c>
      <c r="X336" s="141"/>
      <c r="Y336" s="121" t="s">
        <v>292</v>
      </c>
      <c r="Z336" s="146">
        <f>VLOOKUP(Takeoffs!Y336,Sheet1!$B$6:$C$124,2,FALSE)</f>
        <v>0</v>
      </c>
      <c r="AA336" s="146">
        <f t="shared" si="140"/>
        <v>0</v>
      </c>
      <c r="AB336" s="143">
        <f t="shared" si="141"/>
        <v>0</v>
      </c>
      <c r="AC336" s="133">
        <f t="shared" si="142"/>
        <v>0</v>
      </c>
      <c r="AD336" s="142">
        <v>1</v>
      </c>
      <c r="AE336" s="141"/>
      <c r="AF336" s="121" t="s">
        <v>292</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292</v>
      </c>
      <c r="V337" s="133">
        <f t="shared" si="139"/>
        <v>0</v>
      </c>
      <c r="W337" s="133">
        <f>VLOOKUP(U337,Sheet1!$B$6:$C$45,2,FALSE)*V337</f>
        <v>0</v>
      </c>
      <c r="X337" s="141"/>
      <c r="Y337" s="121" t="s">
        <v>292</v>
      </c>
      <c r="Z337" s="146">
        <f>VLOOKUP(Takeoffs!Y337,Sheet1!$B$6:$C$124,2,FALSE)</f>
        <v>0</v>
      </c>
      <c r="AA337" s="146">
        <f t="shared" si="140"/>
        <v>0</v>
      </c>
      <c r="AB337" s="143">
        <f t="shared" si="141"/>
        <v>0</v>
      </c>
      <c r="AC337" s="133">
        <f t="shared" si="142"/>
        <v>0</v>
      </c>
      <c r="AD337" s="142">
        <v>1</v>
      </c>
      <c r="AE337" s="141"/>
      <c r="AF337" s="121" t="s">
        <v>292</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292</v>
      </c>
      <c r="V338" s="133">
        <f t="shared" si="139"/>
        <v>0</v>
      </c>
      <c r="W338" s="133">
        <f>VLOOKUP(U338,Sheet1!$B$6:$C$45,2,FALSE)*V338</f>
        <v>0</v>
      </c>
      <c r="X338" s="141"/>
      <c r="Y338" s="121" t="s">
        <v>292</v>
      </c>
      <c r="Z338" s="146">
        <f>VLOOKUP(Takeoffs!Y338,Sheet1!$B$6:$C$124,2,FALSE)</f>
        <v>0</v>
      </c>
      <c r="AA338" s="146">
        <f t="shared" si="140"/>
        <v>0</v>
      </c>
      <c r="AB338" s="143">
        <f t="shared" si="141"/>
        <v>0</v>
      </c>
      <c r="AC338" s="133">
        <f t="shared" si="142"/>
        <v>0</v>
      </c>
      <c r="AD338" s="142">
        <v>1</v>
      </c>
      <c r="AE338" s="141"/>
      <c r="AF338" s="121" t="s">
        <v>292</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292</v>
      </c>
      <c r="V339" s="133">
        <f t="shared" si="139"/>
        <v>0</v>
      </c>
      <c r="W339" s="133">
        <f>VLOOKUP(U339,Sheet1!$B$6:$C$45,2,FALSE)*V339</f>
        <v>0</v>
      </c>
      <c r="X339" s="141"/>
      <c r="Y339" s="121" t="s">
        <v>292</v>
      </c>
      <c r="Z339" s="146">
        <f>VLOOKUP(Takeoffs!Y339,Sheet1!$B$6:$C$124,2,FALSE)</f>
        <v>0</v>
      </c>
      <c r="AA339" s="146">
        <f t="shared" si="140"/>
        <v>0</v>
      </c>
      <c r="AB339" s="143">
        <f t="shared" si="141"/>
        <v>0</v>
      </c>
      <c r="AC339" s="133">
        <f t="shared" si="142"/>
        <v>0</v>
      </c>
      <c r="AD339" s="142">
        <v>1</v>
      </c>
      <c r="AE339" s="141"/>
      <c r="AF339" s="121" t="s">
        <v>292</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328</v>
      </c>
      <c r="P340" s="121"/>
      <c r="Q340" s="66"/>
      <c r="R340" s="121"/>
      <c r="S340" s="133">
        <f>M332</f>
        <v>0</v>
      </c>
      <c r="T340" s="120"/>
      <c r="U340" s="121" t="s">
        <v>242</v>
      </c>
      <c r="V340" s="133">
        <f t="shared" si="139"/>
        <v>0</v>
      </c>
      <c r="W340" s="133">
        <f>VLOOKUP(U340,Sheet1!$B$6:$C$45,2,FALSE)*V340</f>
        <v>0</v>
      </c>
      <c r="X340" s="141"/>
      <c r="Y340" s="121" t="s">
        <v>292</v>
      </c>
      <c r="Z340" s="146">
        <f>VLOOKUP(Takeoffs!Y340,Sheet1!$B$6:$C$124,2,FALSE)</f>
        <v>0</v>
      </c>
      <c r="AA340" s="146">
        <f t="shared" si="140"/>
        <v>0</v>
      </c>
      <c r="AB340" s="143">
        <f t="shared" si="141"/>
        <v>0</v>
      </c>
      <c r="AC340" s="133">
        <f t="shared" si="142"/>
        <v>0</v>
      </c>
      <c r="AD340" s="142">
        <v>1</v>
      </c>
      <c r="AE340" s="141"/>
      <c r="AF340" s="121" t="s">
        <v>292</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292</v>
      </c>
      <c r="V341" s="133">
        <f t="shared" si="139"/>
        <v>0</v>
      </c>
      <c r="W341" s="133">
        <f>VLOOKUP(U341,Sheet1!$B$6:$C$45,2,FALSE)*V341</f>
        <v>0</v>
      </c>
      <c r="X341" s="141"/>
      <c r="Y341" s="121" t="s">
        <v>292</v>
      </c>
      <c r="Z341" s="146">
        <f>VLOOKUP(Takeoffs!Y341,Sheet1!$B$6:$C$124,2,FALSE)</f>
        <v>0</v>
      </c>
      <c r="AA341" s="146">
        <f t="shared" si="140"/>
        <v>0</v>
      </c>
      <c r="AB341" s="143">
        <f t="shared" si="141"/>
        <v>0</v>
      </c>
      <c r="AC341" s="133">
        <f t="shared" si="142"/>
        <v>0</v>
      </c>
      <c r="AD341" s="142">
        <v>1</v>
      </c>
      <c r="AE341" s="141"/>
      <c r="AF341" s="121" t="s">
        <v>292</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292</v>
      </c>
      <c r="V342" s="133">
        <f t="shared" si="139"/>
        <v>0</v>
      </c>
      <c r="W342" s="133">
        <f>VLOOKUP(U342,Sheet1!$B$6:$C$45,2,FALSE)*V342</f>
        <v>0</v>
      </c>
      <c r="X342" s="141"/>
      <c r="Y342" s="121" t="s">
        <v>292</v>
      </c>
      <c r="Z342" s="146">
        <f>VLOOKUP(Takeoffs!Y342,Sheet1!$B$6:$C$124,2,FALSE)</f>
        <v>0</v>
      </c>
      <c r="AA342" s="146">
        <f t="shared" si="140"/>
        <v>0</v>
      </c>
      <c r="AB342" s="143">
        <f t="shared" si="141"/>
        <v>0</v>
      </c>
      <c r="AC342" s="133">
        <f t="shared" si="142"/>
        <v>0</v>
      </c>
      <c r="AD342" s="142">
        <v>1</v>
      </c>
      <c r="AE342" s="141"/>
      <c r="AF342" s="121" t="s">
        <v>292</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292</v>
      </c>
      <c r="V343" s="133">
        <f t="shared" si="139"/>
        <v>0</v>
      </c>
      <c r="W343" s="133">
        <f>VLOOKUP(U343,Sheet1!$B$6:$C$45,2,FALSE)*V343</f>
        <v>0</v>
      </c>
      <c r="X343" s="141"/>
      <c r="Y343" s="121" t="s">
        <v>292</v>
      </c>
      <c r="Z343" s="146">
        <f>VLOOKUP(Takeoffs!Y343,Sheet1!$B$6:$C$124,2,FALSE)</f>
        <v>0</v>
      </c>
      <c r="AA343" s="146">
        <f t="shared" si="140"/>
        <v>0</v>
      </c>
      <c r="AB343" s="143">
        <f t="shared" si="141"/>
        <v>0</v>
      </c>
      <c r="AC343" s="133">
        <f t="shared" si="142"/>
        <v>0</v>
      </c>
      <c r="AD343" s="142">
        <v>1</v>
      </c>
      <c r="AE343" s="141"/>
      <c r="AF343" s="121" t="s">
        <v>292</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292</v>
      </c>
      <c r="V344" s="133">
        <f t="shared" si="139"/>
        <v>0</v>
      </c>
      <c r="W344" s="133">
        <f>VLOOKUP(U344,Sheet1!$B$6:$C$45,2,FALSE)*V344</f>
        <v>0</v>
      </c>
      <c r="X344" s="141"/>
      <c r="Y344" s="121" t="s">
        <v>292</v>
      </c>
      <c r="Z344" s="146">
        <f>VLOOKUP(Takeoffs!Y344,Sheet1!$B$6:$C$124,2,FALSE)</f>
        <v>0</v>
      </c>
      <c r="AA344" s="146">
        <f t="shared" si="140"/>
        <v>0</v>
      </c>
      <c r="AB344" s="143">
        <f t="shared" si="141"/>
        <v>0</v>
      </c>
      <c r="AC344" s="133">
        <f t="shared" si="142"/>
        <v>0</v>
      </c>
      <c r="AD344" s="142">
        <v>1</v>
      </c>
      <c r="AE344" s="141"/>
      <c r="AF344" s="152" t="s">
        <v>418</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312</v>
      </c>
      <c r="P345" s="121"/>
      <c r="Q345" s="66"/>
      <c r="R345" s="121"/>
      <c r="S345" s="133">
        <f>M332</f>
        <v>0</v>
      </c>
      <c r="T345" s="120"/>
      <c r="U345" s="121" t="s">
        <v>232</v>
      </c>
      <c r="V345" s="133">
        <f t="shared" si="139"/>
        <v>0</v>
      </c>
      <c r="W345" s="133">
        <f>VLOOKUP(U345,Sheet1!$B$6:$C$45,2,FALSE)*V345</f>
        <v>0</v>
      </c>
      <c r="X345" s="141"/>
      <c r="Y345" s="122" t="s">
        <v>1344</v>
      </c>
      <c r="Z345" s="146">
        <f>VLOOKUP(Takeoffs!Y345,Sheet1!$B$6:$C$124,2,FALSE)</f>
        <v>109.25999999999999</v>
      </c>
      <c r="AA345" s="146">
        <f t="shared" si="140"/>
        <v>0</v>
      </c>
      <c r="AB345" s="143">
        <f t="shared" si="141"/>
        <v>0</v>
      </c>
      <c r="AC345" s="133">
        <f t="shared" si="142"/>
        <v>0</v>
      </c>
      <c r="AD345" s="142">
        <v>1</v>
      </c>
      <c r="AE345" s="141"/>
      <c r="AF345" s="121" t="s">
        <v>292</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662</v>
      </c>
      <c r="P346" s="121"/>
      <c r="Q346" s="66"/>
      <c r="R346" s="121"/>
      <c r="S346" s="133">
        <f>M332</f>
        <v>0</v>
      </c>
      <c r="T346" s="120"/>
      <c r="U346" s="121" t="s">
        <v>292</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292</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337</v>
      </c>
      <c r="P347" s="121"/>
      <c r="Q347" s="66"/>
      <c r="R347" s="121" t="s">
        <v>331</v>
      </c>
      <c r="S347" s="133">
        <f>M332</f>
        <v>0</v>
      </c>
      <c r="T347" s="120"/>
      <c r="U347" s="121" t="s">
        <v>292</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292</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292</v>
      </c>
      <c r="V348" s="133">
        <f t="shared" si="139"/>
        <v>0</v>
      </c>
      <c r="W348" s="133">
        <f>VLOOKUP(U348,Sheet1!$B$6:$C$45,2,FALSE)*V348</f>
        <v>0</v>
      </c>
      <c r="X348" s="141"/>
      <c r="Y348" s="121" t="s">
        <v>292</v>
      </c>
      <c r="Z348" s="146">
        <f>VLOOKUP(Takeoffs!Y348,Sheet1!$B$6:$C$124,2,FALSE)</f>
        <v>0</v>
      </c>
      <c r="AA348" s="146">
        <f t="shared" si="140"/>
        <v>0</v>
      </c>
      <c r="AB348" s="143">
        <f t="shared" si="141"/>
        <v>0</v>
      </c>
      <c r="AC348" s="133">
        <f t="shared" si="142"/>
        <v>0</v>
      </c>
      <c r="AD348" s="142">
        <v>1</v>
      </c>
      <c r="AE348" s="141"/>
      <c r="AF348" s="121" t="s">
        <v>292</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329</v>
      </c>
      <c r="P349" s="121"/>
      <c r="Q349" s="66"/>
      <c r="R349" s="121" t="s">
        <v>304</v>
      </c>
      <c r="S349" s="133">
        <f>M332</f>
        <v>0</v>
      </c>
      <c r="T349" s="120"/>
      <c r="U349" s="121" t="s">
        <v>292</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292</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292</v>
      </c>
      <c r="V350" s="133">
        <f t="shared" si="139"/>
        <v>0</v>
      </c>
      <c r="W350" s="133">
        <f>VLOOKUP(U350,Sheet1!$B$6:$C$45,2,FALSE)*V350</f>
        <v>0</v>
      </c>
      <c r="X350" s="141"/>
      <c r="Y350" s="121" t="s">
        <v>292</v>
      </c>
      <c r="Z350" s="146">
        <f>VLOOKUP(Takeoffs!Y350,Sheet1!$B$6:$C$124,2,FALSE)</f>
        <v>0</v>
      </c>
      <c r="AA350" s="146">
        <f t="shared" si="140"/>
        <v>0</v>
      </c>
      <c r="AB350" s="143">
        <f t="shared" si="141"/>
        <v>0</v>
      </c>
      <c r="AC350" s="133">
        <f t="shared" si="142"/>
        <v>0</v>
      </c>
      <c r="AD350" s="142">
        <v>1</v>
      </c>
      <c r="AE350" s="141"/>
      <c r="AF350" s="121" t="s">
        <v>292</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407</v>
      </c>
      <c r="P351" s="121"/>
      <c r="Q351" s="66"/>
      <c r="R351" s="121"/>
      <c r="S351" s="133">
        <f>M332</f>
        <v>0</v>
      </c>
      <c r="T351" s="120"/>
      <c r="U351" s="121" t="s">
        <v>292</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292</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408</v>
      </c>
      <c r="P352" s="121"/>
      <c r="Q352" s="66"/>
      <c r="R352" s="121"/>
      <c r="S352" s="133">
        <f>M332</f>
        <v>0</v>
      </c>
      <c r="T352" s="120"/>
      <c r="U352" s="121" t="s">
        <v>362</v>
      </c>
      <c r="V352" s="133">
        <f t="shared" si="139"/>
        <v>0</v>
      </c>
      <c r="W352" s="133">
        <f>VLOOKUP(U352,Sheet1!$B$6:$C$45,2,FALSE)*V352</f>
        <v>0</v>
      </c>
      <c r="X352" s="141"/>
      <c r="Y352" s="121" t="s">
        <v>292</v>
      </c>
      <c r="Z352" s="146">
        <f>VLOOKUP(Takeoffs!Y352,Sheet1!$B$6:$C$124,2,FALSE)</f>
        <v>0</v>
      </c>
      <c r="AA352" s="146">
        <f t="shared" si="140"/>
        <v>0</v>
      </c>
      <c r="AB352" s="143">
        <f t="shared" si="141"/>
        <v>0</v>
      </c>
      <c r="AC352" s="133">
        <f t="shared" si="142"/>
        <v>0</v>
      </c>
      <c r="AD352" s="142">
        <v>1</v>
      </c>
      <c r="AE352" s="141"/>
      <c r="AF352" s="121" t="s">
        <v>292</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377</v>
      </c>
      <c r="L353" s="128" t="s">
        <v>378</v>
      </c>
      <c r="N353" s="129"/>
      <c r="O353" s="130" t="s">
        <v>357</v>
      </c>
      <c r="P353" s="131">
        <f>V353+AA353+AH353</f>
        <v>0</v>
      </c>
      <c r="Q353" s="131"/>
      <c r="R353" s="131"/>
      <c r="S353" s="130"/>
      <c r="T353" s="127"/>
      <c r="U353" s="126" t="s">
        <v>351</v>
      </c>
      <c r="V353" s="127">
        <f>W353*80</f>
        <v>0</v>
      </c>
      <c r="W353" s="147">
        <f>SUM(W332:W352)</f>
        <v>0</v>
      </c>
      <c r="X353" s="148"/>
      <c r="Y353" s="127" t="s">
        <v>352</v>
      </c>
      <c r="Z353" s="116"/>
      <c r="AA353" s="116">
        <f>SUM(AA332:AA352)</f>
        <v>0</v>
      </c>
      <c r="AB353" s="149"/>
      <c r="AC353" s="149"/>
      <c r="AD353" s="149"/>
      <c r="AE353" s="149"/>
      <c r="AF353" s="127" t="s">
        <v>356</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hidden="1" x14ac:dyDescent="0.8">
      <c r="A354" s="262">
        <f>ROW()</f>
        <v>354</v>
      </c>
      <c r="B354" s="234" t="s">
        <v>491</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367</v>
      </c>
      <c r="N354" s="160" t="str">
        <f>N332</f>
        <v>DOL fan with interlock with mechanical thermostat - from MSSB power supply</v>
      </c>
      <c r="O354" s="160" t="s">
        <v>365</v>
      </c>
      <c r="P354" s="82" t="e">
        <f>P353/M332</f>
        <v>#DIV/0!</v>
      </c>
      <c r="Q354" s="161"/>
      <c r="R354" s="161"/>
      <c r="S354" s="160"/>
      <c r="T354" s="161"/>
      <c r="U354" s="571" t="s">
        <v>366</v>
      </c>
      <c r="V354" s="571"/>
      <c r="W354" s="162" t="e">
        <f>W353/M332</f>
        <v>#DIV/0!</v>
      </c>
      <c r="X354" s="163"/>
      <c r="Y354" s="570" t="s">
        <v>365</v>
      </c>
      <c r="Z354" s="570"/>
      <c r="AA354" s="164" t="e">
        <f>AA353/M332</f>
        <v>#DIV/0!</v>
      </c>
      <c r="AB354" s="161"/>
      <c r="AC354" s="161"/>
      <c r="AD354" s="161"/>
      <c r="AE354" s="161"/>
      <c r="AF354" s="570" t="s">
        <v>365</v>
      </c>
      <c r="AG354" s="570"/>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452</v>
      </c>
      <c r="M355" s="116" t="s">
        <v>107</v>
      </c>
      <c r="N355" s="116" t="s">
        <v>108</v>
      </c>
      <c r="O355" s="170" t="s">
        <v>386</v>
      </c>
      <c r="P355" s="572" t="s">
        <v>375</v>
      </c>
      <c r="Q355" s="572"/>
      <c r="R355" s="101" t="s">
        <v>452</v>
      </c>
      <c r="S355" s="116" t="s">
        <v>0</v>
      </c>
      <c r="T355" s="118"/>
      <c r="U355" s="116" t="s">
        <v>287</v>
      </c>
      <c r="V355" s="116" t="s">
        <v>288</v>
      </c>
      <c r="W355" s="116" t="s">
        <v>291</v>
      </c>
      <c r="X355" s="140"/>
      <c r="Y355" s="116" t="s">
        <v>289</v>
      </c>
      <c r="Z355" s="116" t="s">
        <v>354</v>
      </c>
      <c r="AA355" s="116" t="s">
        <v>355</v>
      </c>
      <c r="AB355" s="116" t="s">
        <v>317</v>
      </c>
      <c r="AC355" s="116" t="s">
        <v>318</v>
      </c>
      <c r="AD355" s="116" t="s">
        <v>316</v>
      </c>
      <c r="AE355" s="140"/>
      <c r="AF355" s="116" t="s">
        <v>293</v>
      </c>
      <c r="AG355" s="116" t="s">
        <v>354</v>
      </c>
      <c r="AH355" s="116" t="s">
        <v>355</v>
      </c>
      <c r="AI355" s="116" t="s">
        <v>296</v>
      </c>
      <c r="AJ355" s="116" t="s">
        <v>294</v>
      </c>
      <c r="AK355" s="116" t="s">
        <v>295</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663</v>
      </c>
      <c r="O356" s="121" t="s">
        <v>347</v>
      </c>
      <c r="P356" s="169" t="s">
        <v>379</v>
      </c>
      <c r="Q356" s="169" t="s">
        <v>375</v>
      </c>
      <c r="R356" s="169"/>
      <c r="S356" s="133">
        <f>M356</f>
        <v>0</v>
      </c>
      <c r="T356" s="119"/>
      <c r="U356" s="121" t="s">
        <v>292</v>
      </c>
      <c r="V356" s="133">
        <f>S356</f>
        <v>0</v>
      </c>
      <c r="W356" s="133">
        <f>VLOOKUP(U356,Sheet1!$B$6:$C$45,2,FALSE)*V356</f>
        <v>0</v>
      </c>
      <c r="X356" s="141"/>
      <c r="Y356" s="121" t="s">
        <v>292</v>
      </c>
      <c r="Z356" s="146">
        <f>VLOOKUP(Takeoffs!Y356,Sheet1!$B$6:$C$124,2,FALSE)</f>
        <v>0</v>
      </c>
      <c r="AA356" s="146">
        <f>Z356*AB356</f>
        <v>0</v>
      </c>
      <c r="AB356" s="143">
        <f>AD356*AC356</f>
        <v>0</v>
      </c>
      <c r="AC356" s="133">
        <f>S356</f>
        <v>0</v>
      </c>
      <c r="AD356" s="142">
        <v>1</v>
      </c>
      <c r="AE356" s="141"/>
      <c r="AF356" s="121" t="s">
        <v>292</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340</v>
      </c>
      <c r="P357" s="121"/>
      <c r="Q357" s="66"/>
      <c r="R357" s="121"/>
      <c r="S357" s="133">
        <f>M356</f>
        <v>0</v>
      </c>
      <c r="T357" s="120"/>
      <c r="U357" s="121" t="s">
        <v>233</v>
      </c>
      <c r="V357" s="133">
        <f t="shared" ref="V357:V376" si="154">S357</f>
        <v>0</v>
      </c>
      <c r="W357" s="133">
        <f>VLOOKUP(U357,Sheet1!$B$6:$C$45,2,FALSE)*V357</f>
        <v>0</v>
      </c>
      <c r="X357" s="141"/>
      <c r="Y357" s="121" t="s">
        <v>292</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292</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590</v>
      </c>
      <c r="P358" s="121"/>
      <c r="Q358" s="66"/>
      <c r="R358" s="121"/>
      <c r="S358" s="133">
        <f>M356</f>
        <v>0</v>
      </c>
      <c r="T358" s="120"/>
      <c r="U358" s="117" t="s">
        <v>478</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406</v>
      </c>
      <c r="P359" s="121"/>
      <c r="Q359" s="66"/>
      <c r="R359" s="121"/>
      <c r="S359" s="133">
        <f>M356</f>
        <v>0</v>
      </c>
      <c r="T359" s="120"/>
      <c r="U359" s="121" t="s">
        <v>292</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292</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292</v>
      </c>
      <c r="V360" s="133">
        <f t="shared" si="154"/>
        <v>0</v>
      </c>
      <c r="W360" s="133">
        <f>VLOOKUP(U360,Sheet1!$B$6:$C$45,2,FALSE)*V360</f>
        <v>0</v>
      </c>
      <c r="X360" s="141"/>
      <c r="Y360" s="121" t="s">
        <v>292</v>
      </c>
      <c r="Z360" s="146">
        <f>VLOOKUP(Takeoffs!Y360,Sheet1!$B$6:$C$124,2,FALSE)</f>
        <v>0</v>
      </c>
      <c r="AA360" s="146">
        <f t="shared" si="155"/>
        <v>0</v>
      </c>
      <c r="AB360" s="143">
        <f t="shared" si="156"/>
        <v>0</v>
      </c>
      <c r="AC360" s="133">
        <f t="shared" si="157"/>
        <v>0</v>
      </c>
      <c r="AD360" s="142">
        <v>1</v>
      </c>
      <c r="AE360" s="141"/>
      <c r="AF360" s="121" t="s">
        <v>292</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292</v>
      </c>
      <c r="V361" s="133">
        <f t="shared" si="154"/>
        <v>0</v>
      </c>
      <c r="W361" s="133">
        <f>VLOOKUP(U361,Sheet1!$B$6:$C$45,2,FALSE)*V361</f>
        <v>0</v>
      </c>
      <c r="X361" s="141"/>
      <c r="Y361" s="121" t="s">
        <v>292</v>
      </c>
      <c r="Z361" s="146">
        <f>VLOOKUP(Takeoffs!Y361,Sheet1!$B$6:$C$124,2,FALSE)</f>
        <v>0</v>
      </c>
      <c r="AA361" s="146">
        <f t="shared" si="155"/>
        <v>0</v>
      </c>
      <c r="AB361" s="143">
        <f t="shared" si="156"/>
        <v>0</v>
      </c>
      <c r="AC361" s="133">
        <f t="shared" si="157"/>
        <v>0</v>
      </c>
      <c r="AD361" s="142">
        <v>1</v>
      </c>
      <c r="AE361" s="141"/>
      <c r="AF361" s="121" t="s">
        <v>292</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292</v>
      </c>
      <c r="V362" s="133">
        <f t="shared" si="154"/>
        <v>0</v>
      </c>
      <c r="W362" s="133">
        <f>VLOOKUP(U362,Sheet1!$B$6:$C$45,2,FALSE)*V362</f>
        <v>0</v>
      </c>
      <c r="X362" s="141"/>
      <c r="Y362" s="121" t="s">
        <v>292</v>
      </c>
      <c r="Z362" s="146">
        <f>VLOOKUP(Takeoffs!Y362,Sheet1!$B$6:$C$124,2,FALSE)</f>
        <v>0</v>
      </c>
      <c r="AA362" s="146">
        <f t="shared" si="155"/>
        <v>0</v>
      </c>
      <c r="AB362" s="143">
        <f t="shared" si="156"/>
        <v>0</v>
      </c>
      <c r="AC362" s="133">
        <f t="shared" si="157"/>
        <v>0</v>
      </c>
      <c r="AD362" s="142">
        <v>1</v>
      </c>
      <c r="AE362" s="141"/>
      <c r="AF362" s="121" t="s">
        <v>292</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292</v>
      </c>
      <c r="V363" s="133">
        <f t="shared" si="154"/>
        <v>0</v>
      </c>
      <c r="W363" s="133">
        <f>VLOOKUP(U363,Sheet1!$B$6:$C$45,2,FALSE)*V363</f>
        <v>0</v>
      </c>
      <c r="X363" s="141"/>
      <c r="Y363" s="121" t="s">
        <v>292</v>
      </c>
      <c r="Z363" s="146">
        <f>VLOOKUP(Takeoffs!Y363,Sheet1!$B$6:$C$124,2,FALSE)</f>
        <v>0</v>
      </c>
      <c r="AA363" s="146">
        <f t="shared" si="155"/>
        <v>0</v>
      </c>
      <c r="AB363" s="143">
        <f t="shared" si="156"/>
        <v>0</v>
      </c>
      <c r="AC363" s="133">
        <f t="shared" si="157"/>
        <v>0</v>
      </c>
      <c r="AD363" s="142">
        <v>1</v>
      </c>
      <c r="AE363" s="141"/>
      <c r="AF363" s="121" t="s">
        <v>292</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328</v>
      </c>
      <c r="P364" s="121"/>
      <c r="Q364" s="66"/>
      <c r="R364" s="121"/>
      <c r="S364" s="133">
        <f>M356</f>
        <v>0</v>
      </c>
      <c r="T364" s="120"/>
      <c r="U364" s="121" t="s">
        <v>242</v>
      </c>
      <c r="V364" s="133">
        <f t="shared" si="154"/>
        <v>0</v>
      </c>
      <c r="W364" s="133">
        <f>VLOOKUP(U364,Sheet1!$B$6:$C$45,2,FALSE)*V364</f>
        <v>0</v>
      </c>
      <c r="X364" s="141"/>
      <c r="Y364" s="121" t="s">
        <v>292</v>
      </c>
      <c r="Z364" s="146">
        <f>VLOOKUP(Takeoffs!Y364,Sheet1!$B$6:$C$124,2,FALSE)</f>
        <v>0</v>
      </c>
      <c r="AA364" s="146">
        <f t="shared" si="155"/>
        <v>0</v>
      </c>
      <c r="AB364" s="143">
        <f t="shared" si="156"/>
        <v>0</v>
      </c>
      <c r="AC364" s="133">
        <f t="shared" si="157"/>
        <v>0</v>
      </c>
      <c r="AD364" s="142">
        <v>1</v>
      </c>
      <c r="AE364" s="141"/>
      <c r="AF364" s="121" t="s">
        <v>292</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292</v>
      </c>
      <c r="V365" s="133">
        <f t="shared" si="154"/>
        <v>0</v>
      </c>
      <c r="W365" s="133">
        <f>VLOOKUP(U365,Sheet1!$B$6:$C$45,2,FALSE)*V365</f>
        <v>0</v>
      </c>
      <c r="X365" s="141"/>
      <c r="Y365" s="121" t="s">
        <v>292</v>
      </c>
      <c r="Z365" s="146">
        <f>VLOOKUP(Takeoffs!Y365,Sheet1!$B$6:$C$124,2,FALSE)</f>
        <v>0</v>
      </c>
      <c r="AA365" s="146">
        <f t="shared" si="155"/>
        <v>0</v>
      </c>
      <c r="AB365" s="143">
        <f t="shared" si="156"/>
        <v>0</v>
      </c>
      <c r="AC365" s="133">
        <f t="shared" si="157"/>
        <v>0</v>
      </c>
      <c r="AD365" s="142">
        <v>1</v>
      </c>
      <c r="AE365" s="141"/>
      <c r="AF365" s="121" t="s">
        <v>292</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292</v>
      </c>
      <c r="V366" s="133">
        <f t="shared" si="154"/>
        <v>0</v>
      </c>
      <c r="W366" s="133">
        <f>VLOOKUP(U366,Sheet1!$B$6:$C$45,2,FALSE)*V366</f>
        <v>0</v>
      </c>
      <c r="X366" s="141"/>
      <c r="Y366" s="121" t="s">
        <v>292</v>
      </c>
      <c r="Z366" s="146">
        <f>VLOOKUP(Takeoffs!Y366,Sheet1!$B$6:$C$124,2,FALSE)</f>
        <v>0</v>
      </c>
      <c r="AA366" s="146">
        <f t="shared" si="155"/>
        <v>0</v>
      </c>
      <c r="AB366" s="143">
        <f t="shared" si="156"/>
        <v>0</v>
      </c>
      <c r="AC366" s="133">
        <f t="shared" si="157"/>
        <v>0</v>
      </c>
      <c r="AD366" s="142">
        <v>1</v>
      </c>
      <c r="AE366" s="141"/>
      <c r="AF366" s="121" t="s">
        <v>292</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664</v>
      </c>
      <c r="P367" s="121" t="s">
        <v>666</v>
      </c>
      <c r="Q367" s="66" t="s">
        <v>665</v>
      </c>
      <c r="R367" s="121"/>
      <c r="S367" s="133">
        <f>M356</f>
        <v>0</v>
      </c>
      <c r="T367" s="120"/>
      <c r="U367" s="121" t="s">
        <v>292</v>
      </c>
      <c r="V367" s="133">
        <f t="shared" si="154"/>
        <v>0</v>
      </c>
      <c r="W367" s="133">
        <f>VLOOKUP(U367,Sheet1!$B$6:$C$45,2,FALSE)*V367</f>
        <v>0</v>
      </c>
      <c r="X367" s="141"/>
      <c r="Y367" s="121" t="s">
        <v>292</v>
      </c>
      <c r="Z367" s="146">
        <f>VLOOKUP(Takeoffs!Y367,Sheet1!$B$6:$C$124,2,FALSE)</f>
        <v>0</v>
      </c>
      <c r="AA367" s="146">
        <f t="shared" si="155"/>
        <v>0</v>
      </c>
      <c r="AB367" s="143">
        <f t="shared" si="156"/>
        <v>0</v>
      </c>
      <c r="AC367" s="133">
        <f t="shared" si="157"/>
        <v>0</v>
      </c>
      <c r="AD367" s="142">
        <v>1</v>
      </c>
      <c r="AE367" s="141"/>
      <c r="AF367" s="121" t="s">
        <v>292</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292</v>
      </c>
      <c r="V368" s="133">
        <f t="shared" si="154"/>
        <v>0</v>
      </c>
      <c r="W368" s="133">
        <f>VLOOKUP(U368,Sheet1!$B$6:$C$45,2,FALSE)*V368</f>
        <v>0</v>
      </c>
      <c r="X368" s="141"/>
      <c r="Y368" s="121" t="s">
        <v>292</v>
      </c>
      <c r="Z368" s="146">
        <f>VLOOKUP(Takeoffs!Y368,Sheet1!$B$6:$C$124,2,FALSE)</f>
        <v>0</v>
      </c>
      <c r="AA368" s="146">
        <f t="shared" si="155"/>
        <v>0</v>
      </c>
      <c r="AB368" s="143">
        <f t="shared" si="156"/>
        <v>0</v>
      </c>
      <c r="AC368" s="133">
        <f t="shared" si="157"/>
        <v>0</v>
      </c>
      <c r="AD368" s="142">
        <v>1</v>
      </c>
      <c r="AE368" s="141"/>
      <c r="AF368" s="152" t="s">
        <v>418</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312</v>
      </c>
      <c r="P369" s="121"/>
      <c r="Q369" s="66"/>
      <c r="R369" s="121"/>
      <c r="S369" s="133">
        <f>M356</f>
        <v>0</v>
      </c>
      <c r="T369" s="120"/>
      <c r="U369" s="121" t="s">
        <v>232</v>
      </c>
      <c r="V369" s="133">
        <f t="shared" si="154"/>
        <v>0</v>
      </c>
      <c r="W369" s="133">
        <f>VLOOKUP(U369,Sheet1!$B$6:$C$45,2,FALSE)*V369</f>
        <v>0</v>
      </c>
      <c r="X369" s="141"/>
      <c r="Y369" s="122" t="s">
        <v>1344</v>
      </c>
      <c r="Z369" s="146">
        <f>VLOOKUP(Takeoffs!Y369,Sheet1!$B$6:$C$124,2,FALSE)</f>
        <v>109.25999999999999</v>
      </c>
      <c r="AA369" s="146">
        <f t="shared" si="155"/>
        <v>0</v>
      </c>
      <c r="AB369" s="143">
        <f t="shared" si="156"/>
        <v>0</v>
      </c>
      <c r="AC369" s="133">
        <f t="shared" si="157"/>
        <v>0</v>
      </c>
      <c r="AD369" s="142">
        <v>1</v>
      </c>
      <c r="AE369" s="141"/>
      <c r="AF369" s="121" t="s">
        <v>292</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541</v>
      </c>
      <c r="P370" s="121"/>
      <c r="Q370" s="66"/>
      <c r="R370" s="121"/>
      <c r="S370" s="133">
        <f>M356</f>
        <v>0</v>
      </c>
      <c r="T370" s="120"/>
      <c r="U370" s="121" t="s">
        <v>292</v>
      </c>
      <c r="V370" s="133">
        <f t="shared" si="154"/>
        <v>0</v>
      </c>
      <c r="W370" s="133">
        <f>VLOOKUP(U370,Sheet1!$B$6:$C$45,2,FALSE)*V370</f>
        <v>0</v>
      </c>
      <c r="X370" s="141"/>
      <c r="Y370" s="122" t="s">
        <v>326</v>
      </c>
      <c r="Z370" s="146">
        <f>VLOOKUP(Takeoffs!Y370,Sheet1!$B$6:$C$124,2,FALSE)</f>
        <v>29.04</v>
      </c>
      <c r="AA370" s="146">
        <f t="shared" si="155"/>
        <v>0</v>
      </c>
      <c r="AB370" s="143">
        <f t="shared" si="156"/>
        <v>0</v>
      </c>
      <c r="AC370" s="133">
        <f t="shared" si="157"/>
        <v>0</v>
      </c>
      <c r="AD370" s="142">
        <v>1</v>
      </c>
      <c r="AE370" s="141"/>
      <c r="AF370" s="121" t="s">
        <v>292</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337</v>
      </c>
      <c r="P371" s="121"/>
      <c r="Q371" s="66"/>
      <c r="R371" s="121" t="s">
        <v>331</v>
      </c>
      <c r="S371" s="133">
        <f>M356</f>
        <v>0</v>
      </c>
      <c r="T371" s="120"/>
      <c r="U371" s="121" t="s">
        <v>292</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292</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292</v>
      </c>
      <c r="V372" s="133">
        <f t="shared" si="154"/>
        <v>0</v>
      </c>
      <c r="W372" s="133">
        <f>VLOOKUP(U372,Sheet1!$B$6:$C$45,2,FALSE)*V372</f>
        <v>0</v>
      </c>
      <c r="X372" s="141"/>
      <c r="Y372" s="121" t="s">
        <v>292</v>
      </c>
      <c r="Z372" s="146">
        <f>VLOOKUP(Takeoffs!Y372,Sheet1!$B$6:$C$124,2,FALSE)</f>
        <v>0</v>
      </c>
      <c r="AA372" s="146">
        <f t="shared" si="155"/>
        <v>0</v>
      </c>
      <c r="AB372" s="143">
        <f t="shared" si="156"/>
        <v>0</v>
      </c>
      <c r="AC372" s="133">
        <f t="shared" si="157"/>
        <v>0</v>
      </c>
      <c r="AD372" s="142">
        <v>1</v>
      </c>
      <c r="AE372" s="141"/>
      <c r="AF372" s="121" t="s">
        <v>292</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329</v>
      </c>
      <c r="P373" s="121"/>
      <c r="Q373" s="66"/>
      <c r="R373" s="121" t="s">
        <v>304</v>
      </c>
      <c r="S373" s="133">
        <f>M356</f>
        <v>0</v>
      </c>
      <c r="T373" s="120"/>
      <c r="U373" s="121" t="s">
        <v>292</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292</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292</v>
      </c>
      <c r="V374" s="133">
        <f t="shared" si="154"/>
        <v>0</v>
      </c>
      <c r="W374" s="133">
        <f>VLOOKUP(U374,Sheet1!$B$6:$C$45,2,FALSE)*V374</f>
        <v>0</v>
      </c>
      <c r="X374" s="141"/>
      <c r="Y374" s="121" t="s">
        <v>292</v>
      </c>
      <c r="Z374" s="146">
        <f>VLOOKUP(Takeoffs!Y374,Sheet1!$B$6:$C$124,2,FALSE)</f>
        <v>0</v>
      </c>
      <c r="AA374" s="146">
        <f t="shared" si="155"/>
        <v>0</v>
      </c>
      <c r="AB374" s="143">
        <f t="shared" si="156"/>
        <v>0</v>
      </c>
      <c r="AC374" s="133">
        <f t="shared" si="157"/>
        <v>0</v>
      </c>
      <c r="AD374" s="142">
        <v>1</v>
      </c>
      <c r="AE374" s="141"/>
      <c r="AF374" s="121" t="s">
        <v>292</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407</v>
      </c>
      <c r="P375" s="121"/>
      <c r="Q375" s="66"/>
      <c r="R375" s="121"/>
      <c r="S375" s="133">
        <f>M356</f>
        <v>0</v>
      </c>
      <c r="T375" s="120"/>
      <c r="U375" s="121" t="s">
        <v>292</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292</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408</v>
      </c>
      <c r="P376" s="121"/>
      <c r="Q376" s="66"/>
      <c r="R376" s="121"/>
      <c r="S376" s="133">
        <f>M356</f>
        <v>0</v>
      </c>
      <c r="T376" s="120"/>
      <c r="U376" s="121" t="s">
        <v>362</v>
      </c>
      <c r="V376" s="133">
        <f t="shared" si="154"/>
        <v>0</v>
      </c>
      <c r="W376" s="133">
        <f>VLOOKUP(U376,Sheet1!$B$6:$C$45,2,FALSE)*V376</f>
        <v>0</v>
      </c>
      <c r="X376" s="141"/>
      <c r="Y376" s="121" t="s">
        <v>292</v>
      </c>
      <c r="Z376" s="146">
        <f>VLOOKUP(Takeoffs!Y376,Sheet1!$B$6:$C$124,2,FALSE)</f>
        <v>0</v>
      </c>
      <c r="AA376" s="146">
        <f t="shared" si="155"/>
        <v>0</v>
      </c>
      <c r="AB376" s="143">
        <f t="shared" si="156"/>
        <v>0</v>
      </c>
      <c r="AC376" s="133">
        <f t="shared" si="157"/>
        <v>0</v>
      </c>
      <c r="AD376" s="142">
        <v>1</v>
      </c>
      <c r="AE376" s="141"/>
      <c r="AF376" s="121" t="s">
        <v>292</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377</v>
      </c>
      <c r="L377" s="128" t="s">
        <v>378</v>
      </c>
      <c r="N377" s="129"/>
      <c r="O377" s="130" t="s">
        <v>357</v>
      </c>
      <c r="P377" s="131">
        <f>V377+AA377+AH377</f>
        <v>0</v>
      </c>
      <c r="Q377" s="131"/>
      <c r="R377" s="131"/>
      <c r="S377" s="130"/>
      <c r="T377" s="127"/>
      <c r="U377" s="126" t="s">
        <v>351</v>
      </c>
      <c r="V377" s="127">
        <f>W377*80</f>
        <v>0</v>
      </c>
      <c r="W377" s="147">
        <f>SUM(W356:W376)</f>
        <v>0</v>
      </c>
      <c r="X377" s="148"/>
      <c r="Y377" s="127" t="s">
        <v>352</v>
      </c>
      <c r="Z377" s="116"/>
      <c r="AA377" s="116">
        <f>SUM(AA356:AA376)</f>
        <v>0</v>
      </c>
      <c r="AB377" s="149"/>
      <c r="AC377" s="149"/>
      <c r="AD377" s="149"/>
      <c r="AE377" s="149"/>
      <c r="AF377" s="127" t="s">
        <v>356</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hidden="1" x14ac:dyDescent="0.8">
      <c r="A378" s="262">
        <f>ROW()</f>
        <v>378</v>
      </c>
      <c r="B378" s="234" t="s">
        <v>491</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367</v>
      </c>
      <c r="N378" s="160" t="str">
        <f>N356</f>
        <v>Proprietary DOL fan with interlock with Proprietary controller- from MSSB power supply</v>
      </c>
      <c r="O378" s="160" t="s">
        <v>365</v>
      </c>
      <c r="P378" s="82" t="e">
        <f>P377/M356</f>
        <v>#DIV/0!</v>
      </c>
      <c r="Q378" s="161"/>
      <c r="R378" s="161"/>
      <c r="S378" s="160"/>
      <c r="T378" s="161"/>
      <c r="U378" s="571" t="s">
        <v>366</v>
      </c>
      <c r="V378" s="571"/>
      <c r="W378" s="162" t="e">
        <f>W377/M356</f>
        <v>#DIV/0!</v>
      </c>
      <c r="X378" s="163"/>
      <c r="Y378" s="570" t="s">
        <v>365</v>
      </c>
      <c r="Z378" s="570"/>
      <c r="AA378" s="164" t="e">
        <f>AA377/M356</f>
        <v>#DIV/0!</v>
      </c>
      <c r="AB378" s="161"/>
      <c r="AC378" s="161"/>
      <c r="AD378" s="161"/>
      <c r="AE378" s="161"/>
      <c r="AF378" s="570" t="s">
        <v>365</v>
      </c>
      <c r="AG378" s="570"/>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452</v>
      </c>
      <c r="M379" s="116" t="s">
        <v>107</v>
      </c>
      <c r="N379" s="116" t="s">
        <v>108</v>
      </c>
      <c r="O379" s="170" t="s">
        <v>386</v>
      </c>
      <c r="P379" s="572" t="s">
        <v>375</v>
      </c>
      <c r="Q379" s="572"/>
      <c r="R379" s="101" t="s">
        <v>452</v>
      </c>
      <c r="S379" s="116" t="s">
        <v>0</v>
      </c>
      <c r="T379" s="118"/>
      <c r="U379" s="116" t="s">
        <v>287</v>
      </c>
      <c r="V379" s="116" t="s">
        <v>288</v>
      </c>
      <c r="W379" s="116" t="s">
        <v>291</v>
      </c>
      <c r="X379" s="140"/>
      <c r="Y379" s="116" t="s">
        <v>289</v>
      </c>
      <c r="Z379" s="116" t="s">
        <v>354</v>
      </c>
      <c r="AA379" s="116" t="s">
        <v>355</v>
      </c>
      <c r="AB379" s="116" t="s">
        <v>317</v>
      </c>
      <c r="AC379" s="116" t="s">
        <v>318</v>
      </c>
      <c r="AD379" s="116" t="s">
        <v>316</v>
      </c>
      <c r="AE379" s="140"/>
      <c r="AF379" s="116" t="s">
        <v>293</v>
      </c>
      <c r="AG379" s="116" t="s">
        <v>354</v>
      </c>
      <c r="AH379" s="116" t="s">
        <v>355</v>
      </c>
      <c r="AI379" s="116" t="s">
        <v>296</v>
      </c>
      <c r="AJ379" s="116" t="s">
        <v>294</v>
      </c>
      <c r="AK379" s="116" t="s">
        <v>295</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684</v>
      </c>
      <c r="O380" s="121" t="s">
        <v>347</v>
      </c>
      <c r="P380" s="169" t="s">
        <v>379</v>
      </c>
      <c r="Q380" s="169" t="s">
        <v>375</v>
      </c>
      <c r="R380" s="169"/>
      <c r="S380" s="133">
        <f>M380</f>
        <v>0</v>
      </c>
      <c r="T380" s="119"/>
      <c r="U380" s="121" t="s">
        <v>292</v>
      </c>
      <c r="V380" s="133">
        <f>S380</f>
        <v>0</v>
      </c>
      <c r="W380" s="133">
        <f>VLOOKUP(U380,Sheet1!$B$6:$C$45,2,FALSE)*V380</f>
        <v>0</v>
      </c>
      <c r="X380" s="141"/>
      <c r="Y380" s="121" t="s">
        <v>292</v>
      </c>
      <c r="Z380" s="146">
        <f>VLOOKUP(Takeoffs!Y380,Sheet1!$B$6:$C$124,2,FALSE)</f>
        <v>0</v>
      </c>
      <c r="AA380" s="146">
        <f>Z380*AB380</f>
        <v>0</v>
      </c>
      <c r="AB380" s="143">
        <f>AD380*AC380</f>
        <v>0</v>
      </c>
      <c r="AC380" s="133">
        <f>S380</f>
        <v>0</v>
      </c>
      <c r="AD380" s="142">
        <v>1</v>
      </c>
      <c r="AE380" s="141"/>
      <c r="AF380" s="121" t="s">
        <v>292</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340</v>
      </c>
      <c r="P381" s="121"/>
      <c r="Q381" s="66"/>
      <c r="R381" s="121"/>
      <c r="S381" s="133">
        <f>M380</f>
        <v>0</v>
      </c>
      <c r="T381" s="120"/>
      <c r="U381" s="121" t="s">
        <v>233</v>
      </c>
      <c r="V381" s="133">
        <f t="shared" ref="V381:V400" si="164">S381</f>
        <v>0</v>
      </c>
      <c r="W381" s="133">
        <f>VLOOKUP(U381,Sheet1!$B$6:$C$45,2,FALSE)*V381</f>
        <v>0</v>
      </c>
      <c r="X381" s="141"/>
      <c r="Y381" s="121" t="s">
        <v>292</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292</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590</v>
      </c>
      <c r="P382" s="121"/>
      <c r="Q382" s="66"/>
      <c r="R382" s="121"/>
      <c r="S382" s="133">
        <f>M380</f>
        <v>0</v>
      </c>
      <c r="T382" s="120"/>
      <c r="U382" s="117" t="s">
        <v>478</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406</v>
      </c>
      <c r="P383" s="121"/>
      <c r="Q383" s="66"/>
      <c r="R383" s="121"/>
      <c r="S383" s="133">
        <f>M380</f>
        <v>0</v>
      </c>
      <c r="T383" s="120"/>
      <c r="U383" s="121" t="s">
        <v>292</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292</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292</v>
      </c>
      <c r="V384" s="133">
        <f t="shared" si="164"/>
        <v>0</v>
      </c>
      <c r="W384" s="133">
        <f>VLOOKUP(U384,Sheet1!$B$6:$C$45,2,FALSE)*V384</f>
        <v>0</v>
      </c>
      <c r="X384" s="141"/>
      <c r="Y384" s="121" t="s">
        <v>292</v>
      </c>
      <c r="Z384" s="146">
        <f>VLOOKUP(Takeoffs!Y384,Sheet1!$B$6:$C$124,2,FALSE)</f>
        <v>0</v>
      </c>
      <c r="AA384" s="146">
        <f t="shared" si="165"/>
        <v>0</v>
      </c>
      <c r="AB384" s="143">
        <f t="shared" si="166"/>
        <v>0</v>
      </c>
      <c r="AC384" s="133">
        <f t="shared" si="167"/>
        <v>0</v>
      </c>
      <c r="AD384" s="142">
        <v>1</v>
      </c>
      <c r="AE384" s="141"/>
      <c r="AF384" s="121" t="s">
        <v>292</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292</v>
      </c>
      <c r="V385" s="133">
        <f t="shared" si="164"/>
        <v>0</v>
      </c>
      <c r="W385" s="133">
        <f>VLOOKUP(U385,Sheet1!$B$6:$C$45,2,FALSE)*V385</f>
        <v>0</v>
      </c>
      <c r="X385" s="141"/>
      <c r="Y385" s="121" t="s">
        <v>292</v>
      </c>
      <c r="Z385" s="146">
        <f>VLOOKUP(Takeoffs!Y385,Sheet1!$B$6:$C$124,2,FALSE)</f>
        <v>0</v>
      </c>
      <c r="AA385" s="146">
        <f t="shared" si="165"/>
        <v>0</v>
      </c>
      <c r="AB385" s="143">
        <f t="shared" si="166"/>
        <v>0</v>
      </c>
      <c r="AC385" s="133">
        <f t="shared" si="167"/>
        <v>0</v>
      </c>
      <c r="AD385" s="142">
        <v>1</v>
      </c>
      <c r="AE385" s="141"/>
      <c r="AF385" s="121" t="s">
        <v>292</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292</v>
      </c>
      <c r="V386" s="133">
        <f t="shared" si="164"/>
        <v>0</v>
      </c>
      <c r="W386" s="133">
        <f>VLOOKUP(U386,Sheet1!$B$6:$C$45,2,FALSE)*V386</f>
        <v>0</v>
      </c>
      <c r="X386" s="141"/>
      <c r="Y386" s="121" t="s">
        <v>292</v>
      </c>
      <c r="Z386" s="146">
        <f>VLOOKUP(Takeoffs!Y386,Sheet1!$B$6:$C$124,2,FALSE)</f>
        <v>0</v>
      </c>
      <c r="AA386" s="146">
        <f t="shared" si="165"/>
        <v>0</v>
      </c>
      <c r="AB386" s="143">
        <f t="shared" si="166"/>
        <v>0</v>
      </c>
      <c r="AC386" s="133">
        <f t="shared" si="167"/>
        <v>0</v>
      </c>
      <c r="AD386" s="142">
        <v>1</v>
      </c>
      <c r="AE386" s="141"/>
      <c r="AF386" s="121" t="s">
        <v>292</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292</v>
      </c>
      <c r="V387" s="133">
        <f t="shared" si="164"/>
        <v>0</v>
      </c>
      <c r="W387" s="133">
        <f>VLOOKUP(U387,Sheet1!$B$6:$C$45,2,FALSE)*V387</f>
        <v>0</v>
      </c>
      <c r="X387" s="141"/>
      <c r="Y387" s="121" t="s">
        <v>292</v>
      </c>
      <c r="Z387" s="146">
        <f>VLOOKUP(Takeoffs!Y387,Sheet1!$B$6:$C$124,2,FALSE)</f>
        <v>0</v>
      </c>
      <c r="AA387" s="146">
        <f t="shared" si="165"/>
        <v>0</v>
      </c>
      <c r="AB387" s="143">
        <f t="shared" si="166"/>
        <v>0</v>
      </c>
      <c r="AC387" s="133">
        <f t="shared" si="167"/>
        <v>0</v>
      </c>
      <c r="AD387" s="142">
        <v>1</v>
      </c>
      <c r="AE387" s="141"/>
      <c r="AF387" s="121" t="s">
        <v>292</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328</v>
      </c>
      <c r="P388" s="121"/>
      <c r="Q388" s="66"/>
      <c r="R388" s="121"/>
      <c r="S388" s="133">
        <f>M380</f>
        <v>0</v>
      </c>
      <c r="T388" s="120"/>
      <c r="U388" s="121" t="s">
        <v>242</v>
      </c>
      <c r="V388" s="133">
        <f t="shared" si="164"/>
        <v>0</v>
      </c>
      <c r="W388" s="133">
        <f>VLOOKUP(U388,Sheet1!$B$6:$C$45,2,FALSE)*V388</f>
        <v>0</v>
      </c>
      <c r="X388" s="141"/>
      <c r="Y388" s="121" t="s">
        <v>292</v>
      </c>
      <c r="Z388" s="146">
        <f>VLOOKUP(Takeoffs!Y388,Sheet1!$B$6:$C$124,2,FALSE)</f>
        <v>0</v>
      </c>
      <c r="AA388" s="146">
        <f t="shared" si="165"/>
        <v>0</v>
      </c>
      <c r="AB388" s="143">
        <f t="shared" si="166"/>
        <v>0</v>
      </c>
      <c r="AC388" s="133">
        <f t="shared" si="167"/>
        <v>0</v>
      </c>
      <c r="AD388" s="142">
        <v>1</v>
      </c>
      <c r="AE388" s="141"/>
      <c r="AF388" s="121" t="s">
        <v>292</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292</v>
      </c>
      <c r="V389" s="133">
        <f t="shared" si="164"/>
        <v>0</v>
      </c>
      <c r="W389" s="133">
        <f>VLOOKUP(U389,Sheet1!$B$6:$C$45,2,FALSE)*V389</f>
        <v>0</v>
      </c>
      <c r="X389" s="141"/>
      <c r="Y389" s="121" t="s">
        <v>292</v>
      </c>
      <c r="Z389" s="146">
        <f>VLOOKUP(Takeoffs!Y389,Sheet1!$B$6:$C$124,2,FALSE)</f>
        <v>0</v>
      </c>
      <c r="AA389" s="146">
        <f t="shared" si="165"/>
        <v>0</v>
      </c>
      <c r="AB389" s="143">
        <f t="shared" si="166"/>
        <v>0</v>
      </c>
      <c r="AC389" s="133">
        <f t="shared" si="167"/>
        <v>0</v>
      </c>
      <c r="AD389" s="142">
        <v>1</v>
      </c>
      <c r="AE389" s="141"/>
      <c r="AF389" s="121" t="s">
        <v>292</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292</v>
      </c>
      <c r="V390" s="133">
        <f t="shared" si="164"/>
        <v>0</v>
      </c>
      <c r="W390" s="133">
        <f>VLOOKUP(U390,Sheet1!$B$6:$C$45,2,FALSE)*V390</f>
        <v>0</v>
      </c>
      <c r="X390" s="141"/>
      <c r="Y390" s="121" t="s">
        <v>292</v>
      </c>
      <c r="Z390" s="146">
        <f>VLOOKUP(Takeoffs!Y390,Sheet1!$B$6:$C$124,2,FALSE)</f>
        <v>0</v>
      </c>
      <c r="AA390" s="146">
        <f t="shared" si="165"/>
        <v>0</v>
      </c>
      <c r="AB390" s="143">
        <f t="shared" si="166"/>
        <v>0</v>
      </c>
      <c r="AC390" s="133">
        <f t="shared" si="167"/>
        <v>0</v>
      </c>
      <c r="AD390" s="142">
        <v>1</v>
      </c>
      <c r="AE390" s="141"/>
      <c r="AF390" s="121" t="s">
        <v>292</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292</v>
      </c>
      <c r="V391" s="133">
        <f t="shared" si="164"/>
        <v>0</v>
      </c>
      <c r="W391" s="133">
        <f>VLOOKUP(U391,Sheet1!$B$6:$C$45,2,FALSE)*V391</f>
        <v>0</v>
      </c>
      <c r="X391" s="141"/>
      <c r="Y391" s="121" t="s">
        <v>292</v>
      </c>
      <c r="Z391" s="146">
        <f>VLOOKUP(Takeoffs!Y391,Sheet1!$B$6:$C$124,2,FALSE)</f>
        <v>0</v>
      </c>
      <c r="AA391" s="146">
        <f t="shared" si="165"/>
        <v>0</v>
      </c>
      <c r="AB391" s="143">
        <f t="shared" si="166"/>
        <v>0</v>
      </c>
      <c r="AC391" s="133">
        <f t="shared" si="167"/>
        <v>0</v>
      </c>
      <c r="AD391" s="142">
        <v>1</v>
      </c>
      <c r="AE391" s="141"/>
      <c r="AF391" s="121" t="s">
        <v>292</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292</v>
      </c>
      <c r="V392" s="133">
        <f t="shared" si="164"/>
        <v>0</v>
      </c>
      <c r="W392" s="133">
        <f>VLOOKUP(U392,Sheet1!$B$6:$C$45,2,FALSE)*V392</f>
        <v>0</v>
      </c>
      <c r="X392" s="141"/>
      <c r="Y392" s="121" t="s">
        <v>292</v>
      </c>
      <c r="Z392" s="146">
        <f>VLOOKUP(Takeoffs!Y392,Sheet1!$B$6:$C$124,2,FALSE)</f>
        <v>0</v>
      </c>
      <c r="AA392" s="146">
        <f t="shared" si="165"/>
        <v>0</v>
      </c>
      <c r="AB392" s="143">
        <f t="shared" si="166"/>
        <v>0</v>
      </c>
      <c r="AC392" s="133">
        <f t="shared" si="167"/>
        <v>0</v>
      </c>
      <c r="AD392" s="142">
        <v>1</v>
      </c>
      <c r="AE392" s="141"/>
      <c r="AF392" s="152" t="s">
        <v>418</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312</v>
      </c>
      <c r="P393" s="121"/>
      <c r="Q393" s="66"/>
      <c r="R393" s="121"/>
      <c r="S393" s="133">
        <f>M380</f>
        <v>0</v>
      </c>
      <c r="T393" s="120"/>
      <c r="U393" s="121" t="s">
        <v>232</v>
      </c>
      <c r="V393" s="133">
        <f t="shared" si="164"/>
        <v>0</v>
      </c>
      <c r="W393" s="133">
        <f>VLOOKUP(U393,Sheet1!$B$6:$C$45,2,FALSE)*V393</f>
        <v>0</v>
      </c>
      <c r="X393" s="141"/>
      <c r="Y393" s="122" t="s">
        <v>1344</v>
      </c>
      <c r="Z393" s="146">
        <f>VLOOKUP(Takeoffs!Y393,Sheet1!$B$6:$C$124,2,FALSE)</f>
        <v>109.25999999999999</v>
      </c>
      <c r="AA393" s="146">
        <f t="shared" si="165"/>
        <v>0</v>
      </c>
      <c r="AB393" s="143">
        <f t="shared" si="166"/>
        <v>0</v>
      </c>
      <c r="AC393" s="133">
        <f t="shared" si="167"/>
        <v>0</v>
      </c>
      <c r="AD393" s="142">
        <v>1</v>
      </c>
      <c r="AE393" s="141"/>
      <c r="AF393" s="121" t="s">
        <v>292</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685</v>
      </c>
      <c r="P394" s="121"/>
      <c r="Q394" s="66"/>
      <c r="R394" s="121"/>
      <c r="S394" s="133">
        <f>M380</f>
        <v>0</v>
      </c>
      <c r="T394" s="120"/>
      <c r="U394" s="121" t="s">
        <v>292</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292</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337</v>
      </c>
      <c r="P395" s="121"/>
      <c r="Q395" s="66"/>
      <c r="R395" s="121" t="s">
        <v>331</v>
      </c>
      <c r="S395" s="133">
        <f>M380</f>
        <v>0</v>
      </c>
      <c r="T395" s="120"/>
      <c r="U395" s="121" t="s">
        <v>292</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292</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292</v>
      </c>
      <c r="V396" s="133">
        <f t="shared" si="164"/>
        <v>0</v>
      </c>
      <c r="W396" s="133">
        <f>VLOOKUP(U396,Sheet1!$B$6:$C$45,2,FALSE)*V396</f>
        <v>0</v>
      </c>
      <c r="X396" s="141"/>
      <c r="Y396" s="121" t="s">
        <v>292</v>
      </c>
      <c r="Z396" s="146">
        <f>VLOOKUP(Takeoffs!Y396,Sheet1!$B$6:$C$124,2,FALSE)</f>
        <v>0</v>
      </c>
      <c r="AA396" s="146">
        <f t="shared" si="165"/>
        <v>0</v>
      </c>
      <c r="AB396" s="143">
        <f t="shared" si="166"/>
        <v>0</v>
      </c>
      <c r="AC396" s="133">
        <f t="shared" si="167"/>
        <v>0</v>
      </c>
      <c r="AD396" s="142">
        <v>1</v>
      </c>
      <c r="AE396" s="141"/>
      <c r="AF396" s="121" t="s">
        <v>292</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329</v>
      </c>
      <c r="P397" s="121"/>
      <c r="Q397" s="66"/>
      <c r="R397" s="121" t="s">
        <v>304</v>
      </c>
      <c r="S397" s="133">
        <f>M380</f>
        <v>0</v>
      </c>
      <c r="T397" s="120"/>
      <c r="U397" s="121" t="s">
        <v>292</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292</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292</v>
      </c>
      <c r="V398" s="133">
        <f t="shared" si="164"/>
        <v>0</v>
      </c>
      <c r="W398" s="133">
        <f>VLOOKUP(U398,Sheet1!$B$6:$C$45,2,FALSE)*V398</f>
        <v>0</v>
      </c>
      <c r="X398" s="141"/>
      <c r="Y398" s="121" t="s">
        <v>292</v>
      </c>
      <c r="Z398" s="146">
        <f>VLOOKUP(Takeoffs!Y398,Sheet1!$B$6:$C$124,2,FALSE)</f>
        <v>0</v>
      </c>
      <c r="AA398" s="146">
        <f t="shared" si="165"/>
        <v>0</v>
      </c>
      <c r="AB398" s="143">
        <f t="shared" si="166"/>
        <v>0</v>
      </c>
      <c r="AC398" s="133">
        <f t="shared" si="167"/>
        <v>0</v>
      </c>
      <c r="AD398" s="142">
        <v>1</v>
      </c>
      <c r="AE398" s="141"/>
      <c r="AF398" s="121" t="s">
        <v>292</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407</v>
      </c>
      <c r="P399" s="121"/>
      <c r="Q399" s="66"/>
      <c r="R399" s="121"/>
      <c r="S399" s="133">
        <f>M380</f>
        <v>0</v>
      </c>
      <c r="T399" s="120"/>
      <c r="U399" s="121" t="s">
        <v>292</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292</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408</v>
      </c>
      <c r="P400" s="121"/>
      <c r="Q400" s="66"/>
      <c r="R400" s="121"/>
      <c r="S400" s="133">
        <f>M380</f>
        <v>0</v>
      </c>
      <c r="T400" s="120"/>
      <c r="U400" s="121" t="s">
        <v>362</v>
      </c>
      <c r="V400" s="133">
        <f t="shared" si="164"/>
        <v>0</v>
      </c>
      <c r="W400" s="133">
        <f>VLOOKUP(U400,Sheet1!$B$6:$C$45,2,FALSE)*V400</f>
        <v>0</v>
      </c>
      <c r="X400" s="141"/>
      <c r="Y400" s="121" t="s">
        <v>292</v>
      </c>
      <c r="Z400" s="146">
        <f>VLOOKUP(Takeoffs!Y400,Sheet1!$B$6:$C$124,2,FALSE)</f>
        <v>0</v>
      </c>
      <c r="AA400" s="146">
        <f t="shared" si="165"/>
        <v>0</v>
      </c>
      <c r="AB400" s="143">
        <f t="shared" si="166"/>
        <v>0</v>
      </c>
      <c r="AC400" s="133">
        <f t="shared" si="167"/>
        <v>0</v>
      </c>
      <c r="AD400" s="142">
        <v>1</v>
      </c>
      <c r="AE400" s="141"/>
      <c r="AF400" s="121" t="s">
        <v>292</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377</v>
      </c>
      <c r="L401" s="128" t="s">
        <v>378</v>
      </c>
      <c r="N401" s="129"/>
      <c r="O401" s="130" t="s">
        <v>357</v>
      </c>
      <c r="P401" s="131">
        <f>V401+AA401+AH401</f>
        <v>0</v>
      </c>
      <c r="Q401" s="131"/>
      <c r="R401" s="131"/>
      <c r="S401" s="130"/>
      <c r="T401" s="127"/>
      <c r="U401" s="126" t="s">
        <v>351</v>
      </c>
      <c r="V401" s="127">
        <f>W401*80</f>
        <v>0</v>
      </c>
      <c r="W401" s="147">
        <f>SUM(W380:W400)</f>
        <v>0</v>
      </c>
      <c r="X401" s="148"/>
      <c r="Y401" s="127" t="s">
        <v>352</v>
      </c>
      <c r="Z401" s="116"/>
      <c r="AA401" s="116">
        <f>SUM(AA380:AA400)</f>
        <v>0</v>
      </c>
      <c r="AB401" s="149"/>
      <c r="AC401" s="149"/>
      <c r="AD401" s="149"/>
      <c r="AE401" s="149"/>
      <c r="AF401" s="127" t="s">
        <v>356</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hidden="1" x14ac:dyDescent="0.8">
      <c r="A402" s="262">
        <f>ROW()</f>
        <v>402</v>
      </c>
      <c r="B402" s="234" t="s">
        <v>491</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367</v>
      </c>
      <c r="N402" s="160" t="str">
        <f>N380</f>
        <v>DOL fan with interlock with local switch - from MSSB power supply</v>
      </c>
      <c r="O402" s="160" t="s">
        <v>365</v>
      </c>
      <c r="P402" s="82" t="e">
        <f>P401/M380</f>
        <v>#DIV/0!</v>
      </c>
      <c r="Q402" s="161"/>
      <c r="R402" s="161"/>
      <c r="S402" s="160"/>
      <c r="T402" s="161"/>
      <c r="U402" s="571" t="s">
        <v>366</v>
      </c>
      <c r="V402" s="571"/>
      <c r="W402" s="162" t="e">
        <f>W401/M380</f>
        <v>#DIV/0!</v>
      </c>
      <c r="X402" s="163"/>
      <c r="Y402" s="570" t="s">
        <v>365</v>
      </c>
      <c r="Z402" s="570"/>
      <c r="AA402" s="164" t="e">
        <f>AA401/M380</f>
        <v>#DIV/0!</v>
      </c>
      <c r="AB402" s="161"/>
      <c r="AC402" s="161"/>
      <c r="AD402" s="161"/>
      <c r="AE402" s="161"/>
      <c r="AF402" s="570" t="s">
        <v>365</v>
      </c>
      <c r="AG402" s="570"/>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452</v>
      </c>
      <c r="M403" s="116" t="s">
        <v>107</v>
      </c>
      <c r="N403" s="116" t="s">
        <v>108</v>
      </c>
      <c r="O403" s="170" t="s">
        <v>386</v>
      </c>
      <c r="P403" s="572" t="s">
        <v>375</v>
      </c>
      <c r="Q403" s="572"/>
      <c r="R403" s="101" t="s">
        <v>452</v>
      </c>
      <c r="S403" s="116" t="s">
        <v>0</v>
      </c>
      <c r="T403" s="118"/>
      <c r="U403" s="116" t="s">
        <v>287</v>
      </c>
      <c r="V403" s="116" t="s">
        <v>288</v>
      </c>
      <c r="W403" s="116" t="s">
        <v>291</v>
      </c>
      <c r="X403" s="140"/>
      <c r="Y403" s="116" t="s">
        <v>289</v>
      </c>
      <c r="Z403" s="116" t="s">
        <v>354</v>
      </c>
      <c r="AA403" s="116" t="s">
        <v>355</v>
      </c>
      <c r="AB403" s="116" t="s">
        <v>317</v>
      </c>
      <c r="AC403" s="116" t="s">
        <v>318</v>
      </c>
      <c r="AD403" s="116" t="s">
        <v>316</v>
      </c>
      <c r="AE403" s="140"/>
      <c r="AF403" s="116" t="s">
        <v>293</v>
      </c>
      <c r="AG403" s="116" t="s">
        <v>354</v>
      </c>
      <c r="AH403" s="116" t="s">
        <v>355</v>
      </c>
      <c r="AI403" s="116" t="s">
        <v>296</v>
      </c>
      <c r="AJ403" s="116" t="s">
        <v>294</v>
      </c>
      <c r="AK403" s="116" t="s">
        <v>295</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667</v>
      </c>
      <c r="O404" s="121" t="s">
        <v>347</v>
      </c>
      <c r="P404" s="169" t="s">
        <v>379</v>
      </c>
      <c r="Q404" s="169" t="s">
        <v>375</v>
      </c>
      <c r="R404" s="169"/>
      <c r="S404" s="133">
        <f>M404</f>
        <v>0</v>
      </c>
      <c r="T404" s="119"/>
      <c r="U404" s="121" t="s">
        <v>292</v>
      </c>
      <c r="V404" s="133">
        <f>S404</f>
        <v>0</v>
      </c>
      <c r="W404" s="133">
        <f>VLOOKUP(U404,Sheet1!$B$6:$C$45,2,FALSE)*V404</f>
        <v>0</v>
      </c>
      <c r="X404" s="141"/>
      <c r="Y404" s="121" t="s">
        <v>292</v>
      </c>
      <c r="Z404" s="146">
        <f>VLOOKUP(Takeoffs!Y404,Sheet1!$B$6:$C$124,2,FALSE)</f>
        <v>0</v>
      </c>
      <c r="AA404" s="146">
        <f>Z404*AB404</f>
        <v>0</v>
      </c>
      <c r="AB404" s="143">
        <f>AD404*AC404</f>
        <v>0</v>
      </c>
      <c r="AC404" s="133">
        <f>S404</f>
        <v>0</v>
      </c>
      <c r="AD404" s="142">
        <v>1</v>
      </c>
      <c r="AE404" s="141"/>
      <c r="AF404" s="121" t="s">
        <v>292</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340</v>
      </c>
      <c r="P405" s="121"/>
      <c r="Q405" s="66"/>
      <c r="R405" s="121"/>
      <c r="S405" s="133">
        <f>M404</f>
        <v>0</v>
      </c>
      <c r="T405" s="120"/>
      <c r="U405" s="121" t="s">
        <v>233</v>
      </c>
      <c r="V405" s="133">
        <f t="shared" ref="V405:V424" si="179">S405</f>
        <v>0</v>
      </c>
      <c r="W405" s="133">
        <f>VLOOKUP(U405,Sheet1!$B$6:$C$45,2,FALSE)*V405</f>
        <v>0</v>
      </c>
      <c r="X405" s="141"/>
      <c r="Y405" s="121" t="s">
        <v>292</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292</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590</v>
      </c>
      <c r="P406" s="121"/>
      <c r="Q406" s="66"/>
      <c r="R406" s="121"/>
      <c r="S406" s="133">
        <f>M404</f>
        <v>0</v>
      </c>
      <c r="T406" s="120"/>
      <c r="U406" s="117" t="s">
        <v>478</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406</v>
      </c>
      <c r="P407" s="121"/>
      <c r="Q407" s="66"/>
      <c r="R407" s="121"/>
      <c r="S407" s="133">
        <f>M404</f>
        <v>0</v>
      </c>
      <c r="T407" s="120"/>
      <c r="U407" s="121" t="s">
        <v>292</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292</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292</v>
      </c>
      <c r="V408" s="133">
        <f t="shared" si="179"/>
        <v>0</v>
      </c>
      <c r="W408" s="133">
        <f>VLOOKUP(U408,Sheet1!$B$6:$C$45,2,FALSE)*V408</f>
        <v>0</v>
      </c>
      <c r="X408" s="141"/>
      <c r="Y408" s="121" t="s">
        <v>292</v>
      </c>
      <c r="Z408" s="146">
        <f>VLOOKUP(Takeoffs!Y408,Sheet1!$B$6:$C$124,2,FALSE)</f>
        <v>0</v>
      </c>
      <c r="AA408" s="146">
        <f t="shared" si="180"/>
        <v>0</v>
      </c>
      <c r="AB408" s="143">
        <f t="shared" si="181"/>
        <v>0</v>
      </c>
      <c r="AC408" s="133">
        <f t="shared" si="182"/>
        <v>0</v>
      </c>
      <c r="AD408" s="142">
        <v>1</v>
      </c>
      <c r="AE408" s="141"/>
      <c r="AF408" s="121" t="s">
        <v>292</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292</v>
      </c>
      <c r="V409" s="133">
        <f t="shared" si="179"/>
        <v>0</v>
      </c>
      <c r="W409" s="133">
        <f>VLOOKUP(U409,Sheet1!$B$6:$C$45,2,FALSE)*V409</f>
        <v>0</v>
      </c>
      <c r="X409" s="141"/>
      <c r="Y409" s="121" t="s">
        <v>292</v>
      </c>
      <c r="Z409" s="146">
        <f>VLOOKUP(Takeoffs!Y409,Sheet1!$B$6:$C$124,2,FALSE)</f>
        <v>0</v>
      </c>
      <c r="AA409" s="146">
        <f t="shared" si="180"/>
        <v>0</v>
      </c>
      <c r="AB409" s="143">
        <f t="shared" si="181"/>
        <v>0</v>
      </c>
      <c r="AC409" s="133">
        <f t="shared" si="182"/>
        <v>0</v>
      </c>
      <c r="AD409" s="142">
        <v>1</v>
      </c>
      <c r="AE409" s="141"/>
      <c r="AF409" s="121" t="s">
        <v>292</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292</v>
      </c>
      <c r="V410" s="133">
        <f t="shared" si="179"/>
        <v>0</v>
      </c>
      <c r="W410" s="133">
        <f>VLOOKUP(U410,Sheet1!$B$6:$C$45,2,FALSE)*V410</f>
        <v>0</v>
      </c>
      <c r="X410" s="141"/>
      <c r="Y410" s="121" t="s">
        <v>292</v>
      </c>
      <c r="Z410" s="146">
        <f>VLOOKUP(Takeoffs!Y410,Sheet1!$B$6:$C$124,2,FALSE)</f>
        <v>0</v>
      </c>
      <c r="AA410" s="146">
        <f t="shared" si="180"/>
        <v>0</v>
      </c>
      <c r="AB410" s="143">
        <f t="shared" si="181"/>
        <v>0</v>
      </c>
      <c r="AC410" s="133">
        <f t="shared" si="182"/>
        <v>0</v>
      </c>
      <c r="AD410" s="142">
        <v>1</v>
      </c>
      <c r="AE410" s="141"/>
      <c r="AF410" s="121" t="s">
        <v>292</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292</v>
      </c>
      <c r="V411" s="133">
        <f t="shared" si="179"/>
        <v>0</v>
      </c>
      <c r="W411" s="133">
        <f>VLOOKUP(U411,Sheet1!$B$6:$C$45,2,FALSE)*V411</f>
        <v>0</v>
      </c>
      <c r="X411" s="141"/>
      <c r="Y411" s="121" t="s">
        <v>292</v>
      </c>
      <c r="Z411" s="146">
        <f>VLOOKUP(Takeoffs!Y411,Sheet1!$B$6:$C$124,2,FALSE)</f>
        <v>0</v>
      </c>
      <c r="AA411" s="146">
        <f t="shared" si="180"/>
        <v>0</v>
      </c>
      <c r="AB411" s="143">
        <f t="shared" si="181"/>
        <v>0</v>
      </c>
      <c r="AC411" s="133">
        <f t="shared" si="182"/>
        <v>0</v>
      </c>
      <c r="AD411" s="142">
        <v>1</v>
      </c>
      <c r="AE411" s="141"/>
      <c r="AF411" s="121" t="s">
        <v>292</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328</v>
      </c>
      <c r="P412" s="121"/>
      <c r="Q412" s="66"/>
      <c r="R412" s="121"/>
      <c r="S412" s="133">
        <f>M404</f>
        <v>0</v>
      </c>
      <c r="T412" s="120"/>
      <c r="U412" s="121" t="s">
        <v>242</v>
      </c>
      <c r="V412" s="133">
        <f t="shared" si="179"/>
        <v>0</v>
      </c>
      <c r="W412" s="133">
        <f>VLOOKUP(U412,Sheet1!$B$6:$C$45,2,FALSE)*V412</f>
        <v>0</v>
      </c>
      <c r="X412" s="141"/>
      <c r="Y412" s="121" t="s">
        <v>292</v>
      </c>
      <c r="Z412" s="146">
        <f>VLOOKUP(Takeoffs!Y412,Sheet1!$B$6:$C$124,2,FALSE)</f>
        <v>0</v>
      </c>
      <c r="AA412" s="146">
        <f t="shared" si="180"/>
        <v>0</v>
      </c>
      <c r="AB412" s="143">
        <f t="shared" si="181"/>
        <v>0</v>
      </c>
      <c r="AC412" s="133">
        <f t="shared" si="182"/>
        <v>0</v>
      </c>
      <c r="AD412" s="142">
        <v>1</v>
      </c>
      <c r="AE412" s="141"/>
      <c r="AF412" s="121" t="s">
        <v>292</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292</v>
      </c>
      <c r="V413" s="133">
        <f t="shared" si="179"/>
        <v>0</v>
      </c>
      <c r="W413" s="133">
        <f>VLOOKUP(U413,Sheet1!$B$6:$C$45,2,FALSE)*V413</f>
        <v>0</v>
      </c>
      <c r="X413" s="141"/>
      <c r="Y413" s="121" t="s">
        <v>292</v>
      </c>
      <c r="Z413" s="146">
        <f>VLOOKUP(Takeoffs!Y413,Sheet1!$B$6:$C$124,2,FALSE)</f>
        <v>0</v>
      </c>
      <c r="AA413" s="146">
        <f t="shared" si="180"/>
        <v>0</v>
      </c>
      <c r="AB413" s="143">
        <f t="shared" si="181"/>
        <v>0</v>
      </c>
      <c r="AC413" s="133">
        <f t="shared" si="182"/>
        <v>0</v>
      </c>
      <c r="AD413" s="142">
        <v>1</v>
      </c>
      <c r="AE413" s="141"/>
      <c r="AF413" s="121" t="s">
        <v>292</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292</v>
      </c>
      <c r="V414" s="133">
        <f t="shared" si="179"/>
        <v>0</v>
      </c>
      <c r="W414" s="133">
        <f>VLOOKUP(U414,Sheet1!$B$6:$C$45,2,FALSE)*V414</f>
        <v>0</v>
      </c>
      <c r="X414" s="141"/>
      <c r="Y414" s="121" t="s">
        <v>292</v>
      </c>
      <c r="Z414" s="146">
        <f>VLOOKUP(Takeoffs!Y414,Sheet1!$B$6:$C$124,2,FALSE)</f>
        <v>0</v>
      </c>
      <c r="AA414" s="146">
        <f t="shared" si="180"/>
        <v>0</v>
      </c>
      <c r="AB414" s="143">
        <f t="shared" si="181"/>
        <v>0</v>
      </c>
      <c r="AC414" s="133">
        <f t="shared" si="182"/>
        <v>0</v>
      </c>
      <c r="AD414" s="142">
        <v>1</v>
      </c>
      <c r="AE414" s="141"/>
      <c r="AF414" s="121" t="s">
        <v>292</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292</v>
      </c>
      <c r="V415" s="133">
        <f t="shared" si="179"/>
        <v>0</v>
      </c>
      <c r="W415" s="133">
        <f>VLOOKUP(U415,Sheet1!$B$6:$C$45,2,FALSE)*V415</f>
        <v>0</v>
      </c>
      <c r="X415" s="141"/>
      <c r="Y415" s="121" t="s">
        <v>292</v>
      </c>
      <c r="Z415" s="146">
        <f>VLOOKUP(Takeoffs!Y415,Sheet1!$B$6:$C$124,2,FALSE)</f>
        <v>0</v>
      </c>
      <c r="AA415" s="146">
        <f t="shared" si="180"/>
        <v>0</v>
      </c>
      <c r="AB415" s="143">
        <f t="shared" si="181"/>
        <v>0</v>
      </c>
      <c r="AC415" s="133">
        <f t="shared" si="182"/>
        <v>0</v>
      </c>
      <c r="AD415" s="142">
        <v>1</v>
      </c>
      <c r="AE415" s="141"/>
      <c r="AF415" s="121" t="s">
        <v>292</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292</v>
      </c>
      <c r="V416" s="133">
        <f t="shared" si="179"/>
        <v>0</v>
      </c>
      <c r="W416" s="133">
        <f>VLOOKUP(U416,Sheet1!$B$6:$C$45,2,FALSE)*V416</f>
        <v>0</v>
      </c>
      <c r="X416" s="141"/>
      <c r="Y416" s="121" t="s">
        <v>292</v>
      </c>
      <c r="Z416" s="146">
        <f>VLOOKUP(Takeoffs!Y416,Sheet1!$B$6:$C$124,2,FALSE)</f>
        <v>0</v>
      </c>
      <c r="AA416" s="146">
        <f t="shared" si="180"/>
        <v>0</v>
      </c>
      <c r="AB416" s="143">
        <f t="shared" si="181"/>
        <v>0</v>
      </c>
      <c r="AC416" s="133">
        <f t="shared" si="182"/>
        <v>0</v>
      </c>
      <c r="AD416" s="142">
        <v>1</v>
      </c>
      <c r="AE416" s="141"/>
      <c r="AF416" s="152" t="s">
        <v>418</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312</v>
      </c>
      <c r="P417" s="121"/>
      <c r="Q417" s="66"/>
      <c r="R417" s="121"/>
      <c r="S417" s="133">
        <f>M404</f>
        <v>0</v>
      </c>
      <c r="T417" s="120"/>
      <c r="U417" s="121" t="s">
        <v>232</v>
      </c>
      <c r="V417" s="133">
        <f t="shared" si="179"/>
        <v>0</v>
      </c>
      <c r="W417" s="133">
        <f>VLOOKUP(U417,Sheet1!$B$6:$C$45,2,FALSE)*V417</f>
        <v>0</v>
      </c>
      <c r="X417" s="141"/>
      <c r="Y417" s="122" t="s">
        <v>1344</v>
      </c>
      <c r="Z417" s="146">
        <f>VLOOKUP(Takeoffs!Y417,Sheet1!$B$6:$C$124,2,FALSE)</f>
        <v>109.25999999999999</v>
      </c>
      <c r="AA417" s="146">
        <f t="shared" si="180"/>
        <v>0</v>
      </c>
      <c r="AB417" s="143">
        <f t="shared" si="181"/>
        <v>0</v>
      </c>
      <c r="AC417" s="133">
        <f t="shared" si="182"/>
        <v>0</v>
      </c>
      <c r="AD417" s="142">
        <v>1</v>
      </c>
      <c r="AE417" s="141"/>
      <c r="AF417" s="121" t="s">
        <v>292</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541</v>
      </c>
      <c r="P418" s="121"/>
      <c r="Q418" s="66"/>
      <c r="R418" s="121"/>
      <c r="S418" s="133">
        <f>M404</f>
        <v>0</v>
      </c>
      <c r="T418" s="120"/>
      <c r="U418" s="121" t="s">
        <v>292</v>
      </c>
      <c r="V418" s="133">
        <f t="shared" si="179"/>
        <v>0</v>
      </c>
      <c r="W418" s="133">
        <f>VLOOKUP(U418,Sheet1!$B$6:$C$45,2,FALSE)*V418</f>
        <v>0</v>
      </c>
      <c r="X418" s="141"/>
      <c r="Y418" s="122" t="s">
        <v>326</v>
      </c>
      <c r="Z418" s="146">
        <f>VLOOKUP(Takeoffs!Y418,Sheet1!$B$6:$C$124,2,FALSE)</f>
        <v>29.04</v>
      </c>
      <c r="AA418" s="146">
        <f t="shared" si="180"/>
        <v>0</v>
      </c>
      <c r="AB418" s="143">
        <f t="shared" si="181"/>
        <v>0</v>
      </c>
      <c r="AC418" s="133">
        <f t="shared" si="182"/>
        <v>0</v>
      </c>
      <c r="AD418" s="142">
        <v>1</v>
      </c>
      <c r="AE418" s="141"/>
      <c r="AF418" s="121" t="s">
        <v>292</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337</v>
      </c>
      <c r="P419" s="121"/>
      <c r="Q419" s="66"/>
      <c r="R419" s="121" t="s">
        <v>331</v>
      </c>
      <c r="S419" s="133">
        <f>M404</f>
        <v>0</v>
      </c>
      <c r="T419" s="120"/>
      <c r="U419" s="121" t="s">
        <v>292</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292</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668</v>
      </c>
      <c r="P420" s="121"/>
      <c r="Q420" s="66"/>
      <c r="R420" s="121"/>
      <c r="S420" s="133">
        <f>M404</f>
        <v>0</v>
      </c>
      <c r="T420" s="120"/>
      <c r="U420" s="121" t="s">
        <v>292</v>
      </c>
      <c r="V420" s="133">
        <f t="shared" si="179"/>
        <v>0</v>
      </c>
      <c r="W420" s="133">
        <f>VLOOKUP(U420,Sheet1!$B$6:$C$45,2,FALSE)*V420</f>
        <v>0</v>
      </c>
      <c r="X420" s="141"/>
      <c r="Y420" s="121" t="s">
        <v>669</v>
      </c>
      <c r="Z420" s="146">
        <f>VLOOKUP(Takeoffs!Y420,Sheet1!$B$6:$C$124,2,FALSE)</f>
        <v>60</v>
      </c>
      <c r="AA420" s="146">
        <f t="shared" si="180"/>
        <v>0</v>
      </c>
      <c r="AB420" s="143">
        <f t="shared" si="181"/>
        <v>0</v>
      </c>
      <c r="AC420" s="133">
        <f t="shared" si="182"/>
        <v>0</v>
      </c>
      <c r="AD420" s="142">
        <v>1</v>
      </c>
      <c r="AE420" s="141"/>
      <c r="AF420" s="121" t="s">
        <v>292</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329</v>
      </c>
      <c r="P421" s="121"/>
      <c r="Q421" s="66"/>
      <c r="R421" s="121" t="s">
        <v>304</v>
      </c>
      <c r="S421" s="133">
        <f>M404</f>
        <v>0</v>
      </c>
      <c r="T421" s="120"/>
      <c r="U421" s="121" t="s">
        <v>292</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292</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292</v>
      </c>
      <c r="V422" s="133">
        <f t="shared" si="179"/>
        <v>0</v>
      </c>
      <c r="W422" s="133">
        <f>VLOOKUP(U422,Sheet1!$B$6:$C$45,2,FALSE)*V422</f>
        <v>0</v>
      </c>
      <c r="X422" s="141"/>
      <c r="Y422" s="121" t="s">
        <v>292</v>
      </c>
      <c r="Z422" s="146">
        <f>VLOOKUP(Takeoffs!Y422,Sheet1!$B$6:$C$124,2,FALSE)</f>
        <v>0</v>
      </c>
      <c r="AA422" s="146">
        <f t="shared" si="180"/>
        <v>0</v>
      </c>
      <c r="AB422" s="143">
        <f t="shared" si="181"/>
        <v>0</v>
      </c>
      <c r="AC422" s="133">
        <f t="shared" si="182"/>
        <v>0</v>
      </c>
      <c r="AD422" s="142">
        <v>1</v>
      </c>
      <c r="AE422" s="141"/>
      <c r="AF422" s="121" t="s">
        <v>292</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407</v>
      </c>
      <c r="P423" s="121"/>
      <c r="Q423" s="66"/>
      <c r="R423" s="121"/>
      <c r="S423" s="133">
        <f>M404</f>
        <v>0</v>
      </c>
      <c r="T423" s="120"/>
      <c r="U423" s="121" t="s">
        <v>292</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292</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408</v>
      </c>
      <c r="P424" s="121"/>
      <c r="Q424" s="66"/>
      <c r="R424" s="121"/>
      <c r="S424" s="133">
        <f>M404</f>
        <v>0</v>
      </c>
      <c r="T424" s="120"/>
      <c r="U424" s="121" t="s">
        <v>362</v>
      </c>
      <c r="V424" s="133">
        <f t="shared" si="179"/>
        <v>0</v>
      </c>
      <c r="W424" s="133">
        <f>VLOOKUP(U424,Sheet1!$B$6:$C$45,2,FALSE)*V424</f>
        <v>0</v>
      </c>
      <c r="X424" s="141"/>
      <c r="Y424" s="121" t="s">
        <v>292</v>
      </c>
      <c r="Z424" s="146">
        <f>VLOOKUP(Takeoffs!Y424,Sheet1!$B$6:$C$124,2,FALSE)</f>
        <v>0</v>
      </c>
      <c r="AA424" s="146">
        <f t="shared" si="180"/>
        <v>0</v>
      </c>
      <c r="AB424" s="143">
        <f t="shared" si="181"/>
        <v>0</v>
      </c>
      <c r="AC424" s="133">
        <f t="shared" si="182"/>
        <v>0</v>
      </c>
      <c r="AD424" s="142">
        <v>1</v>
      </c>
      <c r="AE424" s="141"/>
      <c r="AF424" s="121" t="s">
        <v>292</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377</v>
      </c>
      <c r="L425" s="128" t="s">
        <v>378</v>
      </c>
      <c r="N425" s="129"/>
      <c r="O425" s="130" t="s">
        <v>357</v>
      </c>
      <c r="P425" s="131">
        <f>V425+AA425+AH425</f>
        <v>0</v>
      </c>
      <c r="Q425" s="131"/>
      <c r="R425" s="131"/>
      <c r="S425" s="130"/>
      <c r="T425" s="127"/>
      <c r="U425" s="126" t="s">
        <v>351</v>
      </c>
      <c r="V425" s="127">
        <f>W425*80</f>
        <v>0</v>
      </c>
      <c r="W425" s="147">
        <f>SUM(W404:W424)</f>
        <v>0</v>
      </c>
      <c r="X425" s="148"/>
      <c r="Y425" s="127" t="s">
        <v>352</v>
      </c>
      <c r="Z425" s="116"/>
      <c r="AA425" s="116">
        <f>SUM(AA404:AA424)</f>
        <v>0</v>
      </c>
      <c r="AB425" s="149"/>
      <c r="AC425" s="149"/>
      <c r="AD425" s="149"/>
      <c r="AE425" s="149"/>
      <c r="AF425" s="127" t="s">
        <v>356</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hidden="1" x14ac:dyDescent="0.8">
      <c r="A426" s="262">
        <f>ROW()</f>
        <v>426</v>
      </c>
      <c r="B426" s="234" t="s">
        <v>491</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367</v>
      </c>
      <c r="N426" s="160" t="str">
        <f>N404</f>
        <v>DOL fan with interlock with reed switch - from MSSB power supply</v>
      </c>
      <c r="O426" s="160" t="s">
        <v>365</v>
      </c>
      <c r="P426" s="82" t="e">
        <f>P425/M404</f>
        <v>#DIV/0!</v>
      </c>
      <c r="Q426" s="161"/>
      <c r="R426" s="161"/>
      <c r="S426" s="160"/>
      <c r="T426" s="161"/>
      <c r="U426" s="571" t="s">
        <v>366</v>
      </c>
      <c r="V426" s="571"/>
      <c r="W426" s="162" t="e">
        <f>W425/M404</f>
        <v>#DIV/0!</v>
      </c>
      <c r="X426" s="163"/>
      <c r="Y426" s="570" t="s">
        <v>365</v>
      </c>
      <c r="Z426" s="570"/>
      <c r="AA426" s="164" t="e">
        <f>AA425/M404</f>
        <v>#DIV/0!</v>
      </c>
      <c r="AB426" s="161"/>
      <c r="AC426" s="161"/>
      <c r="AD426" s="161"/>
      <c r="AE426" s="161"/>
      <c r="AF426" s="570" t="s">
        <v>365</v>
      </c>
      <c r="AG426" s="570"/>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452</v>
      </c>
      <c r="M427" s="116" t="s">
        <v>107</v>
      </c>
      <c r="N427" s="116" t="s">
        <v>108</v>
      </c>
      <c r="O427" s="170" t="s">
        <v>386</v>
      </c>
      <c r="P427" s="572" t="s">
        <v>375</v>
      </c>
      <c r="Q427" s="572"/>
      <c r="R427" s="101" t="s">
        <v>452</v>
      </c>
      <c r="S427" s="116" t="s">
        <v>0</v>
      </c>
      <c r="T427" s="118"/>
      <c r="U427" s="116" t="s">
        <v>287</v>
      </c>
      <c r="V427" s="116" t="s">
        <v>288</v>
      </c>
      <c r="W427" s="116" t="s">
        <v>291</v>
      </c>
      <c r="X427" s="140"/>
      <c r="Y427" s="116" t="s">
        <v>289</v>
      </c>
      <c r="Z427" s="116" t="s">
        <v>354</v>
      </c>
      <c r="AA427" s="116" t="s">
        <v>355</v>
      </c>
      <c r="AB427" s="116" t="s">
        <v>317</v>
      </c>
      <c r="AC427" s="116" t="s">
        <v>318</v>
      </c>
      <c r="AD427" s="116" t="s">
        <v>316</v>
      </c>
      <c r="AE427" s="140"/>
      <c r="AF427" s="116" t="s">
        <v>293</v>
      </c>
      <c r="AG427" s="116" t="s">
        <v>354</v>
      </c>
      <c r="AH427" s="116" t="s">
        <v>355</v>
      </c>
      <c r="AI427" s="116" t="s">
        <v>296</v>
      </c>
      <c r="AJ427" s="116" t="s">
        <v>294</v>
      </c>
      <c r="AK427" s="116" t="s">
        <v>295</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651</v>
      </c>
      <c r="O428" s="121" t="s">
        <v>347</v>
      </c>
      <c r="P428" s="169" t="s">
        <v>379</v>
      </c>
      <c r="Q428" s="169" t="s">
        <v>375</v>
      </c>
      <c r="R428" s="169"/>
      <c r="S428" s="133">
        <f>M428</f>
        <v>0</v>
      </c>
      <c r="T428" s="119"/>
      <c r="U428" s="121" t="s">
        <v>292</v>
      </c>
      <c r="V428" s="133">
        <f>S428</f>
        <v>0</v>
      </c>
      <c r="W428" s="133">
        <f>VLOOKUP(U428,Sheet1!$B$6:$C$45,2,FALSE)*V428</f>
        <v>0</v>
      </c>
      <c r="X428" s="141"/>
      <c r="Y428" s="121" t="s">
        <v>292</v>
      </c>
      <c r="Z428" s="146">
        <f>VLOOKUP(Takeoffs!Y428,Sheet1!$B$6:$C$124,2,FALSE)</f>
        <v>0</v>
      </c>
      <c r="AA428" s="146">
        <f>Z428*AB428</f>
        <v>0</v>
      </c>
      <c r="AB428" s="143">
        <f>AD428*AC428</f>
        <v>0</v>
      </c>
      <c r="AC428" s="133">
        <f>S428</f>
        <v>0</v>
      </c>
      <c r="AD428" s="142">
        <v>1</v>
      </c>
      <c r="AE428" s="141"/>
      <c r="AF428" s="121" t="s">
        <v>292</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340</v>
      </c>
      <c r="P429" s="121"/>
      <c r="Q429" s="66"/>
      <c r="R429" s="121"/>
      <c r="S429" s="133">
        <f>M428</f>
        <v>0</v>
      </c>
      <c r="T429" s="120"/>
      <c r="U429" s="121" t="s">
        <v>233</v>
      </c>
      <c r="V429" s="133">
        <f t="shared" ref="V429:V448" si="189">S429</f>
        <v>0</v>
      </c>
      <c r="W429" s="133">
        <f>VLOOKUP(U429,Sheet1!$B$6:$C$45,2,FALSE)*V429</f>
        <v>0</v>
      </c>
      <c r="X429" s="141"/>
      <c r="Y429" s="121" t="s">
        <v>292</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292</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590</v>
      </c>
      <c r="P430" s="121"/>
      <c r="Q430" s="66"/>
      <c r="R430" s="121"/>
      <c r="S430" s="133">
        <f>M428</f>
        <v>0</v>
      </c>
      <c r="T430" s="120"/>
      <c r="U430" s="117" t="s">
        <v>478</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406</v>
      </c>
      <c r="P431" s="121"/>
      <c r="Q431" s="66"/>
      <c r="R431" s="121"/>
      <c r="S431" s="133">
        <f>M428</f>
        <v>0</v>
      </c>
      <c r="T431" s="120"/>
      <c r="U431" s="121" t="s">
        <v>292</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292</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292</v>
      </c>
      <c r="V432" s="133">
        <f t="shared" si="189"/>
        <v>0</v>
      </c>
      <c r="W432" s="133">
        <f>VLOOKUP(U432,Sheet1!$B$6:$C$45,2,FALSE)*V432</f>
        <v>0</v>
      </c>
      <c r="X432" s="141"/>
      <c r="Y432" s="121" t="s">
        <v>292</v>
      </c>
      <c r="Z432" s="146">
        <f>VLOOKUP(Takeoffs!Y432,Sheet1!$B$6:$C$124,2,FALSE)</f>
        <v>0</v>
      </c>
      <c r="AA432" s="146">
        <f t="shared" si="190"/>
        <v>0</v>
      </c>
      <c r="AB432" s="143">
        <f t="shared" si="191"/>
        <v>0</v>
      </c>
      <c r="AC432" s="133">
        <f t="shared" si="192"/>
        <v>0</v>
      </c>
      <c r="AD432" s="142">
        <v>1</v>
      </c>
      <c r="AE432" s="141"/>
      <c r="AF432" s="121" t="s">
        <v>292</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292</v>
      </c>
      <c r="V433" s="133">
        <f t="shared" si="189"/>
        <v>0</v>
      </c>
      <c r="W433" s="133">
        <f>VLOOKUP(U433,Sheet1!$B$6:$C$45,2,FALSE)*V433</f>
        <v>0</v>
      </c>
      <c r="X433" s="141"/>
      <c r="Y433" s="121" t="s">
        <v>292</v>
      </c>
      <c r="Z433" s="146">
        <f>VLOOKUP(Takeoffs!Y433,Sheet1!$B$6:$C$124,2,FALSE)</f>
        <v>0</v>
      </c>
      <c r="AA433" s="146">
        <f t="shared" si="190"/>
        <v>0</v>
      </c>
      <c r="AB433" s="143">
        <f t="shared" si="191"/>
        <v>0</v>
      </c>
      <c r="AC433" s="133">
        <f t="shared" si="192"/>
        <v>0</v>
      </c>
      <c r="AD433" s="142">
        <v>1</v>
      </c>
      <c r="AE433" s="141"/>
      <c r="AF433" s="121" t="s">
        <v>292</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292</v>
      </c>
      <c r="V434" s="133">
        <f t="shared" si="189"/>
        <v>0</v>
      </c>
      <c r="W434" s="133">
        <f>VLOOKUP(U434,Sheet1!$B$6:$C$45,2,FALSE)*V434</f>
        <v>0</v>
      </c>
      <c r="X434" s="141"/>
      <c r="Y434" s="121" t="s">
        <v>292</v>
      </c>
      <c r="Z434" s="146">
        <f>VLOOKUP(Takeoffs!Y434,Sheet1!$B$6:$C$124,2,FALSE)</f>
        <v>0</v>
      </c>
      <c r="AA434" s="146">
        <f t="shared" si="190"/>
        <v>0</v>
      </c>
      <c r="AB434" s="143">
        <f t="shared" si="191"/>
        <v>0</v>
      </c>
      <c r="AC434" s="133">
        <f t="shared" si="192"/>
        <v>0</v>
      </c>
      <c r="AD434" s="142">
        <v>1</v>
      </c>
      <c r="AE434" s="141"/>
      <c r="AF434" s="121" t="s">
        <v>292</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292</v>
      </c>
      <c r="V435" s="133">
        <f t="shared" si="189"/>
        <v>0</v>
      </c>
      <c r="W435" s="133">
        <f>VLOOKUP(U435,Sheet1!$B$6:$C$45,2,FALSE)*V435</f>
        <v>0</v>
      </c>
      <c r="X435" s="141"/>
      <c r="Y435" s="121" t="s">
        <v>292</v>
      </c>
      <c r="Z435" s="146">
        <f>VLOOKUP(Takeoffs!Y435,Sheet1!$B$6:$C$124,2,FALSE)</f>
        <v>0</v>
      </c>
      <c r="AA435" s="146">
        <f t="shared" si="190"/>
        <v>0</v>
      </c>
      <c r="AB435" s="143">
        <f t="shared" si="191"/>
        <v>0</v>
      </c>
      <c r="AC435" s="133">
        <f t="shared" si="192"/>
        <v>0</v>
      </c>
      <c r="AD435" s="142">
        <v>1</v>
      </c>
      <c r="AE435" s="141"/>
      <c r="AF435" s="121" t="s">
        <v>292</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328</v>
      </c>
      <c r="P436" s="121"/>
      <c r="Q436" s="66"/>
      <c r="R436" s="121"/>
      <c r="S436" s="133">
        <f>M428</f>
        <v>0</v>
      </c>
      <c r="T436" s="120"/>
      <c r="U436" s="121" t="s">
        <v>242</v>
      </c>
      <c r="V436" s="133">
        <f t="shared" si="189"/>
        <v>0</v>
      </c>
      <c r="W436" s="133">
        <f>VLOOKUP(U436,Sheet1!$B$6:$C$45,2,FALSE)*V436</f>
        <v>0</v>
      </c>
      <c r="X436" s="141"/>
      <c r="Y436" s="121" t="s">
        <v>292</v>
      </c>
      <c r="Z436" s="146">
        <f>VLOOKUP(Takeoffs!Y436,Sheet1!$B$6:$C$124,2,FALSE)</f>
        <v>0</v>
      </c>
      <c r="AA436" s="146">
        <f t="shared" si="190"/>
        <v>0</v>
      </c>
      <c r="AB436" s="143">
        <f t="shared" si="191"/>
        <v>0</v>
      </c>
      <c r="AC436" s="133">
        <f t="shared" si="192"/>
        <v>0</v>
      </c>
      <c r="AD436" s="142">
        <v>1</v>
      </c>
      <c r="AE436" s="141"/>
      <c r="AF436" s="121" t="s">
        <v>292</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292</v>
      </c>
      <c r="V437" s="133">
        <f t="shared" si="189"/>
        <v>0</v>
      </c>
      <c r="W437" s="133">
        <f>VLOOKUP(U437,Sheet1!$B$6:$C$45,2,FALSE)*V437</f>
        <v>0</v>
      </c>
      <c r="X437" s="141"/>
      <c r="Y437" s="121" t="s">
        <v>292</v>
      </c>
      <c r="Z437" s="146">
        <f>VLOOKUP(Takeoffs!Y437,Sheet1!$B$6:$C$124,2,FALSE)</f>
        <v>0</v>
      </c>
      <c r="AA437" s="146">
        <f t="shared" si="190"/>
        <v>0</v>
      </c>
      <c r="AB437" s="143">
        <f t="shared" si="191"/>
        <v>0</v>
      </c>
      <c r="AC437" s="133">
        <f t="shared" si="192"/>
        <v>0</v>
      </c>
      <c r="AD437" s="142">
        <v>1</v>
      </c>
      <c r="AE437" s="141"/>
      <c r="AF437" s="121" t="s">
        <v>292</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292</v>
      </c>
      <c r="V438" s="133">
        <f t="shared" si="189"/>
        <v>0</v>
      </c>
      <c r="W438" s="133">
        <f>VLOOKUP(U438,Sheet1!$B$6:$C$45,2,FALSE)*V438</f>
        <v>0</v>
      </c>
      <c r="X438" s="141"/>
      <c r="Y438" s="121" t="s">
        <v>292</v>
      </c>
      <c r="Z438" s="146">
        <f>VLOOKUP(Takeoffs!Y438,Sheet1!$B$6:$C$124,2,FALSE)</f>
        <v>0</v>
      </c>
      <c r="AA438" s="146">
        <f t="shared" si="190"/>
        <v>0</v>
      </c>
      <c r="AB438" s="143">
        <f t="shared" si="191"/>
        <v>0</v>
      </c>
      <c r="AC438" s="133">
        <f t="shared" si="192"/>
        <v>0</v>
      </c>
      <c r="AD438" s="142">
        <v>1</v>
      </c>
      <c r="AE438" s="141"/>
      <c r="AF438" s="121" t="s">
        <v>292</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292</v>
      </c>
      <c r="V439" s="133">
        <f t="shared" si="189"/>
        <v>0</v>
      </c>
      <c r="W439" s="133">
        <f>VLOOKUP(U439,Sheet1!$B$6:$C$45,2,FALSE)*V439</f>
        <v>0</v>
      </c>
      <c r="X439" s="141"/>
      <c r="Y439" s="121" t="s">
        <v>292</v>
      </c>
      <c r="Z439" s="146">
        <f>VLOOKUP(Takeoffs!Y439,Sheet1!$B$6:$C$124,2,FALSE)</f>
        <v>0</v>
      </c>
      <c r="AA439" s="146">
        <f t="shared" si="190"/>
        <v>0</v>
      </c>
      <c r="AB439" s="143">
        <f t="shared" si="191"/>
        <v>0</v>
      </c>
      <c r="AC439" s="133">
        <f t="shared" si="192"/>
        <v>0</v>
      </c>
      <c r="AD439" s="142">
        <v>1</v>
      </c>
      <c r="AE439" s="141"/>
      <c r="AF439" s="121" t="s">
        <v>292</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292</v>
      </c>
      <c r="V440" s="133">
        <f t="shared" si="189"/>
        <v>0</v>
      </c>
      <c r="W440" s="133">
        <f>VLOOKUP(U440,Sheet1!$B$6:$C$45,2,FALSE)*V440</f>
        <v>0</v>
      </c>
      <c r="X440" s="141"/>
      <c r="Y440" s="121" t="s">
        <v>292</v>
      </c>
      <c r="Z440" s="146">
        <f>VLOOKUP(Takeoffs!Y440,Sheet1!$B$6:$C$124,2,FALSE)</f>
        <v>0</v>
      </c>
      <c r="AA440" s="146">
        <f t="shared" si="190"/>
        <v>0</v>
      </c>
      <c r="AB440" s="143">
        <f t="shared" si="191"/>
        <v>0</v>
      </c>
      <c r="AC440" s="133">
        <f t="shared" si="192"/>
        <v>0</v>
      </c>
      <c r="AD440" s="142">
        <v>1</v>
      </c>
      <c r="AE440" s="141"/>
      <c r="AF440" s="152" t="s">
        <v>418</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312</v>
      </c>
      <c r="P441" s="121"/>
      <c r="Q441" s="66"/>
      <c r="R441" s="121"/>
      <c r="S441" s="133">
        <f>M428</f>
        <v>0</v>
      </c>
      <c r="T441" s="120"/>
      <c r="U441" s="121" t="s">
        <v>232</v>
      </c>
      <c r="V441" s="133">
        <f t="shared" si="189"/>
        <v>0</v>
      </c>
      <c r="W441" s="133">
        <f>VLOOKUP(U441,Sheet1!$B$6:$C$45,2,FALSE)*V441</f>
        <v>0</v>
      </c>
      <c r="X441" s="141"/>
      <c r="Y441" s="122" t="s">
        <v>1344</v>
      </c>
      <c r="Z441" s="146">
        <f>VLOOKUP(Takeoffs!Y441,Sheet1!$B$6:$C$124,2,FALSE)</f>
        <v>109.25999999999999</v>
      </c>
      <c r="AA441" s="146">
        <f t="shared" si="190"/>
        <v>0</v>
      </c>
      <c r="AB441" s="143">
        <f t="shared" si="191"/>
        <v>0</v>
      </c>
      <c r="AC441" s="133">
        <f t="shared" si="192"/>
        <v>0</v>
      </c>
      <c r="AD441" s="142">
        <v>1</v>
      </c>
      <c r="AE441" s="141"/>
      <c r="AF441" s="121" t="s">
        <v>292</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541</v>
      </c>
      <c r="P442" s="121"/>
      <c r="Q442" s="66"/>
      <c r="R442" s="121"/>
      <c r="S442" s="133">
        <f>M428</f>
        <v>0</v>
      </c>
      <c r="T442" s="120"/>
      <c r="U442" s="121" t="s">
        <v>292</v>
      </c>
      <c r="V442" s="133">
        <f t="shared" si="189"/>
        <v>0</v>
      </c>
      <c r="W442" s="133">
        <f>VLOOKUP(U442,Sheet1!$B$6:$C$45,2,FALSE)*V442</f>
        <v>0</v>
      </c>
      <c r="X442" s="141"/>
      <c r="Y442" s="122" t="s">
        <v>326</v>
      </c>
      <c r="Z442" s="146">
        <f>VLOOKUP(Takeoffs!Y442,Sheet1!$B$6:$C$124,2,FALSE)</f>
        <v>29.04</v>
      </c>
      <c r="AA442" s="146">
        <f t="shared" si="190"/>
        <v>0</v>
      </c>
      <c r="AB442" s="143">
        <f t="shared" si="191"/>
        <v>0</v>
      </c>
      <c r="AC442" s="133">
        <f t="shared" si="192"/>
        <v>0</v>
      </c>
      <c r="AD442" s="142">
        <v>1</v>
      </c>
      <c r="AE442" s="141"/>
      <c r="AF442" s="121" t="s">
        <v>292</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337</v>
      </c>
      <c r="P443" s="121"/>
      <c r="Q443" s="66"/>
      <c r="R443" s="121" t="s">
        <v>331</v>
      </c>
      <c r="S443" s="133">
        <f>M428</f>
        <v>0</v>
      </c>
      <c r="T443" s="120"/>
      <c r="U443" s="121" t="s">
        <v>292</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292</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292</v>
      </c>
      <c r="V444" s="133">
        <f t="shared" si="189"/>
        <v>0</v>
      </c>
      <c r="W444" s="133">
        <f>VLOOKUP(U444,Sheet1!$B$6:$C$45,2,FALSE)*V444</f>
        <v>0</v>
      </c>
      <c r="X444" s="141"/>
      <c r="Y444" s="121" t="s">
        <v>292</v>
      </c>
      <c r="Z444" s="146">
        <f>VLOOKUP(Takeoffs!Y444,Sheet1!$B$6:$C$124,2,FALSE)</f>
        <v>0</v>
      </c>
      <c r="AA444" s="146">
        <f t="shared" si="190"/>
        <v>0</v>
      </c>
      <c r="AB444" s="143">
        <f t="shared" si="191"/>
        <v>0</v>
      </c>
      <c r="AC444" s="133">
        <f t="shared" si="192"/>
        <v>0</v>
      </c>
      <c r="AD444" s="142">
        <v>1</v>
      </c>
      <c r="AE444" s="141"/>
      <c r="AF444" s="121" t="s">
        <v>292</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329</v>
      </c>
      <c r="P445" s="121"/>
      <c r="Q445" s="66"/>
      <c r="R445" s="121" t="s">
        <v>304</v>
      </c>
      <c r="S445" s="133">
        <f>M428</f>
        <v>0</v>
      </c>
      <c r="T445" s="120"/>
      <c r="U445" s="121" t="s">
        <v>292</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292</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292</v>
      </c>
      <c r="V446" s="133">
        <f t="shared" si="189"/>
        <v>0</v>
      </c>
      <c r="W446" s="133">
        <f>VLOOKUP(U446,Sheet1!$B$6:$C$45,2,FALSE)*V446</f>
        <v>0</v>
      </c>
      <c r="X446" s="141"/>
      <c r="Y446" s="121" t="s">
        <v>292</v>
      </c>
      <c r="Z446" s="146">
        <f>VLOOKUP(Takeoffs!Y446,Sheet1!$B$6:$C$124,2,FALSE)</f>
        <v>0</v>
      </c>
      <c r="AA446" s="146">
        <f t="shared" si="190"/>
        <v>0</v>
      </c>
      <c r="AB446" s="143">
        <f t="shared" si="191"/>
        <v>0</v>
      </c>
      <c r="AC446" s="133">
        <f t="shared" si="192"/>
        <v>0</v>
      </c>
      <c r="AD446" s="142">
        <v>1</v>
      </c>
      <c r="AE446" s="141"/>
      <c r="AF446" s="121" t="s">
        <v>292</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407</v>
      </c>
      <c r="P447" s="121"/>
      <c r="Q447" s="66"/>
      <c r="R447" s="121"/>
      <c r="S447" s="133">
        <f>M428</f>
        <v>0</v>
      </c>
      <c r="T447" s="120"/>
      <c r="U447" s="121" t="s">
        <v>292</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292</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408</v>
      </c>
      <c r="P448" s="121"/>
      <c r="Q448" s="66"/>
      <c r="R448" s="121"/>
      <c r="S448" s="133">
        <f>M428</f>
        <v>0</v>
      </c>
      <c r="T448" s="120"/>
      <c r="U448" s="121" t="s">
        <v>362</v>
      </c>
      <c r="V448" s="133">
        <f t="shared" si="189"/>
        <v>0</v>
      </c>
      <c r="W448" s="133">
        <f>VLOOKUP(U448,Sheet1!$B$6:$C$45,2,FALSE)*V448</f>
        <v>0</v>
      </c>
      <c r="X448" s="141"/>
      <c r="Y448" s="121" t="s">
        <v>292</v>
      </c>
      <c r="Z448" s="146">
        <f>VLOOKUP(Takeoffs!Y448,Sheet1!$B$6:$C$124,2,FALSE)</f>
        <v>0</v>
      </c>
      <c r="AA448" s="146">
        <f t="shared" si="190"/>
        <v>0</v>
      </c>
      <c r="AB448" s="143">
        <f t="shared" si="191"/>
        <v>0</v>
      </c>
      <c r="AC448" s="133">
        <f t="shared" si="192"/>
        <v>0</v>
      </c>
      <c r="AD448" s="142">
        <v>1</v>
      </c>
      <c r="AE448" s="141"/>
      <c r="AF448" s="121" t="s">
        <v>292</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377</v>
      </c>
      <c r="L449" s="128" t="s">
        <v>378</v>
      </c>
      <c r="N449" s="129"/>
      <c r="O449" s="130" t="s">
        <v>357</v>
      </c>
      <c r="P449" s="131">
        <f>V449+AA449+AH449</f>
        <v>0</v>
      </c>
      <c r="Q449" s="131"/>
      <c r="R449" s="131"/>
      <c r="S449" s="130"/>
      <c r="T449" s="127"/>
      <c r="U449" s="126" t="s">
        <v>351</v>
      </c>
      <c r="V449" s="127">
        <f>W449*80</f>
        <v>0</v>
      </c>
      <c r="W449" s="147">
        <f>SUM(W428:W448)</f>
        <v>0</v>
      </c>
      <c r="X449" s="148"/>
      <c r="Y449" s="127" t="s">
        <v>352</v>
      </c>
      <c r="Z449" s="116"/>
      <c r="AA449" s="116">
        <f>SUM(AA428:AA448)</f>
        <v>0</v>
      </c>
      <c r="AB449" s="149"/>
      <c r="AC449" s="149"/>
      <c r="AD449" s="149"/>
      <c r="AE449" s="149"/>
      <c r="AF449" s="127" t="s">
        <v>356</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hidden="1" x14ac:dyDescent="0.8">
      <c r="A450" s="262">
        <f>ROW()</f>
        <v>450</v>
      </c>
      <c r="B450" s="234" t="s">
        <v>491</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367</v>
      </c>
      <c r="N450" s="160" t="str">
        <f>N428</f>
        <v>DOL fan with interlock - from MSSB power supply</v>
      </c>
      <c r="O450" s="160" t="s">
        <v>365</v>
      </c>
      <c r="P450" s="82" t="e">
        <f>P449/M428</f>
        <v>#DIV/0!</v>
      </c>
      <c r="Q450" s="161"/>
      <c r="R450" s="161"/>
      <c r="S450" s="160"/>
      <c r="T450" s="161"/>
      <c r="U450" s="571" t="s">
        <v>366</v>
      </c>
      <c r="V450" s="571"/>
      <c r="W450" s="162" t="e">
        <f>W449/M428</f>
        <v>#DIV/0!</v>
      </c>
      <c r="X450" s="163"/>
      <c r="Y450" s="570" t="s">
        <v>365</v>
      </c>
      <c r="Z450" s="570"/>
      <c r="AA450" s="164" t="e">
        <f>AA449/M428</f>
        <v>#DIV/0!</v>
      </c>
      <c r="AB450" s="161"/>
      <c r="AC450" s="161"/>
      <c r="AD450" s="161"/>
      <c r="AE450" s="161"/>
      <c r="AF450" s="570" t="s">
        <v>365</v>
      </c>
      <c r="AG450" s="570"/>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452</v>
      </c>
      <c r="M451" s="116" t="s">
        <v>107</v>
      </c>
      <c r="N451" s="116" t="s">
        <v>108</v>
      </c>
      <c r="O451" s="170" t="s">
        <v>386</v>
      </c>
      <c r="P451" s="572" t="s">
        <v>375</v>
      </c>
      <c r="Q451" s="572"/>
      <c r="R451" s="101" t="s">
        <v>452</v>
      </c>
      <c r="S451" s="116" t="s">
        <v>0</v>
      </c>
      <c r="T451" s="118"/>
      <c r="U451" s="116" t="s">
        <v>287</v>
      </c>
      <c r="V451" s="116" t="s">
        <v>288</v>
      </c>
      <c r="W451" s="116" t="s">
        <v>291</v>
      </c>
      <c r="X451" s="140"/>
      <c r="Y451" s="116" t="s">
        <v>289</v>
      </c>
      <c r="Z451" s="116" t="s">
        <v>354</v>
      </c>
      <c r="AA451" s="116" t="s">
        <v>355</v>
      </c>
      <c r="AB451" s="116" t="s">
        <v>317</v>
      </c>
      <c r="AC451" s="116" t="s">
        <v>318</v>
      </c>
      <c r="AD451" s="116" t="s">
        <v>316</v>
      </c>
      <c r="AE451" s="140"/>
      <c r="AF451" s="116" t="s">
        <v>293</v>
      </c>
      <c r="AG451" s="116" t="s">
        <v>354</v>
      </c>
      <c r="AH451" s="116" t="s">
        <v>355</v>
      </c>
      <c r="AI451" s="116" t="s">
        <v>296</v>
      </c>
      <c r="AJ451" s="116" t="s">
        <v>294</v>
      </c>
      <c r="AK451" s="116" t="s">
        <v>295</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608</v>
      </c>
      <c r="O452" s="121" t="s">
        <v>347</v>
      </c>
      <c r="P452" s="169" t="s">
        <v>379</v>
      </c>
      <c r="Q452" s="169" t="s">
        <v>375</v>
      </c>
      <c r="R452" s="169"/>
      <c r="S452" s="133">
        <f>M452</f>
        <v>0</v>
      </c>
      <c r="T452" s="119"/>
      <c r="U452" s="121" t="s">
        <v>292</v>
      </c>
      <c r="V452" s="133">
        <f>S452</f>
        <v>0</v>
      </c>
      <c r="W452" s="133">
        <f>VLOOKUP(U452,Sheet1!$B$6:$C$45,2,FALSE)*V452</f>
        <v>0</v>
      </c>
      <c r="X452" s="141"/>
      <c r="Y452" s="121" t="s">
        <v>292</v>
      </c>
      <c r="Z452" s="146">
        <f>VLOOKUP(Takeoffs!Y452,Sheet1!$B$6:$C$124,2,FALSE)</f>
        <v>0</v>
      </c>
      <c r="AA452" s="146">
        <f>Z452*AB452</f>
        <v>0</v>
      </c>
      <c r="AB452" s="143">
        <f>AD452*AC452</f>
        <v>0</v>
      </c>
      <c r="AC452" s="133">
        <f>S452</f>
        <v>0</v>
      </c>
      <c r="AD452" s="142">
        <v>1</v>
      </c>
      <c r="AE452" s="141"/>
      <c r="AF452" s="121" t="s">
        <v>292</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340</v>
      </c>
      <c r="P453" s="121"/>
      <c r="Q453" s="66"/>
      <c r="R453" s="121"/>
      <c r="S453" s="133">
        <f>M452</f>
        <v>0</v>
      </c>
      <c r="T453" s="120"/>
      <c r="U453" s="121" t="s">
        <v>292</v>
      </c>
      <c r="V453" s="133">
        <f t="shared" ref="V453:V472" si="199">S453</f>
        <v>0</v>
      </c>
      <c r="W453" s="133">
        <f>VLOOKUP(U453,Sheet1!$B$6:$C$45,2,FALSE)*V453</f>
        <v>0</v>
      </c>
      <c r="X453" s="141"/>
      <c r="Y453" s="121" t="s">
        <v>292</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292</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308</v>
      </c>
      <c r="P454" s="121" t="s">
        <v>593</v>
      </c>
      <c r="Q454" s="121" t="s">
        <v>609</v>
      </c>
      <c r="R454" s="121"/>
      <c r="S454" s="133">
        <f>M452</f>
        <v>0</v>
      </c>
      <c r="T454" s="120"/>
      <c r="U454" s="121" t="s">
        <v>292</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292</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593</v>
      </c>
      <c r="Q455" s="66" t="s">
        <v>610</v>
      </c>
      <c r="R455" s="121"/>
      <c r="S455" s="133">
        <f>M452</f>
        <v>0</v>
      </c>
      <c r="T455" s="120"/>
      <c r="U455" s="121" t="s">
        <v>292</v>
      </c>
      <c r="V455" s="133">
        <f t="shared" si="199"/>
        <v>0</v>
      </c>
      <c r="W455" s="133">
        <f>VLOOKUP(U455,Sheet1!$B$6:$C$45,2,FALSE)*V455</f>
        <v>0</v>
      </c>
      <c r="X455" s="141"/>
      <c r="Y455" s="121" t="s">
        <v>292</v>
      </c>
      <c r="Z455" s="146">
        <f>VLOOKUP(Takeoffs!Y455,Sheet1!$B$6:$C$124,2,FALSE)</f>
        <v>0</v>
      </c>
      <c r="AA455" s="146">
        <f t="shared" si="200"/>
        <v>0</v>
      </c>
      <c r="AB455" s="143">
        <f t="shared" si="201"/>
        <v>0</v>
      </c>
      <c r="AC455" s="133">
        <f t="shared" si="202"/>
        <v>0</v>
      </c>
      <c r="AD455" s="142">
        <v>1</v>
      </c>
      <c r="AE455" s="141"/>
      <c r="AF455" s="121" t="s">
        <v>292</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593</v>
      </c>
      <c r="Q456" s="121" t="s">
        <v>594</v>
      </c>
      <c r="R456" s="121"/>
      <c r="S456" s="133">
        <f>M452</f>
        <v>0</v>
      </c>
      <c r="T456" s="120"/>
      <c r="U456" s="121" t="s">
        <v>292</v>
      </c>
      <c r="V456" s="133">
        <f t="shared" si="199"/>
        <v>0</v>
      </c>
      <c r="W456" s="133">
        <f>VLOOKUP(U456,Sheet1!$B$6:$C$45,2,FALSE)*V456</f>
        <v>0</v>
      </c>
      <c r="X456" s="141"/>
      <c r="Y456" s="121" t="s">
        <v>292</v>
      </c>
      <c r="Z456" s="146">
        <f>VLOOKUP(Takeoffs!Y456,Sheet1!$B$6:$C$124,2,FALSE)</f>
        <v>0</v>
      </c>
      <c r="AA456" s="146">
        <f t="shared" si="200"/>
        <v>0</v>
      </c>
      <c r="AB456" s="143">
        <f t="shared" si="201"/>
        <v>0</v>
      </c>
      <c r="AC456" s="133">
        <f t="shared" si="202"/>
        <v>0</v>
      </c>
      <c r="AD456" s="142">
        <v>1</v>
      </c>
      <c r="AE456" s="141"/>
      <c r="AF456" s="121" t="s">
        <v>292</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611</v>
      </c>
      <c r="P457" s="121"/>
      <c r="Q457" s="121"/>
      <c r="R457" s="121"/>
      <c r="S457" s="133">
        <f>M452</f>
        <v>0</v>
      </c>
      <c r="T457" s="120"/>
      <c r="U457" s="121" t="s">
        <v>292</v>
      </c>
      <c r="V457" s="133">
        <f t="shared" si="199"/>
        <v>0</v>
      </c>
      <c r="W457" s="133">
        <f>VLOOKUP(U457,Sheet1!$B$6:$C$45,2,FALSE)*V457</f>
        <v>0</v>
      </c>
      <c r="X457" s="141"/>
      <c r="Y457" s="121" t="s">
        <v>292</v>
      </c>
      <c r="Z457" s="146">
        <f>VLOOKUP(Takeoffs!Y457,Sheet1!$B$6:$C$124,2,FALSE)</f>
        <v>0</v>
      </c>
      <c r="AA457" s="146">
        <f t="shared" si="200"/>
        <v>0</v>
      </c>
      <c r="AB457" s="143">
        <f t="shared" si="201"/>
        <v>0</v>
      </c>
      <c r="AC457" s="133">
        <f t="shared" si="202"/>
        <v>0</v>
      </c>
      <c r="AD457" s="142">
        <v>1</v>
      </c>
      <c r="AE457" s="141"/>
      <c r="AF457" s="121" t="s">
        <v>292</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596</v>
      </c>
      <c r="P458" s="121"/>
      <c r="Q458" s="121"/>
      <c r="R458" s="121"/>
      <c r="S458" s="133">
        <f>M452</f>
        <v>0</v>
      </c>
      <c r="T458" s="120"/>
      <c r="U458" s="121" t="s">
        <v>292</v>
      </c>
      <c r="V458" s="133">
        <f t="shared" si="199"/>
        <v>0</v>
      </c>
      <c r="W458" s="133">
        <f>VLOOKUP(U458,Sheet1!$B$6:$C$45,2,FALSE)*V458</f>
        <v>0</v>
      </c>
      <c r="X458" s="141"/>
      <c r="Y458" s="121" t="s">
        <v>292</v>
      </c>
      <c r="Z458" s="146">
        <f>VLOOKUP(Takeoffs!Y458,Sheet1!$B$6:$C$124,2,FALSE)</f>
        <v>0</v>
      </c>
      <c r="AA458" s="146">
        <f t="shared" si="200"/>
        <v>0</v>
      </c>
      <c r="AB458" s="143">
        <f t="shared" si="201"/>
        <v>0</v>
      </c>
      <c r="AC458" s="133">
        <f t="shared" si="202"/>
        <v>0</v>
      </c>
      <c r="AD458" s="142">
        <v>1</v>
      </c>
      <c r="AE458" s="141"/>
      <c r="AF458" s="121" t="s">
        <v>292</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597</v>
      </c>
      <c r="P459" s="121"/>
      <c r="Q459" s="121"/>
      <c r="R459" s="121"/>
      <c r="S459" s="133">
        <f>M452</f>
        <v>0</v>
      </c>
      <c r="T459" s="120"/>
      <c r="U459" s="121" t="s">
        <v>292</v>
      </c>
      <c r="V459" s="133">
        <f t="shared" si="199"/>
        <v>0</v>
      </c>
      <c r="W459" s="133">
        <f>VLOOKUP(U459,Sheet1!$B$6:$C$45,2,FALSE)*V459</f>
        <v>0</v>
      </c>
      <c r="X459" s="141"/>
      <c r="Y459" s="121" t="s">
        <v>292</v>
      </c>
      <c r="Z459" s="146">
        <f>VLOOKUP(Takeoffs!Y459,Sheet1!$B$6:$C$124,2,FALSE)</f>
        <v>0</v>
      </c>
      <c r="AA459" s="146">
        <f t="shared" si="200"/>
        <v>0</v>
      </c>
      <c r="AB459" s="143">
        <f t="shared" si="201"/>
        <v>0</v>
      </c>
      <c r="AC459" s="133">
        <f t="shared" si="202"/>
        <v>0</v>
      </c>
      <c r="AD459" s="142">
        <v>1</v>
      </c>
      <c r="AE459" s="141"/>
      <c r="AF459" s="121" t="s">
        <v>292</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328</v>
      </c>
      <c r="P460" s="121"/>
      <c r="Q460" s="121"/>
      <c r="R460" s="121"/>
      <c r="S460" s="133">
        <f>M452</f>
        <v>0</v>
      </c>
      <c r="T460" s="120"/>
      <c r="U460" s="121" t="s">
        <v>242</v>
      </c>
      <c r="V460" s="133">
        <f t="shared" si="199"/>
        <v>0</v>
      </c>
      <c r="W460" s="133">
        <f>VLOOKUP(U460,Sheet1!$B$6:$C$45,2,FALSE)*V460</f>
        <v>0</v>
      </c>
      <c r="X460" s="141"/>
      <c r="Y460" s="121" t="s">
        <v>292</v>
      </c>
      <c r="Z460" s="146">
        <f>VLOOKUP(Takeoffs!Y460,Sheet1!$B$6:$C$124,2,FALSE)</f>
        <v>0</v>
      </c>
      <c r="AA460" s="146">
        <f t="shared" si="200"/>
        <v>0</v>
      </c>
      <c r="AB460" s="143">
        <f t="shared" si="201"/>
        <v>0</v>
      </c>
      <c r="AC460" s="133">
        <f t="shared" si="202"/>
        <v>0</v>
      </c>
      <c r="AD460" s="142">
        <v>1</v>
      </c>
      <c r="AE460" s="141"/>
      <c r="AF460" s="121" t="s">
        <v>292</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292</v>
      </c>
      <c r="V461" s="133">
        <f t="shared" si="199"/>
        <v>0</v>
      </c>
      <c r="W461" s="133">
        <f>VLOOKUP(U461,Sheet1!$B$6:$C$45,2,FALSE)*V461</f>
        <v>0</v>
      </c>
      <c r="X461" s="141"/>
      <c r="Y461" s="121" t="s">
        <v>292</v>
      </c>
      <c r="Z461" s="146">
        <f>VLOOKUP(Takeoffs!Y461,Sheet1!$B$6:$C$124,2,FALSE)</f>
        <v>0</v>
      </c>
      <c r="AA461" s="146">
        <f t="shared" si="200"/>
        <v>0</v>
      </c>
      <c r="AB461" s="143">
        <f t="shared" si="201"/>
        <v>0</v>
      </c>
      <c r="AC461" s="133">
        <f t="shared" si="202"/>
        <v>0</v>
      </c>
      <c r="AD461" s="142">
        <v>1</v>
      </c>
      <c r="AE461" s="141"/>
      <c r="AF461" s="121" t="s">
        <v>292</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292</v>
      </c>
      <c r="V462" s="133">
        <f t="shared" si="199"/>
        <v>0</v>
      </c>
      <c r="W462" s="133">
        <f>VLOOKUP(U462,Sheet1!$B$6:$C$45,2,FALSE)*V462</f>
        <v>0</v>
      </c>
      <c r="X462" s="141"/>
      <c r="Y462" s="121" t="s">
        <v>292</v>
      </c>
      <c r="Z462" s="146">
        <f>VLOOKUP(Takeoffs!Y462,Sheet1!$B$6:$C$124,2,FALSE)</f>
        <v>0</v>
      </c>
      <c r="AA462" s="146">
        <f t="shared" si="200"/>
        <v>0</v>
      </c>
      <c r="AB462" s="143">
        <f t="shared" si="201"/>
        <v>0</v>
      </c>
      <c r="AC462" s="133">
        <f t="shared" si="202"/>
        <v>0</v>
      </c>
      <c r="AD462" s="142">
        <v>1</v>
      </c>
      <c r="AE462" s="141"/>
      <c r="AF462" s="121" t="s">
        <v>292</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292</v>
      </c>
      <c r="V463" s="133">
        <f t="shared" si="199"/>
        <v>0</v>
      </c>
      <c r="W463" s="133">
        <f>VLOOKUP(U463,Sheet1!$B$6:$C$45,2,FALSE)*V463</f>
        <v>0</v>
      </c>
      <c r="X463" s="141"/>
      <c r="Y463" s="121" t="s">
        <v>292</v>
      </c>
      <c r="Z463" s="146">
        <f>VLOOKUP(Takeoffs!Y463,Sheet1!$B$6:$C$124,2,FALSE)</f>
        <v>0</v>
      </c>
      <c r="AA463" s="146">
        <f t="shared" si="200"/>
        <v>0</v>
      </c>
      <c r="AB463" s="143">
        <f t="shared" si="201"/>
        <v>0</v>
      </c>
      <c r="AC463" s="133">
        <f t="shared" si="202"/>
        <v>0</v>
      </c>
      <c r="AD463" s="142">
        <v>1</v>
      </c>
      <c r="AE463" s="141"/>
      <c r="AF463" s="121" t="s">
        <v>292</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292</v>
      </c>
      <c r="V464" s="133">
        <f t="shared" si="199"/>
        <v>0</v>
      </c>
      <c r="W464" s="133">
        <f>VLOOKUP(U464,Sheet1!$B$6:$C$45,2,FALSE)*V464</f>
        <v>0</v>
      </c>
      <c r="X464" s="141"/>
      <c r="Y464" s="121" t="s">
        <v>292</v>
      </c>
      <c r="Z464" s="146">
        <f>VLOOKUP(Takeoffs!Y464,Sheet1!$B$6:$C$124,2,FALSE)</f>
        <v>0</v>
      </c>
      <c r="AA464" s="146">
        <f t="shared" si="200"/>
        <v>0</v>
      </c>
      <c r="AB464" s="143">
        <f t="shared" si="201"/>
        <v>0</v>
      </c>
      <c r="AC464" s="133">
        <f t="shared" si="202"/>
        <v>0</v>
      </c>
      <c r="AD464" s="142">
        <v>1</v>
      </c>
      <c r="AE464" s="141"/>
      <c r="AF464" s="152" t="s">
        <v>418</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312</v>
      </c>
      <c r="P465" s="121"/>
      <c r="Q465" s="121"/>
      <c r="R465" s="121"/>
      <c r="S465" s="133">
        <f>M452</f>
        <v>0</v>
      </c>
      <c r="T465" s="120"/>
      <c r="U465" s="121" t="s">
        <v>232</v>
      </c>
      <c r="V465" s="133">
        <f t="shared" si="199"/>
        <v>0</v>
      </c>
      <c r="W465" s="133">
        <f>VLOOKUP(U465,Sheet1!$B$6:$C$45,2,FALSE)*V465</f>
        <v>0</v>
      </c>
      <c r="X465" s="141"/>
      <c r="Y465" s="122" t="s">
        <v>1344</v>
      </c>
      <c r="Z465" s="146">
        <f>VLOOKUP(Takeoffs!Y465,Sheet1!$B$6:$C$124,2,FALSE)</f>
        <v>109.25999999999999</v>
      </c>
      <c r="AA465" s="146">
        <f t="shared" si="200"/>
        <v>0</v>
      </c>
      <c r="AB465" s="143">
        <f t="shared" si="201"/>
        <v>0</v>
      </c>
      <c r="AC465" s="133">
        <f t="shared" si="202"/>
        <v>0</v>
      </c>
      <c r="AD465" s="142">
        <v>1</v>
      </c>
      <c r="AE465" s="141"/>
      <c r="AF465" s="121" t="s">
        <v>292</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541</v>
      </c>
      <c r="P466" s="121"/>
      <c r="Q466" s="121"/>
      <c r="R466" s="121"/>
      <c r="S466" s="133">
        <f>M452</f>
        <v>0</v>
      </c>
      <c r="T466" s="120"/>
      <c r="U466" s="121" t="s">
        <v>292</v>
      </c>
      <c r="V466" s="133">
        <f t="shared" si="199"/>
        <v>0</v>
      </c>
      <c r="W466" s="133">
        <f>VLOOKUP(U466,Sheet1!$B$6:$C$45,2,FALSE)*V466</f>
        <v>0</v>
      </c>
      <c r="X466" s="141"/>
      <c r="Y466" s="122" t="s">
        <v>326</v>
      </c>
      <c r="Z466" s="146">
        <f>VLOOKUP(Takeoffs!Y466,Sheet1!$B$6:$C$124,2,FALSE)</f>
        <v>29.04</v>
      </c>
      <c r="AA466" s="146">
        <f t="shared" si="200"/>
        <v>0</v>
      </c>
      <c r="AB466" s="143">
        <f t="shared" si="201"/>
        <v>0</v>
      </c>
      <c r="AC466" s="133">
        <f t="shared" si="202"/>
        <v>0</v>
      </c>
      <c r="AD466" s="142">
        <v>1</v>
      </c>
      <c r="AE466" s="141"/>
      <c r="AF466" s="121" t="s">
        <v>292</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337</v>
      </c>
      <c r="P467" s="121"/>
      <c r="Q467" s="121"/>
      <c r="R467" s="121"/>
      <c r="S467" s="133">
        <f>M452</f>
        <v>0</v>
      </c>
      <c r="T467" s="120"/>
      <c r="U467" s="121" t="s">
        <v>292</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292</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292</v>
      </c>
      <c r="V468" s="133">
        <f t="shared" si="199"/>
        <v>0</v>
      </c>
      <c r="W468" s="133">
        <f>VLOOKUP(U468,Sheet1!$B$6:$C$45,2,FALSE)*V468</f>
        <v>0</v>
      </c>
      <c r="X468" s="141"/>
      <c r="Y468" s="121" t="s">
        <v>292</v>
      </c>
      <c r="Z468" s="146">
        <f>VLOOKUP(Takeoffs!Y468,Sheet1!$B$6:$C$124,2,FALSE)</f>
        <v>0</v>
      </c>
      <c r="AA468" s="146">
        <f t="shared" si="200"/>
        <v>0</v>
      </c>
      <c r="AB468" s="143">
        <f t="shared" si="201"/>
        <v>0</v>
      </c>
      <c r="AC468" s="133">
        <f t="shared" si="202"/>
        <v>0</v>
      </c>
      <c r="AD468" s="142">
        <v>1</v>
      </c>
      <c r="AE468" s="141"/>
      <c r="AF468" s="121" t="s">
        <v>292</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329</v>
      </c>
      <c r="P469" s="121"/>
      <c r="Q469" s="121"/>
      <c r="R469" s="121"/>
      <c r="S469" s="133">
        <f>M452</f>
        <v>0</v>
      </c>
      <c r="T469" s="120"/>
      <c r="U469" s="121" t="s">
        <v>292</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292</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292</v>
      </c>
      <c r="V470" s="133">
        <f t="shared" si="199"/>
        <v>0</v>
      </c>
      <c r="W470" s="133">
        <f>VLOOKUP(U470,Sheet1!$B$6:$C$45,2,FALSE)*V470</f>
        <v>0</v>
      </c>
      <c r="X470" s="141"/>
      <c r="Y470" s="121" t="s">
        <v>292</v>
      </c>
      <c r="Z470" s="146">
        <f>VLOOKUP(Takeoffs!Y470,Sheet1!$B$6:$C$124,2,FALSE)</f>
        <v>0</v>
      </c>
      <c r="AA470" s="146">
        <f t="shared" si="200"/>
        <v>0</v>
      </c>
      <c r="AB470" s="143">
        <f t="shared" si="201"/>
        <v>0</v>
      </c>
      <c r="AC470" s="133">
        <f t="shared" si="202"/>
        <v>0</v>
      </c>
      <c r="AD470" s="142">
        <v>1</v>
      </c>
      <c r="AE470" s="141"/>
      <c r="AF470" s="121" t="s">
        <v>292</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407</v>
      </c>
      <c r="P471" s="121"/>
      <c r="Q471" s="121"/>
      <c r="R471" s="121"/>
      <c r="S471" s="133">
        <f>M452</f>
        <v>0</v>
      </c>
      <c r="T471" s="120"/>
      <c r="U471" s="121" t="s">
        <v>292</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292</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408</v>
      </c>
      <c r="P472" s="121"/>
      <c r="Q472" s="121"/>
      <c r="R472" s="121"/>
      <c r="S472" s="133">
        <f>M452</f>
        <v>0</v>
      </c>
      <c r="T472" s="120"/>
      <c r="U472" s="121" t="s">
        <v>362</v>
      </c>
      <c r="V472" s="133">
        <f t="shared" si="199"/>
        <v>0</v>
      </c>
      <c r="W472" s="133">
        <f>VLOOKUP(U472,Sheet1!$B$6:$C$45,2,FALSE)*V472</f>
        <v>0</v>
      </c>
      <c r="X472" s="141"/>
      <c r="Y472" s="121" t="s">
        <v>292</v>
      </c>
      <c r="Z472" s="146">
        <f>VLOOKUP(Takeoffs!Y472,Sheet1!$B$6:$C$124,2,FALSE)</f>
        <v>0</v>
      </c>
      <c r="AA472" s="146">
        <f t="shared" si="200"/>
        <v>0</v>
      </c>
      <c r="AB472" s="143">
        <f t="shared" si="201"/>
        <v>0</v>
      </c>
      <c r="AC472" s="133">
        <f t="shared" si="202"/>
        <v>0</v>
      </c>
      <c r="AD472" s="142">
        <v>1</v>
      </c>
      <c r="AE472" s="141"/>
      <c r="AF472" s="121" t="s">
        <v>292</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377</v>
      </c>
      <c r="L473" s="128" t="s">
        <v>378</v>
      </c>
      <c r="N473" s="129"/>
      <c r="O473" s="130" t="s">
        <v>357</v>
      </c>
      <c r="P473" s="131">
        <f>V473+AA473+AH473</f>
        <v>0</v>
      </c>
      <c r="Q473" s="131"/>
      <c r="R473" s="131"/>
      <c r="S473" s="130"/>
      <c r="T473" s="127"/>
      <c r="U473" s="126" t="s">
        <v>351</v>
      </c>
      <c r="V473" s="127">
        <f>W473*80</f>
        <v>0</v>
      </c>
      <c r="W473" s="147">
        <f>SUM(W452:W472)</f>
        <v>0</v>
      </c>
      <c r="X473" s="148"/>
      <c r="Y473" s="127" t="s">
        <v>352</v>
      </c>
      <c r="Z473" s="116"/>
      <c r="AA473" s="116">
        <f>SUM(AA452:AA472)</f>
        <v>0</v>
      </c>
      <c r="AB473" s="149"/>
      <c r="AC473" s="149"/>
      <c r="AD473" s="149"/>
      <c r="AE473" s="149"/>
      <c r="AF473" s="127" t="s">
        <v>356</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hidden="1" x14ac:dyDescent="0.8">
      <c r="A474" s="262">
        <f>ROW()</f>
        <v>474</v>
      </c>
      <c r="B474" s="234" t="s">
        <v>491</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367</v>
      </c>
      <c r="N474" s="160" t="str">
        <f>N452</f>
        <v>general fan with interlock - from MSSB power supply ( field wiring outside MSSB by customer)</v>
      </c>
      <c r="O474" s="160" t="s">
        <v>365</v>
      </c>
      <c r="P474" s="82" t="e">
        <f>P473/M452</f>
        <v>#DIV/0!</v>
      </c>
      <c r="Q474" s="161"/>
      <c r="R474" s="161"/>
      <c r="S474" s="160"/>
      <c r="T474" s="161"/>
      <c r="U474" s="571" t="s">
        <v>366</v>
      </c>
      <c r="V474" s="571"/>
      <c r="W474" s="162" t="e">
        <f>W473/M452</f>
        <v>#DIV/0!</v>
      </c>
      <c r="X474" s="163"/>
      <c r="Y474" s="570" t="s">
        <v>365</v>
      </c>
      <c r="Z474" s="570"/>
      <c r="AA474" s="164" t="e">
        <f>AA473/M452</f>
        <v>#DIV/0!</v>
      </c>
      <c r="AB474" s="161"/>
      <c r="AC474" s="161"/>
      <c r="AD474" s="161"/>
      <c r="AE474" s="161"/>
      <c r="AF474" s="570" t="s">
        <v>365</v>
      </c>
      <c r="AG474" s="570"/>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452</v>
      </c>
      <c r="M475" s="116" t="s">
        <v>107</v>
      </c>
      <c r="N475" s="116" t="s">
        <v>108</v>
      </c>
      <c r="O475" s="170" t="s">
        <v>386</v>
      </c>
      <c r="P475" s="572" t="s">
        <v>375</v>
      </c>
      <c r="Q475" s="572"/>
      <c r="R475" s="101" t="s">
        <v>452</v>
      </c>
      <c r="S475" s="116" t="s">
        <v>0</v>
      </c>
      <c r="T475" s="118"/>
      <c r="U475" s="116" t="s">
        <v>287</v>
      </c>
      <c r="V475" s="116" t="s">
        <v>288</v>
      </c>
      <c r="W475" s="116" t="s">
        <v>291</v>
      </c>
      <c r="X475" s="140"/>
      <c r="Y475" s="116" t="s">
        <v>289</v>
      </c>
      <c r="Z475" s="116" t="s">
        <v>354</v>
      </c>
      <c r="AA475" s="116" t="s">
        <v>355</v>
      </c>
      <c r="AB475" s="116" t="s">
        <v>317</v>
      </c>
      <c r="AC475" s="116" t="s">
        <v>318</v>
      </c>
      <c r="AD475" s="116" t="s">
        <v>316</v>
      </c>
      <c r="AE475" s="140"/>
      <c r="AF475" s="116" t="s">
        <v>293</v>
      </c>
      <c r="AG475" s="116" t="s">
        <v>354</v>
      </c>
      <c r="AH475" s="116" t="s">
        <v>355</v>
      </c>
      <c r="AI475" s="116" t="s">
        <v>296</v>
      </c>
      <c r="AJ475" s="116" t="s">
        <v>294</v>
      </c>
      <c r="AK475" s="116" t="s">
        <v>295</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698</v>
      </c>
      <c r="O476" s="121" t="s">
        <v>347</v>
      </c>
      <c r="P476" s="169" t="s">
        <v>379</v>
      </c>
      <c r="Q476" s="169" t="s">
        <v>375</v>
      </c>
      <c r="R476" s="169"/>
      <c r="S476" s="133">
        <f>M476</f>
        <v>0</v>
      </c>
      <c r="T476" s="119"/>
      <c r="U476" s="121" t="s">
        <v>292</v>
      </c>
      <c r="V476" s="133">
        <f>S476</f>
        <v>0</v>
      </c>
      <c r="W476" s="133">
        <f>VLOOKUP(U476,Sheet1!$B$6:$C$45,2,FALSE)*V476</f>
        <v>0</v>
      </c>
      <c r="X476" s="141"/>
      <c r="Y476" s="121" t="s">
        <v>292</v>
      </c>
      <c r="Z476" s="146">
        <f>VLOOKUP(Takeoffs!Y476,Sheet1!$B$6:$C$124,2,FALSE)</f>
        <v>0</v>
      </c>
      <c r="AA476" s="146">
        <f>Z476*AB476</f>
        <v>0</v>
      </c>
      <c r="AB476" s="143">
        <f>AD476*AC476</f>
        <v>0</v>
      </c>
      <c r="AC476" s="133">
        <f>S476</f>
        <v>0</v>
      </c>
      <c r="AD476" s="142">
        <v>1</v>
      </c>
      <c r="AE476" s="141"/>
      <c r="AF476" s="121" t="s">
        <v>292</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340</v>
      </c>
      <c r="P477" s="121"/>
      <c r="Q477" s="66"/>
      <c r="R477" s="121"/>
      <c r="S477" s="133">
        <f>M476</f>
        <v>0</v>
      </c>
      <c r="T477" s="120"/>
      <c r="U477" s="121" t="s">
        <v>233</v>
      </c>
      <c r="V477" s="133">
        <f t="shared" ref="V477:V496" si="214">S477</f>
        <v>0</v>
      </c>
      <c r="W477" s="133">
        <f>VLOOKUP(U477,Sheet1!$B$6:$C$45,2,FALSE)*V477</f>
        <v>0</v>
      </c>
      <c r="X477" s="141"/>
      <c r="Y477" s="121" t="s">
        <v>292</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292</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441</v>
      </c>
      <c r="P478" s="121" t="s">
        <v>539</v>
      </c>
      <c r="Q478" s="66" t="s">
        <v>687</v>
      </c>
      <c r="R478" s="121"/>
      <c r="S478" s="133">
        <f>M476</f>
        <v>0</v>
      </c>
      <c r="T478" s="120"/>
      <c r="U478" s="121" t="s">
        <v>292</v>
      </c>
      <c r="V478" s="133">
        <f t="shared" si="214"/>
        <v>0</v>
      </c>
      <c r="W478" s="133">
        <f>VLOOKUP(U478,Sheet1!$B$6:$C$45,2,FALSE)*V478</f>
        <v>0</v>
      </c>
      <c r="X478" s="141"/>
      <c r="Y478" s="121" t="s">
        <v>292</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406</v>
      </c>
      <c r="P479" s="121"/>
      <c r="Q479" s="66"/>
      <c r="R479" s="121"/>
      <c r="S479" s="133">
        <f>M476</f>
        <v>0</v>
      </c>
      <c r="T479" s="120"/>
      <c r="U479" s="121" t="s">
        <v>292</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292</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292</v>
      </c>
      <c r="V480" s="133">
        <f t="shared" si="214"/>
        <v>0</v>
      </c>
      <c r="W480" s="133">
        <f>VLOOKUP(U480,Sheet1!$B$6:$C$45,2,FALSE)*V480</f>
        <v>0</v>
      </c>
      <c r="X480" s="141"/>
      <c r="Y480" s="121" t="s">
        <v>292</v>
      </c>
      <c r="Z480" s="146">
        <f>VLOOKUP(Takeoffs!Y480,Sheet1!$B$6:$C$124,2,FALSE)</f>
        <v>0</v>
      </c>
      <c r="AA480" s="146">
        <f t="shared" si="215"/>
        <v>0</v>
      </c>
      <c r="AB480" s="143">
        <f t="shared" si="216"/>
        <v>0</v>
      </c>
      <c r="AC480" s="133">
        <f t="shared" si="217"/>
        <v>0</v>
      </c>
      <c r="AD480" s="142">
        <v>1</v>
      </c>
      <c r="AE480" s="141"/>
      <c r="AF480" s="121" t="s">
        <v>292</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292</v>
      </c>
      <c r="V481" s="133">
        <f t="shared" si="214"/>
        <v>0</v>
      </c>
      <c r="W481" s="133">
        <f>VLOOKUP(U481,Sheet1!$B$6:$C$45,2,FALSE)*V481</f>
        <v>0</v>
      </c>
      <c r="X481" s="141"/>
      <c r="Y481" s="121" t="s">
        <v>292</v>
      </c>
      <c r="Z481" s="146">
        <f>VLOOKUP(Takeoffs!Y481,Sheet1!$B$6:$C$124,2,FALSE)</f>
        <v>0</v>
      </c>
      <c r="AA481" s="146">
        <f t="shared" si="215"/>
        <v>0</v>
      </c>
      <c r="AB481" s="143">
        <f t="shared" si="216"/>
        <v>0</v>
      </c>
      <c r="AC481" s="133">
        <f t="shared" si="217"/>
        <v>0</v>
      </c>
      <c r="AD481" s="142">
        <v>1</v>
      </c>
      <c r="AE481" s="141"/>
      <c r="AF481" s="121" t="s">
        <v>292</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292</v>
      </c>
      <c r="V482" s="133">
        <f t="shared" si="214"/>
        <v>0</v>
      </c>
      <c r="W482" s="133">
        <f>VLOOKUP(U482,Sheet1!$B$6:$C$45,2,FALSE)*V482</f>
        <v>0</v>
      </c>
      <c r="X482" s="141"/>
      <c r="Y482" s="121" t="s">
        <v>292</v>
      </c>
      <c r="Z482" s="146">
        <f>VLOOKUP(Takeoffs!Y482,Sheet1!$B$6:$C$124,2,FALSE)</f>
        <v>0</v>
      </c>
      <c r="AA482" s="146">
        <f t="shared" si="215"/>
        <v>0</v>
      </c>
      <c r="AB482" s="143">
        <f t="shared" si="216"/>
        <v>0</v>
      </c>
      <c r="AC482" s="133">
        <f t="shared" si="217"/>
        <v>0</v>
      </c>
      <c r="AD482" s="142">
        <v>1</v>
      </c>
      <c r="AE482" s="141"/>
      <c r="AF482" s="121" t="s">
        <v>292</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292</v>
      </c>
      <c r="V483" s="133">
        <f t="shared" si="214"/>
        <v>0</v>
      </c>
      <c r="W483" s="133">
        <f>VLOOKUP(U483,Sheet1!$B$6:$C$45,2,FALSE)*V483</f>
        <v>0</v>
      </c>
      <c r="X483" s="141"/>
      <c r="Y483" s="121" t="s">
        <v>292</v>
      </c>
      <c r="Z483" s="146">
        <f>VLOOKUP(Takeoffs!Y483,Sheet1!$B$6:$C$124,2,FALSE)</f>
        <v>0</v>
      </c>
      <c r="AA483" s="146">
        <f t="shared" si="215"/>
        <v>0</v>
      </c>
      <c r="AB483" s="143">
        <f t="shared" si="216"/>
        <v>0</v>
      </c>
      <c r="AC483" s="133">
        <f t="shared" si="217"/>
        <v>0</v>
      </c>
      <c r="AD483" s="142">
        <v>1</v>
      </c>
      <c r="AE483" s="141"/>
      <c r="AF483" s="121" t="s">
        <v>292</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328</v>
      </c>
      <c r="P484" s="121"/>
      <c r="Q484" s="66"/>
      <c r="R484" s="121"/>
      <c r="S484" s="133">
        <f>M476</f>
        <v>0</v>
      </c>
      <c r="T484" s="120"/>
      <c r="U484" s="121" t="s">
        <v>292</v>
      </c>
      <c r="V484" s="133">
        <f t="shared" si="214"/>
        <v>0</v>
      </c>
      <c r="W484" s="133">
        <f>VLOOKUP(U484,Sheet1!$B$6:$C$45,2,FALSE)*V484</f>
        <v>0</v>
      </c>
      <c r="X484" s="141"/>
      <c r="Y484" s="121" t="s">
        <v>292</v>
      </c>
      <c r="Z484" s="146">
        <f>VLOOKUP(Takeoffs!Y484,Sheet1!$B$6:$C$124,2,FALSE)</f>
        <v>0</v>
      </c>
      <c r="AA484" s="146">
        <f t="shared" si="215"/>
        <v>0</v>
      </c>
      <c r="AB484" s="143">
        <f t="shared" si="216"/>
        <v>0</v>
      </c>
      <c r="AC484" s="133">
        <f t="shared" si="217"/>
        <v>0</v>
      </c>
      <c r="AD484" s="142">
        <v>1</v>
      </c>
      <c r="AE484" s="141"/>
      <c r="AF484" s="121" t="s">
        <v>292</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292</v>
      </c>
      <c r="V485" s="133">
        <f t="shared" si="214"/>
        <v>0</v>
      </c>
      <c r="W485" s="133">
        <f>VLOOKUP(U485,Sheet1!$B$6:$C$45,2,FALSE)*V485</f>
        <v>0</v>
      </c>
      <c r="X485" s="141"/>
      <c r="Y485" s="121" t="s">
        <v>292</v>
      </c>
      <c r="Z485" s="146">
        <f>VLOOKUP(Takeoffs!Y485,Sheet1!$B$6:$C$124,2,FALSE)</f>
        <v>0</v>
      </c>
      <c r="AA485" s="146">
        <f t="shared" si="215"/>
        <v>0</v>
      </c>
      <c r="AB485" s="143">
        <f t="shared" si="216"/>
        <v>0</v>
      </c>
      <c r="AC485" s="133">
        <f t="shared" si="217"/>
        <v>0</v>
      </c>
      <c r="AD485" s="142">
        <v>1</v>
      </c>
      <c r="AE485" s="141"/>
      <c r="AF485" s="121" t="s">
        <v>292</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292</v>
      </c>
      <c r="V486" s="133">
        <f t="shared" si="214"/>
        <v>0</v>
      </c>
      <c r="W486" s="133">
        <f>VLOOKUP(U486,Sheet1!$B$6:$C$45,2,FALSE)*V486</f>
        <v>0</v>
      </c>
      <c r="X486" s="141"/>
      <c r="Y486" s="121" t="s">
        <v>292</v>
      </c>
      <c r="Z486" s="146">
        <f>VLOOKUP(Takeoffs!Y486,Sheet1!$B$6:$C$124,2,FALSE)</f>
        <v>0</v>
      </c>
      <c r="AA486" s="146">
        <f t="shared" si="215"/>
        <v>0</v>
      </c>
      <c r="AB486" s="143">
        <f t="shared" si="216"/>
        <v>0</v>
      </c>
      <c r="AC486" s="133">
        <f t="shared" si="217"/>
        <v>0</v>
      </c>
      <c r="AD486" s="142">
        <v>1</v>
      </c>
      <c r="AE486" s="141"/>
      <c r="AF486" s="121" t="s">
        <v>292</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292</v>
      </c>
      <c r="V487" s="133">
        <f t="shared" si="214"/>
        <v>0</v>
      </c>
      <c r="W487" s="133">
        <f>VLOOKUP(U487,Sheet1!$B$6:$C$45,2,FALSE)*V487</f>
        <v>0</v>
      </c>
      <c r="X487" s="141"/>
      <c r="Y487" s="121" t="s">
        <v>292</v>
      </c>
      <c r="Z487" s="146">
        <f>VLOOKUP(Takeoffs!Y487,Sheet1!$B$6:$C$124,2,FALSE)</f>
        <v>0</v>
      </c>
      <c r="AA487" s="146">
        <f t="shared" si="215"/>
        <v>0</v>
      </c>
      <c r="AB487" s="143">
        <f t="shared" si="216"/>
        <v>0</v>
      </c>
      <c r="AC487" s="133">
        <f t="shared" si="217"/>
        <v>0</v>
      </c>
      <c r="AD487" s="142">
        <v>1</v>
      </c>
      <c r="AE487" s="141"/>
      <c r="AF487" s="121" t="s">
        <v>292</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292</v>
      </c>
      <c r="V488" s="133">
        <f t="shared" si="214"/>
        <v>0</v>
      </c>
      <c r="W488" s="133">
        <f>VLOOKUP(U488,Sheet1!$B$6:$C$45,2,FALSE)*V488</f>
        <v>0</v>
      </c>
      <c r="X488" s="141"/>
      <c r="Y488" s="121" t="s">
        <v>292</v>
      </c>
      <c r="Z488" s="146">
        <f>VLOOKUP(Takeoffs!Y488,Sheet1!$B$6:$C$124,2,FALSE)</f>
        <v>0</v>
      </c>
      <c r="AA488" s="146">
        <f t="shared" si="215"/>
        <v>0</v>
      </c>
      <c r="AB488" s="143">
        <f t="shared" si="216"/>
        <v>0</v>
      </c>
      <c r="AC488" s="133">
        <f t="shared" si="217"/>
        <v>0</v>
      </c>
      <c r="AD488" s="142">
        <v>1</v>
      </c>
      <c r="AE488" s="141"/>
      <c r="AF488" s="152" t="s">
        <v>418</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312</v>
      </c>
      <c r="P489" s="121"/>
      <c r="Q489" s="66"/>
      <c r="R489" s="121"/>
      <c r="S489" s="133">
        <f>M476</f>
        <v>0</v>
      </c>
      <c r="T489" s="120"/>
      <c r="U489" s="121" t="s">
        <v>232</v>
      </c>
      <c r="V489" s="133">
        <f t="shared" si="214"/>
        <v>0</v>
      </c>
      <c r="W489" s="133">
        <f>VLOOKUP(U489,Sheet1!$B$6:$C$45,2,FALSE)*V489</f>
        <v>0</v>
      </c>
      <c r="X489" s="141"/>
      <c r="Y489" s="135" t="s">
        <v>422</v>
      </c>
      <c r="Z489" s="146">
        <f>VLOOKUP(Takeoffs!Y489,Sheet1!$B$6:$C$124,2,FALSE)</f>
        <v>23.4</v>
      </c>
      <c r="AA489" s="146">
        <f t="shared" si="215"/>
        <v>0</v>
      </c>
      <c r="AB489" s="143">
        <f t="shared" si="216"/>
        <v>0</v>
      </c>
      <c r="AC489" s="133">
        <f t="shared" si="217"/>
        <v>0</v>
      </c>
      <c r="AD489" s="142">
        <v>1</v>
      </c>
      <c r="AE489" s="141"/>
      <c r="AF489" s="121" t="s">
        <v>292</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696</v>
      </c>
      <c r="P490" s="121"/>
      <c r="Q490" s="66"/>
      <c r="R490" s="121"/>
      <c r="S490" s="133">
        <f>M476</f>
        <v>0</v>
      </c>
      <c r="T490" s="120"/>
      <c r="U490" s="121" t="s">
        <v>292</v>
      </c>
      <c r="V490" s="133">
        <f t="shared" si="214"/>
        <v>0</v>
      </c>
      <c r="W490" s="133">
        <f>VLOOKUP(U490,Sheet1!$B$6:$C$45,2,FALSE)*V490</f>
        <v>0</v>
      </c>
      <c r="X490" s="141"/>
      <c r="Y490" s="121" t="s">
        <v>292</v>
      </c>
      <c r="Z490" s="146">
        <f>VLOOKUP(Takeoffs!Y490,Sheet1!$B$6:$C$124,2,FALSE)</f>
        <v>0</v>
      </c>
      <c r="AA490" s="146">
        <f t="shared" si="215"/>
        <v>0</v>
      </c>
      <c r="AB490" s="143">
        <f t="shared" si="216"/>
        <v>0</v>
      </c>
      <c r="AC490" s="133">
        <f t="shared" si="217"/>
        <v>0</v>
      </c>
      <c r="AD490" s="142">
        <v>1</v>
      </c>
      <c r="AE490" s="141"/>
      <c r="AF490" s="121" t="s">
        <v>292</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331</v>
      </c>
      <c r="S491" s="133">
        <f>M476</f>
        <v>0</v>
      </c>
      <c r="T491" s="120"/>
      <c r="U491" s="121" t="s">
        <v>292</v>
      </c>
      <c r="V491" s="133">
        <f t="shared" si="214"/>
        <v>0</v>
      </c>
      <c r="W491" s="133">
        <f>VLOOKUP(U491,Sheet1!$B$6:$C$45,2,FALSE)*V491</f>
        <v>0</v>
      </c>
      <c r="X491" s="141"/>
      <c r="Y491" s="121" t="s">
        <v>292</v>
      </c>
      <c r="Z491" s="146">
        <f>VLOOKUP(Takeoffs!Y491,Sheet1!$B$6:$C$124,2,FALSE)</f>
        <v>0</v>
      </c>
      <c r="AA491" s="146">
        <f t="shared" si="215"/>
        <v>0</v>
      </c>
      <c r="AB491" s="143">
        <f t="shared" si="216"/>
        <v>0</v>
      </c>
      <c r="AC491" s="133">
        <f t="shared" si="217"/>
        <v>0</v>
      </c>
      <c r="AD491" s="142">
        <v>2</v>
      </c>
      <c r="AE491" s="141"/>
      <c r="AF491" s="121" t="s">
        <v>292</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292</v>
      </c>
      <c r="V492" s="133">
        <f t="shared" si="214"/>
        <v>0</v>
      </c>
      <c r="W492" s="133">
        <f>VLOOKUP(U492,Sheet1!$B$6:$C$45,2,FALSE)*V492</f>
        <v>0</v>
      </c>
      <c r="X492" s="141"/>
      <c r="Y492" s="135" t="s">
        <v>697</v>
      </c>
      <c r="Z492" s="146">
        <f>VLOOKUP(Takeoffs!Y492,Sheet1!$B$6:$C$124,2,FALSE)</f>
        <v>29.04</v>
      </c>
      <c r="AA492" s="146">
        <f t="shared" si="215"/>
        <v>0</v>
      </c>
      <c r="AB492" s="143">
        <f t="shared" si="216"/>
        <v>0</v>
      </c>
      <c r="AC492" s="133">
        <f t="shared" si="217"/>
        <v>0</v>
      </c>
      <c r="AD492" s="142">
        <v>1</v>
      </c>
      <c r="AE492" s="141"/>
      <c r="AF492" s="121" t="s">
        <v>292</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304</v>
      </c>
      <c r="S493" s="133">
        <f>M476</f>
        <v>0</v>
      </c>
      <c r="T493" s="120"/>
      <c r="U493" s="121" t="s">
        <v>292</v>
      </c>
      <c r="V493" s="133">
        <f t="shared" si="214"/>
        <v>0</v>
      </c>
      <c r="W493" s="133">
        <f>VLOOKUP(U493,Sheet1!$B$6:$C$45,2,FALSE)*V493</f>
        <v>0</v>
      </c>
      <c r="X493" s="141"/>
      <c r="Y493" s="121" t="s">
        <v>292</v>
      </c>
      <c r="Z493" s="146">
        <f>VLOOKUP(Takeoffs!Y493,Sheet1!$B$6:$C$124,2,FALSE)</f>
        <v>0</v>
      </c>
      <c r="AA493" s="146">
        <f t="shared" si="215"/>
        <v>0</v>
      </c>
      <c r="AB493" s="143">
        <f t="shared" si="216"/>
        <v>0</v>
      </c>
      <c r="AC493" s="133">
        <f t="shared" si="217"/>
        <v>0</v>
      </c>
      <c r="AD493" s="142">
        <v>1</v>
      </c>
      <c r="AE493" s="141"/>
      <c r="AF493" s="121" t="s">
        <v>292</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338</v>
      </c>
      <c r="P494" s="121"/>
      <c r="Q494" s="66"/>
      <c r="R494" s="121"/>
      <c r="S494" s="133">
        <f>M476</f>
        <v>0</v>
      </c>
      <c r="T494" s="120"/>
      <c r="U494" s="121" t="s">
        <v>292</v>
      </c>
      <c r="V494" s="133">
        <f t="shared" si="214"/>
        <v>0</v>
      </c>
      <c r="W494" s="133">
        <f>VLOOKUP(U494,Sheet1!$B$6:$C$45,2,FALSE)*V494</f>
        <v>0</v>
      </c>
      <c r="X494" s="141"/>
      <c r="Y494" s="122" t="s">
        <v>333</v>
      </c>
      <c r="Z494" s="146">
        <f>VLOOKUP(Takeoffs!Y494,Sheet1!$B$6:$C$124,2,FALSE)</f>
        <v>60</v>
      </c>
      <c r="AA494" s="146">
        <f t="shared" si="215"/>
        <v>0</v>
      </c>
      <c r="AB494" s="143">
        <f t="shared" si="216"/>
        <v>0</v>
      </c>
      <c r="AC494" s="133">
        <f t="shared" si="217"/>
        <v>0</v>
      </c>
      <c r="AD494" s="142">
        <v>1</v>
      </c>
      <c r="AE494" s="141"/>
      <c r="AF494" s="121" t="s">
        <v>292</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292</v>
      </c>
      <c r="V495" s="133">
        <f t="shared" si="214"/>
        <v>0</v>
      </c>
      <c r="W495" s="133">
        <f>VLOOKUP(U495,Sheet1!$B$6:$C$45,2,FALSE)*V495</f>
        <v>0</v>
      </c>
      <c r="X495" s="141"/>
      <c r="Y495" s="121" t="s">
        <v>292</v>
      </c>
      <c r="Z495" s="146">
        <f>VLOOKUP(Takeoffs!Y495,Sheet1!$B$6:$C$124,2,FALSE)</f>
        <v>0</v>
      </c>
      <c r="AA495" s="146">
        <f t="shared" si="215"/>
        <v>0</v>
      </c>
      <c r="AB495" s="143">
        <f t="shared" si="216"/>
        <v>0</v>
      </c>
      <c r="AC495" s="133">
        <f t="shared" si="217"/>
        <v>0</v>
      </c>
      <c r="AD495" s="142">
        <v>1</v>
      </c>
      <c r="AE495" s="141"/>
      <c r="AF495" s="121" t="s">
        <v>292</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408</v>
      </c>
      <c r="P496" s="121"/>
      <c r="Q496" s="66"/>
      <c r="R496" s="121"/>
      <c r="S496" s="133">
        <f>M476</f>
        <v>0</v>
      </c>
      <c r="T496" s="120"/>
      <c r="U496" s="121" t="s">
        <v>292</v>
      </c>
      <c r="V496" s="133">
        <f t="shared" si="214"/>
        <v>0</v>
      </c>
      <c r="W496" s="133">
        <f>VLOOKUP(U496,Sheet1!$B$6:$C$45,2,FALSE)*V496</f>
        <v>0</v>
      </c>
      <c r="X496" s="141"/>
      <c r="Y496" s="121" t="s">
        <v>292</v>
      </c>
      <c r="Z496" s="146">
        <f>VLOOKUP(Takeoffs!Y496,Sheet1!$B$6:$C$124,2,FALSE)</f>
        <v>0</v>
      </c>
      <c r="AA496" s="146">
        <f t="shared" si="215"/>
        <v>0</v>
      </c>
      <c r="AB496" s="143">
        <f t="shared" si="216"/>
        <v>0</v>
      </c>
      <c r="AC496" s="133">
        <f t="shared" si="217"/>
        <v>0</v>
      </c>
      <c r="AD496" s="142">
        <v>1</v>
      </c>
      <c r="AE496" s="141"/>
      <c r="AF496" s="121" t="s">
        <v>292</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377</v>
      </c>
      <c r="L497" s="128" t="s">
        <v>378</v>
      </c>
      <c r="N497" s="129"/>
      <c r="O497" s="130" t="s">
        <v>357</v>
      </c>
      <c r="P497" s="131">
        <f>V497+AA497+AH497</f>
        <v>0</v>
      </c>
      <c r="Q497" s="131"/>
      <c r="R497" s="131"/>
      <c r="S497" s="130"/>
      <c r="T497" s="127"/>
      <c r="U497" s="126" t="s">
        <v>351</v>
      </c>
      <c r="V497" s="127">
        <f>W497*80</f>
        <v>0</v>
      </c>
      <c r="W497" s="147">
        <f>SUM(W476:W496)</f>
        <v>0</v>
      </c>
      <c r="X497" s="148"/>
      <c r="Y497" s="127" t="s">
        <v>352</v>
      </c>
      <c r="Z497" s="116"/>
      <c r="AA497" s="116">
        <f>SUM(AA476:AA496)</f>
        <v>0</v>
      </c>
      <c r="AB497" s="149"/>
      <c r="AC497" s="149"/>
      <c r="AD497" s="149"/>
      <c r="AE497" s="149"/>
      <c r="AF497" s="127" t="s">
        <v>356</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hidden="1" x14ac:dyDescent="0.8">
      <c r="A498" s="262">
        <f>ROW()</f>
        <v>498</v>
      </c>
      <c r="B498" s="234" t="s">
        <v>491</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367</v>
      </c>
      <c r="N498" s="160" t="str">
        <f>N476</f>
        <v>DOL fan with current switch interlock to other circuit- from local power supply</v>
      </c>
      <c r="O498" s="160" t="s">
        <v>365</v>
      </c>
      <c r="P498" s="82" t="e">
        <f>P497/M476</f>
        <v>#DIV/0!</v>
      </c>
      <c r="Q498" s="161"/>
      <c r="R498" s="161"/>
      <c r="S498" s="160"/>
      <c r="T498" s="161"/>
      <c r="U498" s="571" t="s">
        <v>366</v>
      </c>
      <c r="V498" s="571"/>
      <c r="W498" s="162" t="e">
        <f>W497/M476</f>
        <v>#DIV/0!</v>
      </c>
      <c r="X498" s="163"/>
      <c r="Y498" s="570" t="s">
        <v>365</v>
      </c>
      <c r="Z498" s="570"/>
      <c r="AA498" s="164" t="e">
        <f>AA497/M476</f>
        <v>#DIV/0!</v>
      </c>
      <c r="AB498" s="161"/>
      <c r="AC498" s="161"/>
      <c r="AD498" s="161"/>
      <c r="AE498" s="161"/>
      <c r="AF498" s="570" t="s">
        <v>365</v>
      </c>
      <c r="AG498" s="570"/>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452</v>
      </c>
      <c r="M499" s="116" t="s">
        <v>107</v>
      </c>
      <c r="N499" s="116" t="s">
        <v>108</v>
      </c>
      <c r="O499" s="170" t="s">
        <v>386</v>
      </c>
      <c r="P499" s="572" t="s">
        <v>375</v>
      </c>
      <c r="Q499" s="572"/>
      <c r="R499" s="101" t="s">
        <v>452</v>
      </c>
      <c r="S499" s="116" t="s">
        <v>0</v>
      </c>
      <c r="T499" s="118"/>
      <c r="U499" s="116" t="s">
        <v>287</v>
      </c>
      <c r="V499" s="116" t="s">
        <v>288</v>
      </c>
      <c r="W499" s="116" t="s">
        <v>291</v>
      </c>
      <c r="X499" s="140"/>
      <c r="Y499" s="116" t="s">
        <v>289</v>
      </c>
      <c r="Z499" s="116" t="s">
        <v>354</v>
      </c>
      <c r="AA499" s="116" t="s">
        <v>355</v>
      </c>
      <c r="AB499" s="116" t="s">
        <v>317</v>
      </c>
      <c r="AC499" s="116" t="s">
        <v>318</v>
      </c>
      <c r="AD499" s="116" t="s">
        <v>316</v>
      </c>
      <c r="AE499" s="140"/>
      <c r="AF499" s="116" t="s">
        <v>293</v>
      </c>
      <c r="AG499" s="116" t="s">
        <v>354</v>
      </c>
      <c r="AH499" s="116" t="s">
        <v>355</v>
      </c>
      <c r="AI499" s="116" t="s">
        <v>296</v>
      </c>
      <c r="AJ499" s="116" t="s">
        <v>294</v>
      </c>
      <c r="AK499" s="116" t="s">
        <v>295</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649</v>
      </c>
      <c r="O500" s="121" t="s">
        <v>347</v>
      </c>
      <c r="P500" s="169" t="s">
        <v>379</v>
      </c>
      <c r="Q500" s="169" t="s">
        <v>375</v>
      </c>
      <c r="R500" s="169"/>
      <c r="S500" s="133">
        <f>M500</f>
        <v>0</v>
      </c>
      <c r="T500" s="119"/>
      <c r="U500" s="121" t="s">
        <v>292</v>
      </c>
      <c r="V500" s="133">
        <f>S500</f>
        <v>0</v>
      </c>
      <c r="W500" s="133">
        <f>VLOOKUP(U500,Sheet1!$B$6:$C$45,2,FALSE)*V500</f>
        <v>0</v>
      </c>
      <c r="X500" s="141"/>
      <c r="Y500" s="121" t="s">
        <v>292</v>
      </c>
      <c r="Z500" s="146">
        <f>VLOOKUP(Takeoffs!Y500,Sheet1!$B$6:$C$124,2,FALSE)</f>
        <v>0</v>
      </c>
      <c r="AA500" s="146">
        <f>Z500*AB500</f>
        <v>0</v>
      </c>
      <c r="AB500" s="143">
        <f>AD500*AC500</f>
        <v>0</v>
      </c>
      <c r="AC500" s="133">
        <f>S500</f>
        <v>0</v>
      </c>
      <c r="AD500" s="142">
        <v>1</v>
      </c>
      <c r="AE500" s="141"/>
      <c r="AF500" s="121" t="s">
        <v>292</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340</v>
      </c>
      <c r="P501" s="121"/>
      <c r="Q501" s="66"/>
      <c r="R501" s="121"/>
      <c r="S501" s="133">
        <f>M500</f>
        <v>0</v>
      </c>
      <c r="T501" s="120"/>
      <c r="U501" s="121" t="s">
        <v>233</v>
      </c>
      <c r="V501" s="133">
        <f t="shared" ref="V501:V520" si="224">S501</f>
        <v>0</v>
      </c>
      <c r="W501" s="133">
        <f>VLOOKUP(U501,Sheet1!$B$6:$C$45,2,FALSE)*V501</f>
        <v>0</v>
      </c>
      <c r="X501" s="141"/>
      <c r="Y501" s="121" t="s">
        <v>292</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292</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441</v>
      </c>
      <c r="P502" s="121" t="s">
        <v>539</v>
      </c>
      <c r="Q502" s="66" t="s">
        <v>687</v>
      </c>
      <c r="R502" s="121"/>
      <c r="S502" s="133">
        <f>M500</f>
        <v>0</v>
      </c>
      <c r="T502" s="120"/>
      <c r="U502" s="121" t="s">
        <v>361</v>
      </c>
      <c r="V502" s="133">
        <f t="shared" si="224"/>
        <v>0</v>
      </c>
      <c r="W502" s="133">
        <f>VLOOKUP(U502,Sheet1!$B$6:$C$45,2,FALSE)*V502</f>
        <v>0</v>
      </c>
      <c r="X502" s="141"/>
      <c r="Y502" s="121" t="s">
        <v>292</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406</v>
      </c>
      <c r="P503" s="121"/>
      <c r="Q503" s="66"/>
      <c r="R503" s="121"/>
      <c r="S503" s="133">
        <f>M500</f>
        <v>0</v>
      </c>
      <c r="T503" s="120"/>
      <c r="U503" s="121" t="s">
        <v>292</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292</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292</v>
      </c>
      <c r="V504" s="133">
        <f t="shared" si="224"/>
        <v>0</v>
      </c>
      <c r="W504" s="133">
        <f>VLOOKUP(U504,Sheet1!$B$6:$C$45,2,FALSE)*V504</f>
        <v>0</v>
      </c>
      <c r="X504" s="141"/>
      <c r="Y504" s="121" t="s">
        <v>292</v>
      </c>
      <c r="Z504" s="146">
        <f>VLOOKUP(Takeoffs!Y504,Sheet1!$B$6:$C$124,2,FALSE)</f>
        <v>0</v>
      </c>
      <c r="AA504" s="146">
        <f t="shared" si="225"/>
        <v>0</v>
      </c>
      <c r="AB504" s="143">
        <f t="shared" si="226"/>
        <v>0</v>
      </c>
      <c r="AC504" s="133">
        <f t="shared" si="227"/>
        <v>0</v>
      </c>
      <c r="AD504" s="142">
        <v>1</v>
      </c>
      <c r="AE504" s="141"/>
      <c r="AF504" s="121" t="s">
        <v>292</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292</v>
      </c>
      <c r="V505" s="133">
        <f t="shared" si="224"/>
        <v>0</v>
      </c>
      <c r="W505" s="133">
        <f>VLOOKUP(U505,Sheet1!$B$6:$C$45,2,FALSE)*V505</f>
        <v>0</v>
      </c>
      <c r="X505" s="141"/>
      <c r="Y505" s="121" t="s">
        <v>292</v>
      </c>
      <c r="Z505" s="146">
        <f>VLOOKUP(Takeoffs!Y505,Sheet1!$B$6:$C$124,2,FALSE)</f>
        <v>0</v>
      </c>
      <c r="AA505" s="146">
        <f t="shared" si="225"/>
        <v>0</v>
      </c>
      <c r="AB505" s="143">
        <f t="shared" si="226"/>
        <v>0</v>
      </c>
      <c r="AC505" s="133">
        <f t="shared" si="227"/>
        <v>0</v>
      </c>
      <c r="AD505" s="142">
        <v>1</v>
      </c>
      <c r="AE505" s="141"/>
      <c r="AF505" s="121" t="s">
        <v>292</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292</v>
      </c>
      <c r="V506" s="133">
        <f t="shared" si="224"/>
        <v>0</v>
      </c>
      <c r="W506" s="133">
        <f>VLOOKUP(U506,Sheet1!$B$6:$C$45,2,FALSE)*V506</f>
        <v>0</v>
      </c>
      <c r="X506" s="141"/>
      <c r="Y506" s="121" t="s">
        <v>292</v>
      </c>
      <c r="Z506" s="146">
        <f>VLOOKUP(Takeoffs!Y506,Sheet1!$B$6:$C$124,2,FALSE)</f>
        <v>0</v>
      </c>
      <c r="AA506" s="146">
        <f t="shared" si="225"/>
        <v>0</v>
      </c>
      <c r="AB506" s="143">
        <f t="shared" si="226"/>
        <v>0</v>
      </c>
      <c r="AC506" s="133">
        <f t="shared" si="227"/>
        <v>0</v>
      </c>
      <c r="AD506" s="142">
        <v>1</v>
      </c>
      <c r="AE506" s="141"/>
      <c r="AF506" s="121" t="s">
        <v>292</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292</v>
      </c>
      <c r="V507" s="133">
        <f t="shared" si="224"/>
        <v>0</v>
      </c>
      <c r="W507" s="133">
        <f>VLOOKUP(U507,Sheet1!$B$6:$C$45,2,FALSE)*V507</f>
        <v>0</v>
      </c>
      <c r="X507" s="141"/>
      <c r="Y507" s="121" t="s">
        <v>292</v>
      </c>
      <c r="Z507" s="146">
        <f>VLOOKUP(Takeoffs!Y507,Sheet1!$B$6:$C$124,2,FALSE)</f>
        <v>0</v>
      </c>
      <c r="AA507" s="146">
        <f t="shared" si="225"/>
        <v>0</v>
      </c>
      <c r="AB507" s="143">
        <f t="shared" si="226"/>
        <v>0</v>
      </c>
      <c r="AC507" s="133">
        <f t="shared" si="227"/>
        <v>0</v>
      </c>
      <c r="AD507" s="142">
        <v>1</v>
      </c>
      <c r="AE507" s="141"/>
      <c r="AF507" s="121" t="s">
        <v>292</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328</v>
      </c>
      <c r="P508" s="121"/>
      <c r="Q508" s="66"/>
      <c r="R508" s="121"/>
      <c r="S508" s="133">
        <f>M500</f>
        <v>0</v>
      </c>
      <c r="T508" s="120"/>
      <c r="U508" s="121" t="s">
        <v>242</v>
      </c>
      <c r="V508" s="133">
        <f t="shared" si="224"/>
        <v>0</v>
      </c>
      <c r="W508" s="133">
        <f>VLOOKUP(U508,Sheet1!$B$6:$C$45,2,FALSE)*V508</f>
        <v>0</v>
      </c>
      <c r="X508" s="141"/>
      <c r="Y508" s="121" t="s">
        <v>292</v>
      </c>
      <c r="Z508" s="146">
        <f>VLOOKUP(Takeoffs!Y508,Sheet1!$B$6:$C$124,2,FALSE)</f>
        <v>0</v>
      </c>
      <c r="AA508" s="146">
        <f t="shared" si="225"/>
        <v>0</v>
      </c>
      <c r="AB508" s="143">
        <f t="shared" si="226"/>
        <v>0</v>
      </c>
      <c r="AC508" s="133">
        <f t="shared" si="227"/>
        <v>0</v>
      </c>
      <c r="AD508" s="142">
        <v>1</v>
      </c>
      <c r="AE508" s="141"/>
      <c r="AF508" s="121" t="s">
        <v>292</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292</v>
      </c>
      <c r="V509" s="133">
        <f t="shared" si="224"/>
        <v>0</v>
      </c>
      <c r="W509" s="133">
        <f>VLOOKUP(U509,Sheet1!$B$6:$C$45,2,FALSE)*V509</f>
        <v>0</v>
      </c>
      <c r="X509" s="141"/>
      <c r="Y509" s="121" t="s">
        <v>292</v>
      </c>
      <c r="Z509" s="146">
        <f>VLOOKUP(Takeoffs!Y509,Sheet1!$B$6:$C$124,2,FALSE)</f>
        <v>0</v>
      </c>
      <c r="AA509" s="146">
        <f t="shared" si="225"/>
        <v>0</v>
      </c>
      <c r="AB509" s="143">
        <f t="shared" si="226"/>
        <v>0</v>
      </c>
      <c r="AC509" s="133">
        <f t="shared" si="227"/>
        <v>0</v>
      </c>
      <c r="AD509" s="142">
        <v>1</v>
      </c>
      <c r="AE509" s="141"/>
      <c r="AF509" s="121" t="s">
        <v>292</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292</v>
      </c>
      <c r="V510" s="133">
        <f t="shared" si="224"/>
        <v>0</v>
      </c>
      <c r="W510" s="133">
        <f>VLOOKUP(U510,Sheet1!$B$6:$C$45,2,FALSE)*V510</f>
        <v>0</v>
      </c>
      <c r="X510" s="141"/>
      <c r="Y510" s="121" t="s">
        <v>292</v>
      </c>
      <c r="Z510" s="146">
        <f>VLOOKUP(Takeoffs!Y510,Sheet1!$B$6:$C$124,2,FALSE)</f>
        <v>0</v>
      </c>
      <c r="AA510" s="146">
        <f t="shared" si="225"/>
        <v>0</v>
      </c>
      <c r="AB510" s="143">
        <f t="shared" si="226"/>
        <v>0</v>
      </c>
      <c r="AC510" s="133">
        <f t="shared" si="227"/>
        <v>0</v>
      </c>
      <c r="AD510" s="142">
        <v>1</v>
      </c>
      <c r="AE510" s="141"/>
      <c r="AF510" s="121" t="s">
        <v>292</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292</v>
      </c>
      <c r="V511" s="133">
        <f t="shared" si="224"/>
        <v>0</v>
      </c>
      <c r="W511" s="133">
        <f>VLOOKUP(U511,Sheet1!$B$6:$C$45,2,FALSE)*V511</f>
        <v>0</v>
      </c>
      <c r="X511" s="141"/>
      <c r="Y511" s="121" t="s">
        <v>292</v>
      </c>
      <c r="Z511" s="146">
        <f>VLOOKUP(Takeoffs!Y511,Sheet1!$B$6:$C$124,2,FALSE)</f>
        <v>0</v>
      </c>
      <c r="AA511" s="146">
        <f t="shared" si="225"/>
        <v>0</v>
      </c>
      <c r="AB511" s="143">
        <f t="shared" si="226"/>
        <v>0</v>
      </c>
      <c r="AC511" s="133">
        <f t="shared" si="227"/>
        <v>0</v>
      </c>
      <c r="AD511" s="142">
        <v>1</v>
      </c>
      <c r="AE511" s="141"/>
      <c r="AF511" s="121" t="s">
        <v>292</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292</v>
      </c>
      <c r="V512" s="133">
        <f t="shared" si="224"/>
        <v>0</v>
      </c>
      <c r="W512" s="133">
        <f>VLOOKUP(U512,Sheet1!$B$6:$C$45,2,FALSE)*V512</f>
        <v>0</v>
      </c>
      <c r="X512" s="141"/>
      <c r="Y512" s="121" t="s">
        <v>292</v>
      </c>
      <c r="Z512" s="146">
        <f>VLOOKUP(Takeoffs!Y512,Sheet1!$B$6:$C$124,2,FALSE)</f>
        <v>0</v>
      </c>
      <c r="AA512" s="146">
        <f t="shared" si="225"/>
        <v>0</v>
      </c>
      <c r="AB512" s="143">
        <f t="shared" si="226"/>
        <v>0</v>
      </c>
      <c r="AC512" s="133">
        <f t="shared" si="227"/>
        <v>0</v>
      </c>
      <c r="AD512" s="142">
        <v>1</v>
      </c>
      <c r="AE512" s="141"/>
      <c r="AF512" s="152" t="s">
        <v>418</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312</v>
      </c>
      <c r="P513" s="121"/>
      <c r="Q513" s="66"/>
      <c r="R513" s="121"/>
      <c r="S513" s="133">
        <f>M500</f>
        <v>0</v>
      </c>
      <c r="T513" s="120"/>
      <c r="U513" s="121" t="s">
        <v>232</v>
      </c>
      <c r="V513" s="133">
        <f t="shared" si="224"/>
        <v>0</v>
      </c>
      <c r="W513" s="133">
        <f>VLOOKUP(U513,Sheet1!$B$6:$C$45,2,FALSE)*V513</f>
        <v>0</v>
      </c>
      <c r="X513" s="141"/>
      <c r="Y513" s="122" t="s">
        <v>1344</v>
      </c>
      <c r="Z513" s="146">
        <f>VLOOKUP(Takeoffs!Y513,Sheet1!$B$6:$C$124,2,FALSE)</f>
        <v>109.25999999999999</v>
      </c>
      <c r="AA513" s="146">
        <f t="shared" si="225"/>
        <v>0</v>
      </c>
      <c r="AB513" s="143">
        <f t="shared" si="226"/>
        <v>0</v>
      </c>
      <c r="AC513" s="133">
        <f t="shared" si="227"/>
        <v>0</v>
      </c>
      <c r="AD513" s="142">
        <v>1</v>
      </c>
      <c r="AE513" s="141"/>
      <c r="AF513" s="121" t="s">
        <v>292</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650</v>
      </c>
      <c r="P514" s="121"/>
      <c r="Q514" s="66"/>
      <c r="R514" s="121"/>
      <c r="S514" s="133">
        <f>M500</f>
        <v>0</v>
      </c>
      <c r="T514" s="120"/>
      <c r="U514" s="121" t="s">
        <v>292</v>
      </c>
      <c r="V514" s="133">
        <f t="shared" si="224"/>
        <v>0</v>
      </c>
      <c r="W514" s="133">
        <f>VLOOKUP(U514,Sheet1!$B$6:$C$45,2,FALSE)*V514</f>
        <v>0</v>
      </c>
      <c r="X514" s="141"/>
      <c r="Y514" s="122" t="s">
        <v>326</v>
      </c>
      <c r="Z514" s="146">
        <f>VLOOKUP(Takeoffs!Y514,Sheet1!$B$6:$C$124,2,FALSE)</f>
        <v>29.04</v>
      </c>
      <c r="AA514" s="146">
        <f t="shared" si="225"/>
        <v>0</v>
      </c>
      <c r="AB514" s="143">
        <f t="shared" si="226"/>
        <v>0</v>
      </c>
      <c r="AC514" s="133">
        <f t="shared" si="227"/>
        <v>0</v>
      </c>
      <c r="AD514" s="142">
        <v>1</v>
      </c>
      <c r="AE514" s="141"/>
      <c r="AF514" s="121" t="s">
        <v>292</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337</v>
      </c>
      <c r="P515" s="121"/>
      <c r="Q515" s="66"/>
      <c r="R515" s="121" t="s">
        <v>331</v>
      </c>
      <c r="S515" s="133">
        <f>M500</f>
        <v>0</v>
      </c>
      <c r="T515" s="120"/>
      <c r="U515" s="121" t="s">
        <v>292</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292</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292</v>
      </c>
      <c r="V516" s="133">
        <f t="shared" si="224"/>
        <v>0</v>
      </c>
      <c r="W516" s="133">
        <f>VLOOKUP(U516,Sheet1!$B$6:$C$45,2,FALSE)*V516</f>
        <v>0</v>
      </c>
      <c r="X516" s="141"/>
      <c r="Y516" s="121" t="s">
        <v>292</v>
      </c>
      <c r="Z516" s="146">
        <f>VLOOKUP(Takeoffs!Y516,Sheet1!$B$6:$C$124,2,FALSE)</f>
        <v>0</v>
      </c>
      <c r="AA516" s="146">
        <f t="shared" si="225"/>
        <v>0</v>
      </c>
      <c r="AB516" s="143">
        <f t="shared" si="226"/>
        <v>0</v>
      </c>
      <c r="AC516" s="133">
        <f t="shared" si="227"/>
        <v>0</v>
      </c>
      <c r="AD516" s="142">
        <v>1</v>
      </c>
      <c r="AE516" s="141"/>
      <c r="AF516" s="121" t="s">
        <v>292</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329</v>
      </c>
      <c r="P517" s="121"/>
      <c r="Q517" s="66"/>
      <c r="R517" s="121" t="s">
        <v>304</v>
      </c>
      <c r="S517" s="133">
        <f>M500</f>
        <v>0</v>
      </c>
      <c r="T517" s="120"/>
      <c r="U517" s="121" t="s">
        <v>292</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292</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338</v>
      </c>
      <c r="P518" s="121"/>
      <c r="Q518" s="66"/>
      <c r="R518" s="121"/>
      <c r="S518" s="133">
        <f>M500</f>
        <v>0</v>
      </c>
      <c r="T518" s="120"/>
      <c r="U518" s="121" t="s">
        <v>292</v>
      </c>
      <c r="V518" s="133">
        <f t="shared" si="224"/>
        <v>0</v>
      </c>
      <c r="W518" s="133">
        <f>VLOOKUP(U518,Sheet1!$B$6:$C$45,2,FALSE)*V518</f>
        <v>0</v>
      </c>
      <c r="X518" s="141"/>
      <c r="Y518" s="122" t="s">
        <v>333</v>
      </c>
      <c r="Z518" s="146">
        <f>VLOOKUP(Takeoffs!Y518,Sheet1!$B$6:$C$124,2,FALSE)</f>
        <v>60</v>
      </c>
      <c r="AA518" s="146">
        <f t="shared" si="225"/>
        <v>0</v>
      </c>
      <c r="AB518" s="143">
        <f t="shared" si="226"/>
        <v>0</v>
      </c>
      <c r="AC518" s="133">
        <f t="shared" si="227"/>
        <v>0</v>
      </c>
      <c r="AD518" s="142">
        <v>1</v>
      </c>
      <c r="AE518" s="141"/>
      <c r="AF518" s="121" t="s">
        <v>292</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407</v>
      </c>
      <c r="P519" s="121"/>
      <c r="Q519" s="66"/>
      <c r="R519" s="121"/>
      <c r="S519" s="133">
        <f>M500</f>
        <v>0</v>
      </c>
      <c r="T519" s="120"/>
      <c r="U519" s="121" t="s">
        <v>292</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292</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408</v>
      </c>
      <c r="P520" s="121"/>
      <c r="Q520" s="66"/>
      <c r="R520" s="121"/>
      <c r="S520" s="133">
        <f>M500</f>
        <v>0</v>
      </c>
      <c r="T520" s="120"/>
      <c r="U520" s="121" t="s">
        <v>362</v>
      </c>
      <c r="V520" s="133">
        <f t="shared" si="224"/>
        <v>0</v>
      </c>
      <c r="W520" s="133">
        <f>VLOOKUP(U520,Sheet1!$B$6:$C$45,2,FALSE)*V520</f>
        <v>0</v>
      </c>
      <c r="X520" s="141"/>
      <c r="Y520" s="121" t="s">
        <v>292</v>
      </c>
      <c r="Z520" s="146">
        <f>VLOOKUP(Takeoffs!Y520,Sheet1!$B$6:$C$124,2,FALSE)</f>
        <v>0</v>
      </c>
      <c r="AA520" s="146">
        <f t="shared" si="225"/>
        <v>0</v>
      </c>
      <c r="AB520" s="143">
        <f t="shared" si="226"/>
        <v>0</v>
      </c>
      <c r="AC520" s="133">
        <f t="shared" si="227"/>
        <v>0</v>
      </c>
      <c r="AD520" s="142">
        <v>1</v>
      </c>
      <c r="AE520" s="141"/>
      <c r="AF520" s="121" t="s">
        <v>292</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377</v>
      </c>
      <c r="L521" s="128" t="s">
        <v>378</v>
      </c>
      <c r="N521" s="129"/>
      <c r="O521" s="130" t="s">
        <v>357</v>
      </c>
      <c r="P521" s="131">
        <f>V521+AA521+AH521</f>
        <v>0</v>
      </c>
      <c r="Q521" s="131"/>
      <c r="R521" s="131"/>
      <c r="S521" s="130"/>
      <c r="T521" s="127"/>
      <c r="U521" s="126" t="s">
        <v>351</v>
      </c>
      <c r="V521" s="127">
        <f>W521*80</f>
        <v>0</v>
      </c>
      <c r="W521" s="147">
        <f>SUM(W500:W520)</f>
        <v>0</v>
      </c>
      <c r="X521" s="148"/>
      <c r="Y521" s="127" t="s">
        <v>352</v>
      </c>
      <c r="Z521" s="116"/>
      <c r="AA521" s="116">
        <f>SUM(AA500:AA520)</f>
        <v>0</v>
      </c>
      <c r="AB521" s="149"/>
      <c r="AC521" s="149"/>
      <c r="AD521" s="149"/>
      <c r="AE521" s="149"/>
      <c r="AF521" s="127" t="s">
        <v>356</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hidden="1" x14ac:dyDescent="0.8">
      <c r="A522" s="262">
        <f>ROW()</f>
        <v>522</v>
      </c>
      <c r="B522" s="234" t="s">
        <v>491</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367</v>
      </c>
      <c r="N522" s="160" t="str">
        <f>N500</f>
        <v>general fan with interlock to lighting circuit- from local power supply</v>
      </c>
      <c r="O522" s="160" t="s">
        <v>365</v>
      </c>
      <c r="P522" s="82" t="e">
        <f>P521/M500</f>
        <v>#DIV/0!</v>
      </c>
      <c r="Q522" s="161"/>
      <c r="R522" s="161"/>
      <c r="S522" s="160"/>
      <c r="T522" s="161"/>
      <c r="U522" s="571" t="s">
        <v>366</v>
      </c>
      <c r="V522" s="571"/>
      <c r="W522" s="162" t="e">
        <f>W521/M500</f>
        <v>#DIV/0!</v>
      </c>
      <c r="X522" s="163"/>
      <c r="Y522" s="570" t="s">
        <v>365</v>
      </c>
      <c r="Z522" s="570"/>
      <c r="AA522" s="164" t="e">
        <f>AA521/M500</f>
        <v>#DIV/0!</v>
      </c>
      <c r="AB522" s="161"/>
      <c r="AC522" s="161"/>
      <c r="AD522" s="161"/>
      <c r="AE522" s="161"/>
      <c r="AF522" s="570" t="s">
        <v>365</v>
      </c>
      <c r="AG522" s="570"/>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452</v>
      </c>
      <c r="M523" s="116" t="s">
        <v>107</v>
      </c>
      <c r="N523" s="116" t="s">
        <v>108</v>
      </c>
      <c r="O523" s="170" t="s">
        <v>386</v>
      </c>
      <c r="P523" s="572" t="s">
        <v>375</v>
      </c>
      <c r="Q523" s="572"/>
      <c r="R523" s="101" t="s">
        <v>452</v>
      </c>
      <c r="S523" s="116" t="s">
        <v>0</v>
      </c>
      <c r="T523" s="118"/>
      <c r="U523" s="116" t="s">
        <v>287</v>
      </c>
      <c r="V523" s="116" t="s">
        <v>288</v>
      </c>
      <c r="W523" s="116" t="s">
        <v>291</v>
      </c>
      <c r="X523" s="140"/>
      <c r="Y523" s="116" t="s">
        <v>289</v>
      </c>
      <c r="Z523" s="116" t="s">
        <v>354</v>
      </c>
      <c r="AA523" s="116" t="s">
        <v>355</v>
      </c>
      <c r="AB523" s="116" t="s">
        <v>317</v>
      </c>
      <c r="AC523" s="116" t="s">
        <v>318</v>
      </c>
      <c r="AD523" s="116" t="s">
        <v>316</v>
      </c>
      <c r="AE523" s="140"/>
      <c r="AF523" s="116" t="s">
        <v>293</v>
      </c>
      <c r="AG523" s="116" t="s">
        <v>354</v>
      </c>
      <c r="AH523" s="116" t="s">
        <v>355</v>
      </c>
      <c r="AI523" s="116" t="s">
        <v>296</v>
      </c>
      <c r="AJ523" s="116" t="s">
        <v>294</v>
      </c>
      <c r="AK523" s="116" t="s">
        <v>295</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540</v>
      </c>
      <c r="O524" s="121" t="s">
        <v>347</v>
      </c>
      <c r="P524" s="169" t="s">
        <v>379</v>
      </c>
      <c r="Q524" s="169" t="s">
        <v>375</v>
      </c>
      <c r="R524" s="169"/>
      <c r="S524" s="133">
        <f>M524</f>
        <v>0</v>
      </c>
      <c r="T524" s="119"/>
      <c r="U524" s="121" t="s">
        <v>292</v>
      </c>
      <c r="V524" s="133">
        <f>S524</f>
        <v>0</v>
      </c>
      <c r="W524" s="133">
        <f>VLOOKUP(U524,Sheet1!$B$6:$C$45,2,FALSE)*V524</f>
        <v>0</v>
      </c>
      <c r="X524" s="141"/>
      <c r="Y524" s="121" t="s">
        <v>292</v>
      </c>
      <c r="Z524" s="146">
        <f>VLOOKUP(Takeoffs!Y524,Sheet1!$B$6:$C$124,2,FALSE)</f>
        <v>0</v>
      </c>
      <c r="AA524" s="146">
        <f>Z524*AB524</f>
        <v>0</v>
      </c>
      <c r="AB524" s="143">
        <f>AD524*AC524</f>
        <v>0</v>
      </c>
      <c r="AC524" s="133">
        <f>S524</f>
        <v>0</v>
      </c>
      <c r="AD524" s="142">
        <v>1</v>
      </c>
      <c r="AE524" s="141"/>
      <c r="AF524" s="121" t="s">
        <v>292</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340</v>
      </c>
      <c r="P525" s="121"/>
      <c r="Q525" s="66"/>
      <c r="R525" s="121"/>
      <c r="S525" s="133">
        <f>M524</f>
        <v>0</v>
      </c>
      <c r="T525" s="120"/>
      <c r="U525" s="121" t="s">
        <v>233</v>
      </c>
      <c r="V525" s="133">
        <f t="shared" ref="V525:V544" si="234">S525</f>
        <v>0</v>
      </c>
      <c r="W525" s="133">
        <f>VLOOKUP(U525,Sheet1!$B$6:$C$45,2,FALSE)*V525</f>
        <v>0</v>
      </c>
      <c r="X525" s="141"/>
      <c r="Y525" s="121" t="s">
        <v>292</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292</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441</v>
      </c>
      <c r="P526" s="121" t="s">
        <v>539</v>
      </c>
      <c r="Q526" s="66" t="s">
        <v>687</v>
      </c>
      <c r="R526" s="121"/>
      <c r="S526" s="133">
        <f>M524</f>
        <v>0</v>
      </c>
      <c r="T526" s="120"/>
      <c r="U526" s="121" t="s">
        <v>361</v>
      </c>
      <c r="V526" s="133">
        <f t="shared" si="234"/>
        <v>0</v>
      </c>
      <c r="W526" s="133">
        <f>VLOOKUP(U526,Sheet1!$B$6:$C$45,2,FALSE)*V526</f>
        <v>0</v>
      </c>
      <c r="X526" s="141"/>
      <c r="Y526" s="121" t="s">
        <v>292</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406</v>
      </c>
      <c r="P527" s="121"/>
      <c r="Q527" s="66"/>
      <c r="R527" s="121"/>
      <c r="S527" s="133">
        <f>M524</f>
        <v>0</v>
      </c>
      <c r="T527" s="120"/>
      <c r="U527" s="121" t="s">
        <v>292</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292</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292</v>
      </c>
      <c r="V528" s="133">
        <f t="shared" si="234"/>
        <v>0</v>
      </c>
      <c r="W528" s="133">
        <f>VLOOKUP(U528,Sheet1!$B$6:$C$45,2,FALSE)*V528</f>
        <v>0</v>
      </c>
      <c r="X528" s="141"/>
      <c r="Y528" s="121" t="s">
        <v>292</v>
      </c>
      <c r="Z528" s="146">
        <f>VLOOKUP(Takeoffs!Y528,Sheet1!$B$6:$C$124,2,FALSE)</f>
        <v>0</v>
      </c>
      <c r="AA528" s="146">
        <f t="shared" si="235"/>
        <v>0</v>
      </c>
      <c r="AB528" s="143">
        <f t="shared" si="236"/>
        <v>0</v>
      </c>
      <c r="AC528" s="133">
        <f t="shared" si="237"/>
        <v>0</v>
      </c>
      <c r="AD528" s="142">
        <v>1</v>
      </c>
      <c r="AE528" s="141"/>
      <c r="AF528" s="121" t="s">
        <v>292</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292</v>
      </c>
      <c r="V529" s="133">
        <f t="shared" si="234"/>
        <v>0</v>
      </c>
      <c r="W529" s="133">
        <f>VLOOKUP(U529,Sheet1!$B$6:$C$45,2,FALSE)*V529</f>
        <v>0</v>
      </c>
      <c r="X529" s="141"/>
      <c r="Y529" s="121" t="s">
        <v>292</v>
      </c>
      <c r="Z529" s="146">
        <f>VLOOKUP(Takeoffs!Y529,Sheet1!$B$6:$C$124,2,FALSE)</f>
        <v>0</v>
      </c>
      <c r="AA529" s="146">
        <f t="shared" si="235"/>
        <v>0</v>
      </c>
      <c r="AB529" s="143">
        <f t="shared" si="236"/>
        <v>0</v>
      </c>
      <c r="AC529" s="133">
        <f t="shared" si="237"/>
        <v>0</v>
      </c>
      <c r="AD529" s="142">
        <v>1</v>
      </c>
      <c r="AE529" s="141"/>
      <c r="AF529" s="121" t="s">
        <v>292</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292</v>
      </c>
      <c r="V530" s="133">
        <f t="shared" si="234"/>
        <v>0</v>
      </c>
      <c r="W530" s="133">
        <f>VLOOKUP(U530,Sheet1!$B$6:$C$45,2,FALSE)*V530</f>
        <v>0</v>
      </c>
      <c r="X530" s="141"/>
      <c r="Y530" s="121" t="s">
        <v>292</v>
      </c>
      <c r="Z530" s="146">
        <f>VLOOKUP(Takeoffs!Y530,Sheet1!$B$6:$C$124,2,FALSE)</f>
        <v>0</v>
      </c>
      <c r="AA530" s="146">
        <f t="shared" si="235"/>
        <v>0</v>
      </c>
      <c r="AB530" s="143">
        <f t="shared" si="236"/>
        <v>0</v>
      </c>
      <c r="AC530" s="133">
        <f t="shared" si="237"/>
        <v>0</v>
      </c>
      <c r="AD530" s="142">
        <v>1</v>
      </c>
      <c r="AE530" s="141"/>
      <c r="AF530" s="121" t="s">
        <v>292</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292</v>
      </c>
      <c r="V531" s="133">
        <f t="shared" si="234"/>
        <v>0</v>
      </c>
      <c r="W531" s="133">
        <f>VLOOKUP(U531,Sheet1!$B$6:$C$45,2,FALSE)*V531</f>
        <v>0</v>
      </c>
      <c r="X531" s="141"/>
      <c r="Y531" s="121" t="s">
        <v>292</v>
      </c>
      <c r="Z531" s="146">
        <f>VLOOKUP(Takeoffs!Y531,Sheet1!$B$6:$C$124,2,FALSE)</f>
        <v>0</v>
      </c>
      <c r="AA531" s="146">
        <f t="shared" si="235"/>
        <v>0</v>
      </c>
      <c r="AB531" s="143">
        <f t="shared" si="236"/>
        <v>0</v>
      </c>
      <c r="AC531" s="133">
        <f t="shared" si="237"/>
        <v>0</v>
      </c>
      <c r="AD531" s="142">
        <v>1</v>
      </c>
      <c r="AE531" s="141"/>
      <c r="AF531" s="121" t="s">
        <v>292</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328</v>
      </c>
      <c r="P532" s="121"/>
      <c r="Q532" s="66"/>
      <c r="R532" s="121"/>
      <c r="S532" s="133">
        <f>M524</f>
        <v>0</v>
      </c>
      <c r="T532" s="120"/>
      <c r="U532" s="121" t="s">
        <v>242</v>
      </c>
      <c r="V532" s="133">
        <f t="shared" si="234"/>
        <v>0</v>
      </c>
      <c r="W532" s="133">
        <f>VLOOKUP(U532,Sheet1!$B$6:$C$45,2,FALSE)*V532</f>
        <v>0</v>
      </c>
      <c r="X532" s="141"/>
      <c r="Y532" s="121" t="s">
        <v>292</v>
      </c>
      <c r="Z532" s="146">
        <f>VLOOKUP(Takeoffs!Y532,Sheet1!$B$6:$C$124,2,FALSE)</f>
        <v>0</v>
      </c>
      <c r="AA532" s="146">
        <f t="shared" si="235"/>
        <v>0</v>
      </c>
      <c r="AB532" s="143">
        <f t="shared" si="236"/>
        <v>0</v>
      </c>
      <c r="AC532" s="133">
        <f t="shared" si="237"/>
        <v>0</v>
      </c>
      <c r="AD532" s="142">
        <v>1</v>
      </c>
      <c r="AE532" s="141"/>
      <c r="AF532" s="121" t="s">
        <v>292</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292</v>
      </c>
      <c r="V533" s="133">
        <f t="shared" si="234"/>
        <v>0</v>
      </c>
      <c r="W533" s="133">
        <f>VLOOKUP(U533,Sheet1!$B$6:$C$45,2,FALSE)*V533</f>
        <v>0</v>
      </c>
      <c r="X533" s="141"/>
      <c r="Y533" s="121" t="s">
        <v>292</v>
      </c>
      <c r="Z533" s="146">
        <f>VLOOKUP(Takeoffs!Y533,Sheet1!$B$6:$C$124,2,FALSE)</f>
        <v>0</v>
      </c>
      <c r="AA533" s="146">
        <f t="shared" si="235"/>
        <v>0</v>
      </c>
      <c r="AB533" s="143">
        <f t="shared" si="236"/>
        <v>0</v>
      </c>
      <c r="AC533" s="133">
        <f t="shared" si="237"/>
        <v>0</v>
      </c>
      <c r="AD533" s="142">
        <v>1</v>
      </c>
      <c r="AE533" s="141"/>
      <c r="AF533" s="121" t="s">
        <v>292</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292</v>
      </c>
      <c r="V534" s="133">
        <f t="shared" si="234"/>
        <v>0</v>
      </c>
      <c r="W534" s="133">
        <f>VLOOKUP(U534,Sheet1!$B$6:$C$45,2,FALSE)*V534</f>
        <v>0</v>
      </c>
      <c r="X534" s="141"/>
      <c r="Y534" s="121" t="s">
        <v>292</v>
      </c>
      <c r="Z534" s="146">
        <f>VLOOKUP(Takeoffs!Y534,Sheet1!$B$6:$C$124,2,FALSE)</f>
        <v>0</v>
      </c>
      <c r="AA534" s="146">
        <f t="shared" si="235"/>
        <v>0</v>
      </c>
      <c r="AB534" s="143">
        <f t="shared" si="236"/>
        <v>0</v>
      </c>
      <c r="AC534" s="133">
        <f t="shared" si="237"/>
        <v>0</v>
      </c>
      <c r="AD534" s="142">
        <v>1</v>
      </c>
      <c r="AE534" s="141"/>
      <c r="AF534" s="121" t="s">
        <v>292</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292</v>
      </c>
      <c r="V535" s="133">
        <f t="shared" si="234"/>
        <v>0</v>
      </c>
      <c r="W535" s="133">
        <f>VLOOKUP(U535,Sheet1!$B$6:$C$45,2,FALSE)*V535</f>
        <v>0</v>
      </c>
      <c r="X535" s="141"/>
      <c r="Y535" s="121" t="s">
        <v>292</v>
      </c>
      <c r="Z535" s="146">
        <f>VLOOKUP(Takeoffs!Y535,Sheet1!$B$6:$C$124,2,FALSE)</f>
        <v>0</v>
      </c>
      <c r="AA535" s="146">
        <f t="shared" si="235"/>
        <v>0</v>
      </c>
      <c r="AB535" s="143">
        <f t="shared" si="236"/>
        <v>0</v>
      </c>
      <c r="AC535" s="133">
        <f t="shared" si="237"/>
        <v>0</v>
      </c>
      <c r="AD535" s="142">
        <v>1</v>
      </c>
      <c r="AE535" s="141"/>
      <c r="AF535" s="121" t="s">
        <v>292</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292</v>
      </c>
      <c r="V536" s="133">
        <f t="shared" si="234"/>
        <v>0</v>
      </c>
      <c r="W536" s="133">
        <f>VLOOKUP(U536,Sheet1!$B$6:$C$45,2,FALSE)*V536</f>
        <v>0</v>
      </c>
      <c r="X536" s="141"/>
      <c r="Y536" s="121" t="s">
        <v>292</v>
      </c>
      <c r="Z536" s="146">
        <f>VLOOKUP(Takeoffs!Y536,Sheet1!$B$6:$C$124,2,FALSE)</f>
        <v>0</v>
      </c>
      <c r="AA536" s="146">
        <f t="shared" si="235"/>
        <v>0</v>
      </c>
      <c r="AB536" s="143">
        <f t="shared" si="236"/>
        <v>0</v>
      </c>
      <c r="AC536" s="133">
        <f t="shared" si="237"/>
        <v>0</v>
      </c>
      <c r="AD536" s="142">
        <v>1</v>
      </c>
      <c r="AE536" s="141"/>
      <c r="AF536" s="152" t="s">
        <v>418</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312</v>
      </c>
      <c r="P537" s="121"/>
      <c r="Q537" s="66"/>
      <c r="R537" s="121"/>
      <c r="S537" s="133">
        <f>M524</f>
        <v>0</v>
      </c>
      <c r="T537" s="120"/>
      <c r="U537" s="121" t="s">
        <v>232</v>
      </c>
      <c r="V537" s="133">
        <f t="shared" si="234"/>
        <v>0</v>
      </c>
      <c r="W537" s="133">
        <f>VLOOKUP(U537,Sheet1!$B$6:$C$45,2,FALSE)*V537</f>
        <v>0</v>
      </c>
      <c r="X537" s="141"/>
      <c r="Y537" s="122" t="s">
        <v>1344</v>
      </c>
      <c r="Z537" s="146">
        <f>VLOOKUP(Takeoffs!Y537,Sheet1!$B$6:$C$124,2,FALSE)</f>
        <v>109.25999999999999</v>
      </c>
      <c r="AA537" s="146">
        <f t="shared" si="235"/>
        <v>0</v>
      </c>
      <c r="AB537" s="143">
        <f t="shared" si="236"/>
        <v>0</v>
      </c>
      <c r="AC537" s="133">
        <f t="shared" si="237"/>
        <v>0</v>
      </c>
      <c r="AD537" s="142">
        <v>1</v>
      </c>
      <c r="AE537" s="141"/>
      <c r="AF537" s="121" t="s">
        <v>292</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541</v>
      </c>
      <c r="P538" s="121"/>
      <c r="Q538" s="66"/>
      <c r="R538" s="121"/>
      <c r="S538" s="133">
        <f>M524</f>
        <v>0</v>
      </c>
      <c r="T538" s="120"/>
      <c r="U538" s="121" t="s">
        <v>292</v>
      </c>
      <c r="V538" s="133">
        <f t="shared" si="234"/>
        <v>0</v>
      </c>
      <c r="W538" s="133">
        <f>VLOOKUP(U538,Sheet1!$B$6:$C$45,2,FALSE)*V538</f>
        <v>0</v>
      </c>
      <c r="X538" s="141"/>
      <c r="Y538" s="122" t="s">
        <v>326</v>
      </c>
      <c r="Z538" s="146">
        <f>VLOOKUP(Takeoffs!Y538,Sheet1!$B$6:$C$124,2,FALSE)</f>
        <v>29.04</v>
      </c>
      <c r="AA538" s="146">
        <f t="shared" si="235"/>
        <v>0</v>
      </c>
      <c r="AB538" s="143">
        <f t="shared" si="236"/>
        <v>0</v>
      </c>
      <c r="AC538" s="133">
        <f t="shared" si="237"/>
        <v>0</v>
      </c>
      <c r="AD538" s="142">
        <v>1</v>
      </c>
      <c r="AE538" s="141"/>
      <c r="AF538" s="121" t="s">
        <v>292</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337</v>
      </c>
      <c r="P539" s="121"/>
      <c r="Q539" s="66"/>
      <c r="R539" s="121" t="s">
        <v>331</v>
      </c>
      <c r="S539" s="133">
        <f>M524</f>
        <v>0</v>
      </c>
      <c r="T539" s="120"/>
      <c r="U539" s="121" t="s">
        <v>292</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292</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292</v>
      </c>
      <c r="V540" s="133">
        <f t="shared" si="234"/>
        <v>0</v>
      </c>
      <c r="W540" s="133">
        <f>VLOOKUP(U540,Sheet1!$B$6:$C$45,2,FALSE)*V540</f>
        <v>0</v>
      </c>
      <c r="X540" s="141"/>
      <c r="Y540" s="121" t="s">
        <v>292</v>
      </c>
      <c r="Z540" s="146">
        <f>VLOOKUP(Takeoffs!Y540,Sheet1!$B$6:$C$124,2,FALSE)</f>
        <v>0</v>
      </c>
      <c r="AA540" s="146">
        <f t="shared" si="235"/>
        <v>0</v>
      </c>
      <c r="AB540" s="143">
        <f t="shared" si="236"/>
        <v>0</v>
      </c>
      <c r="AC540" s="133">
        <f t="shared" si="237"/>
        <v>0</v>
      </c>
      <c r="AD540" s="142">
        <v>1</v>
      </c>
      <c r="AE540" s="141"/>
      <c r="AF540" s="121" t="s">
        <v>292</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329</v>
      </c>
      <c r="P541" s="121"/>
      <c r="Q541" s="66"/>
      <c r="R541" s="121" t="s">
        <v>304</v>
      </c>
      <c r="S541" s="133">
        <f>M524</f>
        <v>0</v>
      </c>
      <c r="T541" s="120"/>
      <c r="U541" s="121" t="s">
        <v>292</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292</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338</v>
      </c>
      <c r="P542" s="121"/>
      <c r="Q542" s="66"/>
      <c r="R542" s="121"/>
      <c r="S542" s="133">
        <f>M524</f>
        <v>0</v>
      </c>
      <c r="T542" s="120"/>
      <c r="U542" s="121" t="s">
        <v>292</v>
      </c>
      <c r="V542" s="133">
        <f t="shared" si="234"/>
        <v>0</v>
      </c>
      <c r="W542" s="133">
        <f>VLOOKUP(U542,Sheet1!$B$6:$C$45,2,FALSE)*V542</f>
        <v>0</v>
      </c>
      <c r="X542" s="141"/>
      <c r="Y542" s="122" t="s">
        <v>333</v>
      </c>
      <c r="Z542" s="146">
        <f>VLOOKUP(Takeoffs!Y542,Sheet1!$B$6:$C$124,2,FALSE)</f>
        <v>60</v>
      </c>
      <c r="AA542" s="146">
        <f t="shared" si="235"/>
        <v>0</v>
      </c>
      <c r="AB542" s="143">
        <f t="shared" si="236"/>
        <v>0</v>
      </c>
      <c r="AC542" s="133">
        <f t="shared" si="237"/>
        <v>0</v>
      </c>
      <c r="AD542" s="142">
        <v>1</v>
      </c>
      <c r="AE542" s="141"/>
      <c r="AF542" s="121" t="s">
        <v>292</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407</v>
      </c>
      <c r="P543" s="121"/>
      <c r="Q543" s="66"/>
      <c r="R543" s="121"/>
      <c r="S543" s="133">
        <f>M524</f>
        <v>0</v>
      </c>
      <c r="T543" s="120"/>
      <c r="U543" s="121" t="s">
        <v>292</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292</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408</v>
      </c>
      <c r="P544" s="121"/>
      <c r="Q544" s="66"/>
      <c r="R544" s="121"/>
      <c r="S544" s="133">
        <f>M524</f>
        <v>0</v>
      </c>
      <c r="T544" s="120"/>
      <c r="U544" s="121" t="s">
        <v>362</v>
      </c>
      <c r="V544" s="133">
        <f t="shared" si="234"/>
        <v>0</v>
      </c>
      <c r="W544" s="133">
        <f>VLOOKUP(U544,Sheet1!$B$6:$C$45,2,FALSE)*V544</f>
        <v>0</v>
      </c>
      <c r="X544" s="141"/>
      <c r="Y544" s="121" t="s">
        <v>292</v>
      </c>
      <c r="Z544" s="146">
        <f>VLOOKUP(Takeoffs!Y544,Sheet1!$B$6:$C$124,2,FALSE)</f>
        <v>0</v>
      </c>
      <c r="AA544" s="146">
        <f t="shared" si="235"/>
        <v>0</v>
      </c>
      <c r="AB544" s="143">
        <f t="shared" si="236"/>
        <v>0</v>
      </c>
      <c r="AC544" s="133">
        <f t="shared" si="237"/>
        <v>0</v>
      </c>
      <c r="AD544" s="142">
        <v>1</v>
      </c>
      <c r="AE544" s="141"/>
      <c r="AF544" s="121" t="s">
        <v>292</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377</v>
      </c>
      <c r="L545" s="128" t="s">
        <v>378</v>
      </c>
      <c r="N545" s="129"/>
      <c r="O545" s="130" t="s">
        <v>357</v>
      </c>
      <c r="P545" s="131">
        <f>V545+AA545+AH545</f>
        <v>0</v>
      </c>
      <c r="Q545" s="131"/>
      <c r="R545" s="131"/>
      <c r="S545" s="130"/>
      <c r="T545" s="127"/>
      <c r="U545" s="126" t="s">
        <v>351</v>
      </c>
      <c r="V545" s="127">
        <f>W545*80</f>
        <v>0</v>
      </c>
      <c r="W545" s="147">
        <f>SUM(W524:W544)</f>
        <v>0</v>
      </c>
      <c r="X545" s="148"/>
      <c r="Y545" s="127" t="s">
        <v>352</v>
      </c>
      <c r="Z545" s="116"/>
      <c r="AA545" s="116">
        <f>SUM(AA524:AA544)</f>
        <v>0</v>
      </c>
      <c r="AB545" s="149"/>
      <c r="AC545" s="149"/>
      <c r="AD545" s="149"/>
      <c r="AE545" s="149"/>
      <c r="AF545" s="127" t="s">
        <v>356</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hidden="1" x14ac:dyDescent="0.8">
      <c r="A546" s="262">
        <f>ROW()</f>
        <v>546</v>
      </c>
      <c r="B546" s="234" t="s">
        <v>491</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367</v>
      </c>
      <c r="N546" s="160" t="str">
        <f>N524</f>
        <v>general fan with interlock - from local power supply</v>
      </c>
      <c r="O546" s="160" t="s">
        <v>365</v>
      </c>
      <c r="P546" s="82" t="e">
        <f>P545/M524</f>
        <v>#DIV/0!</v>
      </c>
      <c r="Q546" s="161"/>
      <c r="R546" s="161"/>
      <c r="S546" s="160"/>
      <c r="T546" s="161"/>
      <c r="U546" s="571" t="s">
        <v>366</v>
      </c>
      <c r="V546" s="571"/>
      <c r="W546" s="162" t="e">
        <f>W545/M524</f>
        <v>#DIV/0!</v>
      </c>
      <c r="X546" s="163"/>
      <c r="Y546" s="570" t="s">
        <v>365</v>
      </c>
      <c r="Z546" s="570"/>
      <c r="AA546" s="164" t="e">
        <f>AA545/M524</f>
        <v>#DIV/0!</v>
      </c>
      <c r="AB546" s="161"/>
      <c r="AC546" s="161"/>
      <c r="AD546" s="161"/>
      <c r="AE546" s="161"/>
      <c r="AF546" s="570" t="s">
        <v>365</v>
      </c>
      <c r="AG546" s="570"/>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452</v>
      </c>
      <c r="M547" s="2" t="s">
        <v>107</v>
      </c>
      <c r="N547" s="2" t="s">
        <v>108</v>
      </c>
      <c r="O547" s="97" t="s">
        <v>386</v>
      </c>
      <c r="P547" s="572" t="s">
        <v>375</v>
      </c>
      <c r="Q547" s="572"/>
      <c r="R547" s="101" t="s">
        <v>452</v>
      </c>
      <c r="S547" s="2" t="s">
        <v>0</v>
      </c>
      <c r="T547" s="9"/>
      <c r="U547" s="2" t="s">
        <v>287</v>
      </c>
      <c r="V547" s="2" t="s">
        <v>288</v>
      </c>
      <c r="W547" s="2" t="s">
        <v>291</v>
      </c>
      <c r="X547" s="58"/>
      <c r="Y547" s="2" t="s">
        <v>289</v>
      </c>
      <c r="Z547" s="2" t="s">
        <v>354</v>
      </c>
      <c r="AA547" s="2" t="s">
        <v>355</v>
      </c>
      <c r="AB547" s="2" t="s">
        <v>317</v>
      </c>
      <c r="AC547" s="2" t="s">
        <v>318</v>
      </c>
      <c r="AD547" s="2" t="s">
        <v>316</v>
      </c>
      <c r="AE547" s="58"/>
      <c r="AF547" s="2" t="s">
        <v>293</v>
      </c>
      <c r="AG547" s="2" t="s">
        <v>354</v>
      </c>
      <c r="AH547" s="2" t="s">
        <v>355</v>
      </c>
      <c r="AI547" s="2" t="s">
        <v>296</v>
      </c>
      <c r="AJ547" s="2" t="s">
        <v>294</v>
      </c>
      <c r="AK547" s="2" t="s">
        <v>295</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346</v>
      </c>
      <c r="O548" s="12" t="s">
        <v>347</v>
      </c>
      <c r="P548" s="96" t="s">
        <v>379</v>
      </c>
      <c r="Q548" s="96" t="s">
        <v>375</v>
      </c>
      <c r="R548" s="96"/>
      <c r="S548" s="28">
        <f>M548</f>
        <v>0</v>
      </c>
      <c r="T548" s="10"/>
      <c r="U548" s="12" t="s">
        <v>292</v>
      </c>
      <c r="V548" s="28">
        <f>S548</f>
        <v>0</v>
      </c>
      <c r="W548" s="28">
        <f>VLOOKUP(U548,Sheet1!$B$6:$C$45,2,FALSE)*V548</f>
        <v>0</v>
      </c>
      <c r="X548" s="59"/>
      <c r="Y548" s="12" t="s">
        <v>292</v>
      </c>
      <c r="Z548" s="68">
        <f>VLOOKUP(Takeoffs!Y548,Sheet1!$B$6:$C$124,2,FALSE)</f>
        <v>0</v>
      </c>
      <c r="AA548" s="68">
        <f>Z548*AB548</f>
        <v>0</v>
      </c>
      <c r="AB548" s="63">
        <f>AD548*AC548</f>
        <v>0</v>
      </c>
      <c r="AC548" s="28">
        <f>S548</f>
        <v>0</v>
      </c>
      <c r="AD548" s="61">
        <v>1</v>
      </c>
      <c r="AE548" s="59"/>
      <c r="AF548" s="12" t="s">
        <v>292</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340</v>
      </c>
      <c r="P549" s="12"/>
      <c r="Q549" s="66"/>
      <c r="R549" s="12"/>
      <c r="S549" s="28">
        <f>M548</f>
        <v>0</v>
      </c>
      <c r="T549" s="11"/>
      <c r="U549" s="12" t="s">
        <v>233</v>
      </c>
      <c r="V549" s="28">
        <f t="shared" ref="V549:V568" si="249">S549</f>
        <v>0</v>
      </c>
      <c r="W549" s="28">
        <f>VLOOKUP(U549,Sheet1!$B$6:$C$45,2,FALSE)*V549</f>
        <v>0</v>
      </c>
      <c r="X549" s="59"/>
      <c r="Y549" s="12" t="s">
        <v>292</v>
      </c>
      <c r="Z549" s="68">
        <f>VLOOKUP(Takeoffs!Y549,Sheet1!$B$6:$C$124,2,FALSE)</f>
        <v>0</v>
      </c>
      <c r="AA549" s="68">
        <f t="shared" ref="AA549:AA568" si="250">Z549*AB549</f>
        <v>0</v>
      </c>
      <c r="AB549" s="63">
        <f t="shared" ref="AB549:AB568" si="251">AD549*AC549</f>
        <v>0</v>
      </c>
      <c r="AC549" s="28">
        <f>S549</f>
        <v>0</v>
      </c>
      <c r="AD549" s="61">
        <v>1</v>
      </c>
      <c r="AE549" s="59"/>
      <c r="AF549" s="12" t="s">
        <v>292</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441</v>
      </c>
      <c r="P550" s="121" t="s">
        <v>539</v>
      </c>
      <c r="Q550" s="66" t="s">
        <v>687</v>
      </c>
      <c r="R550" s="12"/>
      <c r="S550" s="28">
        <f>M548</f>
        <v>0</v>
      </c>
      <c r="T550" s="11"/>
      <c r="U550" s="12" t="s">
        <v>361</v>
      </c>
      <c r="V550" s="28">
        <f t="shared" si="249"/>
        <v>0</v>
      </c>
      <c r="W550" s="28">
        <f>VLOOKUP(U550,Sheet1!$B$6:$C$45,2,FALSE)*V550</f>
        <v>0</v>
      </c>
      <c r="X550" s="59"/>
      <c r="Y550" s="12" t="s">
        <v>292</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406</v>
      </c>
      <c r="P551" s="12"/>
      <c r="Q551" s="66"/>
      <c r="R551" s="12"/>
      <c r="S551" s="28">
        <f>M548</f>
        <v>0</v>
      </c>
      <c r="T551" s="11"/>
      <c r="U551" s="12" t="s">
        <v>292</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292</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292</v>
      </c>
      <c r="V552" s="28">
        <f t="shared" si="249"/>
        <v>0</v>
      </c>
      <c r="W552" s="28">
        <f>VLOOKUP(U552,Sheet1!$B$6:$C$45,2,FALSE)*V552</f>
        <v>0</v>
      </c>
      <c r="X552" s="59"/>
      <c r="Y552" s="12" t="s">
        <v>292</v>
      </c>
      <c r="Z552" s="68">
        <f>VLOOKUP(Takeoffs!Y552,Sheet1!$B$6:$C$124,2,FALSE)</f>
        <v>0</v>
      </c>
      <c r="AA552" s="68">
        <f t="shared" si="250"/>
        <v>0</v>
      </c>
      <c r="AB552" s="63">
        <f t="shared" si="251"/>
        <v>0</v>
      </c>
      <c r="AC552" s="28">
        <f t="shared" si="256"/>
        <v>0</v>
      </c>
      <c r="AD552" s="61">
        <v>1</v>
      </c>
      <c r="AE552" s="59"/>
      <c r="AF552" s="12" t="s">
        <v>292</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292</v>
      </c>
      <c r="V553" s="28">
        <f t="shared" si="249"/>
        <v>0</v>
      </c>
      <c r="W553" s="28">
        <f>VLOOKUP(U553,Sheet1!$B$6:$C$45,2,FALSE)*V553</f>
        <v>0</v>
      </c>
      <c r="X553" s="59"/>
      <c r="Y553" s="12" t="s">
        <v>292</v>
      </c>
      <c r="Z553" s="68">
        <f>VLOOKUP(Takeoffs!Y553,Sheet1!$B$6:$C$124,2,FALSE)</f>
        <v>0</v>
      </c>
      <c r="AA553" s="68">
        <f t="shared" si="250"/>
        <v>0</v>
      </c>
      <c r="AB553" s="63">
        <f t="shared" si="251"/>
        <v>0</v>
      </c>
      <c r="AC553" s="28">
        <f t="shared" si="256"/>
        <v>0</v>
      </c>
      <c r="AD553" s="61">
        <v>1</v>
      </c>
      <c r="AE553" s="59"/>
      <c r="AF553" s="12" t="s">
        <v>292</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292</v>
      </c>
      <c r="V554" s="28">
        <f t="shared" si="249"/>
        <v>0</v>
      </c>
      <c r="W554" s="28">
        <f>VLOOKUP(U554,Sheet1!$B$6:$C$45,2,FALSE)*V554</f>
        <v>0</v>
      </c>
      <c r="X554" s="59"/>
      <c r="Y554" s="12" t="s">
        <v>292</v>
      </c>
      <c r="Z554" s="68">
        <f>VLOOKUP(Takeoffs!Y554,Sheet1!$B$6:$C$124,2,FALSE)</f>
        <v>0</v>
      </c>
      <c r="AA554" s="68">
        <f t="shared" si="250"/>
        <v>0</v>
      </c>
      <c r="AB554" s="63">
        <f t="shared" si="251"/>
        <v>0</v>
      </c>
      <c r="AC554" s="28">
        <f t="shared" si="256"/>
        <v>0</v>
      </c>
      <c r="AD554" s="61">
        <v>1</v>
      </c>
      <c r="AE554" s="59"/>
      <c r="AF554" s="12" t="s">
        <v>292</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292</v>
      </c>
      <c r="V555" s="28">
        <f t="shared" si="249"/>
        <v>0</v>
      </c>
      <c r="W555" s="28">
        <f>VLOOKUP(U555,Sheet1!$B$6:$C$45,2,FALSE)*V555</f>
        <v>0</v>
      </c>
      <c r="X555" s="59"/>
      <c r="Y555" s="12" t="s">
        <v>292</v>
      </c>
      <c r="Z555" s="68">
        <f>VLOOKUP(Takeoffs!Y555,Sheet1!$B$6:$C$124,2,FALSE)</f>
        <v>0</v>
      </c>
      <c r="AA555" s="68">
        <f t="shared" si="250"/>
        <v>0</v>
      </c>
      <c r="AB555" s="63">
        <f t="shared" si="251"/>
        <v>0</v>
      </c>
      <c r="AC555" s="28">
        <f t="shared" si="256"/>
        <v>0</v>
      </c>
      <c r="AD555" s="61">
        <v>1</v>
      </c>
      <c r="AE555" s="59"/>
      <c r="AF555" s="12" t="s">
        <v>292</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328</v>
      </c>
      <c r="P556" s="12"/>
      <c r="Q556" s="66"/>
      <c r="R556" s="12"/>
      <c r="S556" s="28">
        <f>M548</f>
        <v>0</v>
      </c>
      <c r="T556" s="11"/>
      <c r="U556" s="12" t="s">
        <v>242</v>
      </c>
      <c r="V556" s="28">
        <f t="shared" si="249"/>
        <v>0</v>
      </c>
      <c r="W556" s="28">
        <f>VLOOKUP(U556,Sheet1!$B$6:$C$45,2,FALSE)*V556</f>
        <v>0</v>
      </c>
      <c r="X556" s="59"/>
      <c r="Y556" s="12" t="s">
        <v>292</v>
      </c>
      <c r="Z556" s="68">
        <f>VLOOKUP(Takeoffs!Y556,Sheet1!$B$6:$C$124,2,FALSE)</f>
        <v>0</v>
      </c>
      <c r="AA556" s="68">
        <f t="shared" si="250"/>
        <v>0</v>
      </c>
      <c r="AB556" s="63">
        <f t="shared" si="251"/>
        <v>0</v>
      </c>
      <c r="AC556" s="28">
        <f t="shared" si="256"/>
        <v>0</v>
      </c>
      <c r="AD556" s="61">
        <v>1</v>
      </c>
      <c r="AE556" s="59"/>
      <c r="AF556" s="12" t="s">
        <v>292</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292</v>
      </c>
      <c r="V557" s="28">
        <f t="shared" si="249"/>
        <v>0</v>
      </c>
      <c r="W557" s="28">
        <f>VLOOKUP(U557,Sheet1!$B$6:$C$45,2,FALSE)*V557</f>
        <v>0</v>
      </c>
      <c r="X557" s="59"/>
      <c r="Y557" s="12" t="s">
        <v>292</v>
      </c>
      <c r="Z557" s="68">
        <f>VLOOKUP(Takeoffs!Y557,Sheet1!$B$6:$C$124,2,FALSE)</f>
        <v>0</v>
      </c>
      <c r="AA557" s="68">
        <f t="shared" si="250"/>
        <v>0</v>
      </c>
      <c r="AB557" s="63">
        <f t="shared" si="251"/>
        <v>0</v>
      </c>
      <c r="AC557" s="28">
        <f t="shared" si="256"/>
        <v>0</v>
      </c>
      <c r="AD557" s="61">
        <v>1</v>
      </c>
      <c r="AE557" s="59"/>
      <c r="AF557" s="12" t="s">
        <v>292</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292</v>
      </c>
      <c r="V558" s="28">
        <f t="shared" si="249"/>
        <v>0</v>
      </c>
      <c r="W558" s="28">
        <f>VLOOKUP(U558,Sheet1!$B$6:$C$45,2,FALSE)*V558</f>
        <v>0</v>
      </c>
      <c r="X558" s="59"/>
      <c r="Y558" s="12" t="s">
        <v>292</v>
      </c>
      <c r="Z558" s="68">
        <f>VLOOKUP(Takeoffs!Y558,Sheet1!$B$6:$C$124,2,FALSE)</f>
        <v>0</v>
      </c>
      <c r="AA558" s="68">
        <f t="shared" si="250"/>
        <v>0</v>
      </c>
      <c r="AB558" s="63">
        <f t="shared" si="251"/>
        <v>0</v>
      </c>
      <c r="AC558" s="28">
        <f t="shared" si="256"/>
        <v>0</v>
      </c>
      <c r="AD558" s="61">
        <v>1</v>
      </c>
      <c r="AE558" s="59"/>
      <c r="AF558" s="12" t="s">
        <v>292</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292</v>
      </c>
      <c r="V559" s="28">
        <f t="shared" si="249"/>
        <v>0</v>
      </c>
      <c r="W559" s="28">
        <f>VLOOKUP(U559,Sheet1!$B$6:$C$45,2,FALSE)*V559</f>
        <v>0</v>
      </c>
      <c r="X559" s="59"/>
      <c r="Y559" s="12" t="s">
        <v>292</v>
      </c>
      <c r="Z559" s="68">
        <f>VLOOKUP(Takeoffs!Y559,Sheet1!$B$6:$C$124,2,FALSE)</f>
        <v>0</v>
      </c>
      <c r="AA559" s="68">
        <f t="shared" si="250"/>
        <v>0</v>
      </c>
      <c r="AB559" s="63">
        <f t="shared" si="251"/>
        <v>0</v>
      </c>
      <c r="AC559" s="28">
        <f t="shared" si="256"/>
        <v>0</v>
      </c>
      <c r="AD559" s="61">
        <v>1</v>
      </c>
      <c r="AE559" s="59"/>
      <c r="AF559" s="12" t="s">
        <v>292</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292</v>
      </c>
      <c r="V560" s="28">
        <f t="shared" si="249"/>
        <v>0</v>
      </c>
      <c r="W560" s="28">
        <f>VLOOKUP(U560,Sheet1!$B$6:$C$45,2,FALSE)*V560</f>
        <v>0</v>
      </c>
      <c r="X560" s="59"/>
      <c r="Y560" s="12" t="s">
        <v>292</v>
      </c>
      <c r="Z560" s="68">
        <f>VLOOKUP(Takeoffs!Y560,Sheet1!$B$6:$C$124,2,FALSE)</f>
        <v>0</v>
      </c>
      <c r="AA560" s="68">
        <f t="shared" si="250"/>
        <v>0</v>
      </c>
      <c r="AB560" s="63">
        <f t="shared" si="251"/>
        <v>0</v>
      </c>
      <c r="AC560" s="28">
        <f t="shared" si="256"/>
        <v>0</v>
      </c>
      <c r="AD560" s="61">
        <v>1</v>
      </c>
      <c r="AE560" s="59"/>
      <c r="AF560" s="73" t="s">
        <v>418</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312</v>
      </c>
      <c r="P561" s="12"/>
      <c r="Q561" s="66"/>
      <c r="R561" s="12"/>
      <c r="S561" s="28">
        <f>M548</f>
        <v>0</v>
      </c>
      <c r="T561" s="11"/>
      <c r="U561" s="12" t="s">
        <v>232</v>
      </c>
      <c r="V561" s="28">
        <f t="shared" si="249"/>
        <v>0</v>
      </c>
      <c r="W561" s="28">
        <f>VLOOKUP(U561,Sheet1!$B$6:$C$45,2,FALSE)*V561</f>
        <v>0</v>
      </c>
      <c r="X561" s="59"/>
      <c r="Y561" s="13" t="s">
        <v>1344</v>
      </c>
      <c r="Z561" s="68">
        <f>VLOOKUP(Takeoffs!Y561,Sheet1!$B$6:$C$124,2,FALSE)</f>
        <v>109.25999999999999</v>
      </c>
      <c r="AA561" s="68">
        <f t="shared" si="250"/>
        <v>0</v>
      </c>
      <c r="AB561" s="63">
        <f t="shared" si="251"/>
        <v>0</v>
      </c>
      <c r="AC561" s="28">
        <f t="shared" si="256"/>
        <v>0</v>
      </c>
      <c r="AD561" s="61">
        <v>1</v>
      </c>
      <c r="AE561" s="59"/>
      <c r="AF561" s="12" t="s">
        <v>292</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345</v>
      </c>
      <c r="P562" s="12" t="s">
        <v>380</v>
      </c>
      <c r="Q562" s="66" t="s">
        <v>384</v>
      </c>
      <c r="R562" s="12"/>
      <c r="S562" s="28">
        <f>M548</f>
        <v>0</v>
      </c>
      <c r="T562" s="11"/>
      <c r="U562" s="12" t="s">
        <v>292</v>
      </c>
      <c r="V562" s="28">
        <f t="shared" si="249"/>
        <v>0</v>
      </c>
      <c r="W562" s="28">
        <f>VLOOKUP(U562,Sheet1!$B$6:$C$45,2,FALSE)*V562</f>
        <v>0</v>
      </c>
      <c r="X562" s="59"/>
      <c r="Y562" s="13" t="s">
        <v>326</v>
      </c>
      <c r="Z562" s="68">
        <f>VLOOKUP(Takeoffs!Y562,Sheet1!$B$6:$C$124,2,FALSE)</f>
        <v>29.04</v>
      </c>
      <c r="AA562" s="68">
        <f t="shared" si="250"/>
        <v>0</v>
      </c>
      <c r="AB562" s="63">
        <f t="shared" si="251"/>
        <v>0</v>
      </c>
      <c r="AC562" s="28">
        <f t="shared" si="256"/>
        <v>0</v>
      </c>
      <c r="AD562" s="61">
        <v>1</v>
      </c>
      <c r="AE562" s="59"/>
      <c r="AF562" s="12" t="s">
        <v>292</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337</v>
      </c>
      <c r="P563" s="12"/>
      <c r="Q563" s="66"/>
      <c r="R563" s="12" t="s">
        <v>331</v>
      </c>
      <c r="S563" s="28">
        <f>M548</f>
        <v>0</v>
      </c>
      <c r="T563" s="11"/>
      <c r="U563" s="12" t="s">
        <v>292</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292</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292</v>
      </c>
      <c r="V564" s="28">
        <f t="shared" si="249"/>
        <v>0</v>
      </c>
      <c r="W564" s="28">
        <f>VLOOKUP(U564,Sheet1!$B$6:$C$45,2,FALSE)*V564</f>
        <v>0</v>
      </c>
      <c r="X564" s="59"/>
      <c r="Y564" s="12" t="s">
        <v>292</v>
      </c>
      <c r="Z564" s="68">
        <f>VLOOKUP(Takeoffs!Y564,Sheet1!$B$6:$C$124,2,FALSE)</f>
        <v>0</v>
      </c>
      <c r="AA564" s="68">
        <f t="shared" si="250"/>
        <v>0</v>
      </c>
      <c r="AB564" s="63">
        <f t="shared" si="251"/>
        <v>0</v>
      </c>
      <c r="AC564" s="28">
        <f t="shared" si="256"/>
        <v>0</v>
      </c>
      <c r="AD564" s="61">
        <v>1</v>
      </c>
      <c r="AE564" s="59"/>
      <c r="AF564" s="12" t="s">
        <v>292</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329</v>
      </c>
      <c r="P565" s="12"/>
      <c r="Q565" s="66"/>
      <c r="R565" s="12" t="s">
        <v>304</v>
      </c>
      <c r="S565" s="28">
        <f>M548</f>
        <v>0</v>
      </c>
      <c r="T565" s="11"/>
      <c r="U565" s="12" t="s">
        <v>292</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292</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338</v>
      </c>
      <c r="P566" s="12"/>
      <c r="Q566" s="66"/>
      <c r="R566" s="12"/>
      <c r="S566" s="28">
        <f>M548</f>
        <v>0</v>
      </c>
      <c r="T566" s="11"/>
      <c r="U566" s="12" t="s">
        <v>292</v>
      </c>
      <c r="V566" s="28">
        <f t="shared" si="249"/>
        <v>0</v>
      </c>
      <c r="W566" s="28">
        <f>VLOOKUP(U566,Sheet1!$B$6:$C$45,2,FALSE)*V566</f>
        <v>0</v>
      </c>
      <c r="X566" s="59"/>
      <c r="Y566" s="13" t="s">
        <v>333</v>
      </c>
      <c r="Z566" s="68">
        <f>VLOOKUP(Takeoffs!Y566,Sheet1!$B$6:$C$124,2,FALSE)</f>
        <v>60</v>
      </c>
      <c r="AA566" s="68">
        <f t="shared" si="250"/>
        <v>0</v>
      </c>
      <c r="AB566" s="63">
        <f t="shared" si="251"/>
        <v>0</v>
      </c>
      <c r="AC566" s="28">
        <f t="shared" si="256"/>
        <v>0</v>
      </c>
      <c r="AD566" s="61">
        <v>1</v>
      </c>
      <c r="AE566" s="59"/>
      <c r="AF566" s="12" t="s">
        <v>292</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407</v>
      </c>
      <c r="P567" s="12"/>
      <c r="Q567" s="66"/>
      <c r="R567" s="12"/>
      <c r="S567" s="28">
        <f>M548</f>
        <v>0</v>
      </c>
      <c r="T567" s="11"/>
      <c r="U567" s="12" t="s">
        <v>292</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292</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408</v>
      </c>
      <c r="P568" s="12"/>
      <c r="Q568" s="66"/>
      <c r="R568" s="12"/>
      <c r="S568" s="28">
        <f>M548</f>
        <v>0</v>
      </c>
      <c r="T568" s="11"/>
      <c r="U568" s="12" t="s">
        <v>362</v>
      </c>
      <c r="V568" s="28">
        <f t="shared" si="249"/>
        <v>0</v>
      </c>
      <c r="W568" s="28">
        <f>VLOOKUP(U568,Sheet1!$B$6:$C$45,2,FALSE)*V568</f>
        <v>0</v>
      </c>
      <c r="X568" s="59"/>
      <c r="Y568" s="12" t="s">
        <v>292</v>
      </c>
      <c r="Z568" s="68">
        <f>VLOOKUP(Takeoffs!Y568,Sheet1!$B$6:$C$124,2,FALSE)</f>
        <v>0</v>
      </c>
      <c r="AA568" s="68">
        <f t="shared" si="250"/>
        <v>0</v>
      </c>
      <c r="AB568" s="63">
        <f t="shared" si="251"/>
        <v>0</v>
      </c>
      <c r="AC568" s="28">
        <f t="shared" si="256"/>
        <v>0</v>
      </c>
      <c r="AD568" s="61">
        <v>1</v>
      </c>
      <c r="AE568" s="59"/>
      <c r="AF568" s="12" t="s">
        <v>292</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377</v>
      </c>
      <c r="L569" s="21" t="s">
        <v>378</v>
      </c>
      <c r="N569" s="22"/>
      <c r="O569" s="23" t="s">
        <v>357</v>
      </c>
      <c r="P569" s="24">
        <f>V569+AA569+AH569</f>
        <v>0</v>
      </c>
      <c r="Q569" s="24"/>
      <c r="R569" s="24"/>
      <c r="S569" s="23"/>
      <c r="T569" s="20"/>
      <c r="U569" s="19" t="s">
        <v>351</v>
      </c>
      <c r="V569" s="20">
        <f>W569*80</f>
        <v>0</v>
      </c>
      <c r="W569" s="69">
        <f>SUM(W548:W568)</f>
        <v>0</v>
      </c>
      <c r="X569" s="70"/>
      <c r="Y569" s="20" t="s">
        <v>352</v>
      </c>
      <c r="Z569" s="2"/>
      <c r="AA569" s="2">
        <f>SUM(AA548:AA568)</f>
        <v>0</v>
      </c>
      <c r="AB569" s="71"/>
      <c r="AC569" s="71"/>
      <c r="AD569" s="71"/>
      <c r="AE569" s="71"/>
      <c r="AF569" s="20" t="s">
        <v>356</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hidden="1" x14ac:dyDescent="0.8">
      <c r="A570" s="262">
        <f>ROW()</f>
        <v>570</v>
      </c>
      <c r="B570" s="234" t="s">
        <v>491</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367</v>
      </c>
      <c r="N570" s="83" t="str">
        <f>N548</f>
        <v>general fan with fire shutdown - from local power supply</v>
      </c>
      <c r="O570" s="83" t="s">
        <v>365</v>
      </c>
      <c r="P570" s="82" t="e">
        <f>P569/M548</f>
        <v>#DIV/0!</v>
      </c>
      <c r="Q570" s="84"/>
      <c r="R570" s="84"/>
      <c r="S570" s="83"/>
      <c r="T570" s="84"/>
      <c r="U570" s="571" t="s">
        <v>366</v>
      </c>
      <c r="V570" s="571"/>
      <c r="W570" s="85" t="e">
        <f>W569/M548</f>
        <v>#DIV/0!</v>
      </c>
      <c r="X570" s="86"/>
      <c r="Y570" s="570" t="s">
        <v>365</v>
      </c>
      <c r="Z570" s="570"/>
      <c r="AA570" s="87" t="e">
        <f>AA569/M548</f>
        <v>#DIV/0!</v>
      </c>
      <c r="AB570" s="84"/>
      <c r="AC570" s="84"/>
      <c r="AD570" s="84"/>
      <c r="AE570" s="84"/>
      <c r="AF570" s="570" t="s">
        <v>365</v>
      </c>
      <c r="AG570" s="570"/>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452</v>
      </c>
      <c r="M571" s="116" t="s">
        <v>107</v>
      </c>
      <c r="N571" s="116" t="s">
        <v>108</v>
      </c>
      <c r="O571" s="170" t="s">
        <v>386</v>
      </c>
      <c r="P571" s="572" t="s">
        <v>375</v>
      </c>
      <c r="Q571" s="572"/>
      <c r="R571" s="101" t="s">
        <v>452</v>
      </c>
      <c r="S571" s="116" t="s">
        <v>0</v>
      </c>
      <c r="T571" s="118"/>
      <c r="U571" s="116" t="s">
        <v>287</v>
      </c>
      <c r="V571" s="116" t="s">
        <v>288</v>
      </c>
      <c r="W571" s="116" t="s">
        <v>291</v>
      </c>
      <c r="X571" s="140"/>
      <c r="Y571" s="116" t="s">
        <v>289</v>
      </c>
      <c r="Z571" s="116" t="s">
        <v>354</v>
      </c>
      <c r="AA571" s="116" t="s">
        <v>355</v>
      </c>
      <c r="AB571" s="116" t="s">
        <v>317</v>
      </c>
      <c r="AC571" s="116" t="s">
        <v>318</v>
      </c>
      <c r="AD571" s="116" t="s">
        <v>316</v>
      </c>
      <c r="AE571" s="140"/>
      <c r="AF571" s="116" t="s">
        <v>293</v>
      </c>
      <c r="AG571" s="116" t="s">
        <v>354</v>
      </c>
      <c r="AH571" s="116" t="s">
        <v>355</v>
      </c>
      <c r="AI571" s="116" t="s">
        <v>296</v>
      </c>
      <c r="AJ571" s="116" t="s">
        <v>294</v>
      </c>
      <c r="AK571" s="116" t="s">
        <v>295</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701</v>
      </c>
      <c r="O572" s="121" t="s">
        <v>133</v>
      </c>
      <c r="P572" s="169" t="s">
        <v>379</v>
      </c>
      <c r="Q572" s="169" t="s">
        <v>375</v>
      </c>
      <c r="R572" s="169"/>
      <c r="S572" s="133">
        <f>M572</f>
        <v>0</v>
      </c>
      <c r="T572" s="119"/>
      <c r="U572" s="121" t="s">
        <v>292</v>
      </c>
      <c r="V572" s="133">
        <f>S572</f>
        <v>0</v>
      </c>
      <c r="W572" s="133">
        <f>VLOOKUP(U572,Sheet1!$B$6:$C$45,2,FALSE)*V572</f>
        <v>0</v>
      </c>
      <c r="X572" s="141"/>
      <c r="Y572" s="121" t="s">
        <v>292</v>
      </c>
      <c r="Z572" s="146">
        <f>VLOOKUP(Takeoffs!Y572,Sheet1!$B$6:$C$124,2,FALSE)</f>
        <v>0</v>
      </c>
      <c r="AA572" s="146">
        <f>Z572*AB572</f>
        <v>0</v>
      </c>
      <c r="AB572" s="143">
        <f>AD572*AC572</f>
        <v>0</v>
      </c>
      <c r="AC572" s="133">
        <f>S572</f>
        <v>0</v>
      </c>
      <c r="AD572" s="142">
        <v>1</v>
      </c>
      <c r="AE572" s="141"/>
      <c r="AF572" s="121" t="s">
        <v>292</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hidden="1"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292</v>
      </c>
      <c r="V573" s="133">
        <f t="shared" ref="V573:V592" si="259">S573</f>
        <v>0</v>
      </c>
      <c r="W573" s="133">
        <f>VLOOKUP(U573,Sheet1!$B$6:$C$45,2,FALSE)*V573</f>
        <v>0</v>
      </c>
      <c r="X573" s="141"/>
      <c r="Y573" s="121" t="s">
        <v>292</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292</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hidden="1"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292</v>
      </c>
      <c r="V574" s="133">
        <f t="shared" si="259"/>
        <v>0</v>
      </c>
      <c r="W574" s="133">
        <f>VLOOKUP(U574,Sheet1!$B$6:$C$45,2,FALSE)*V574</f>
        <v>0</v>
      </c>
      <c r="X574" s="141"/>
      <c r="Y574" s="121" t="s">
        <v>292</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hidden="1"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537</v>
      </c>
      <c r="P575" s="121" t="s">
        <v>539</v>
      </c>
      <c r="Q575" s="66" t="s">
        <v>538</v>
      </c>
      <c r="R575" s="121"/>
      <c r="S575" s="133">
        <f>M572</f>
        <v>0</v>
      </c>
      <c r="T575" s="120"/>
      <c r="U575" s="121" t="s">
        <v>361</v>
      </c>
      <c r="V575" s="133">
        <f t="shared" si="259"/>
        <v>0</v>
      </c>
      <c r="W575" s="133">
        <f>VLOOKUP(U575,Sheet1!$B$6:$C$45,2,FALSE)*V575</f>
        <v>0</v>
      </c>
      <c r="X575" s="141"/>
      <c r="Y575" s="121" t="s">
        <v>292</v>
      </c>
      <c r="Z575" s="146">
        <f>VLOOKUP(Takeoffs!Y575,Sheet1!$B$6:$C$124,2,FALSE)</f>
        <v>0</v>
      </c>
      <c r="AA575" s="146">
        <f t="shared" si="260"/>
        <v>0</v>
      </c>
      <c r="AB575" s="143">
        <f t="shared" si="261"/>
        <v>0</v>
      </c>
      <c r="AC575" s="133">
        <f t="shared" si="262"/>
        <v>0</v>
      </c>
      <c r="AD575" s="142">
        <v>1</v>
      </c>
      <c r="AE575" s="141"/>
      <c r="AF575" s="121" t="s">
        <v>292</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hidden="1"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645</v>
      </c>
      <c r="P576" s="121"/>
      <c r="Q576" s="66"/>
      <c r="R576" s="121"/>
      <c r="S576" s="133">
        <f>M572</f>
        <v>0</v>
      </c>
      <c r="T576" s="120"/>
      <c r="U576" s="121" t="s">
        <v>292</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292</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hidden="1"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699</v>
      </c>
      <c r="P577" s="121"/>
      <c r="Q577" s="66"/>
      <c r="R577" s="121"/>
      <c r="S577" s="133">
        <f>M572</f>
        <v>0</v>
      </c>
      <c r="T577" s="120"/>
      <c r="U577" s="121" t="s">
        <v>362</v>
      </c>
      <c r="V577" s="133">
        <f t="shared" si="259"/>
        <v>0</v>
      </c>
      <c r="W577" s="133">
        <f>VLOOKUP(U577,Sheet1!$B$6:$C$45,2,FALSE)*V577</f>
        <v>0</v>
      </c>
      <c r="X577" s="141"/>
      <c r="Y577" s="135" t="s">
        <v>700</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hidden="1"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675</v>
      </c>
      <c r="P578" s="121"/>
      <c r="Q578" s="66"/>
      <c r="R578" s="121"/>
      <c r="S578" s="133">
        <f>M572</f>
        <v>0</v>
      </c>
      <c r="T578" s="120"/>
      <c r="U578" s="121" t="s">
        <v>292</v>
      </c>
      <c r="V578" s="133">
        <f t="shared" si="259"/>
        <v>0</v>
      </c>
      <c r="W578" s="133">
        <f>VLOOKUP(U578,Sheet1!$B$6:$C$45,2,FALSE)*V578</f>
        <v>0</v>
      </c>
      <c r="X578" s="141"/>
      <c r="Y578" s="121" t="s">
        <v>292</v>
      </c>
      <c r="Z578" s="146">
        <f>VLOOKUP(Takeoffs!Y578,Sheet1!$B$6:$C$124,2,FALSE)</f>
        <v>0</v>
      </c>
      <c r="AA578" s="146">
        <f t="shared" si="260"/>
        <v>0</v>
      </c>
      <c r="AB578" s="143">
        <f t="shared" si="261"/>
        <v>0</v>
      </c>
      <c r="AC578" s="133">
        <f t="shared" si="262"/>
        <v>0</v>
      </c>
      <c r="AD578" s="142">
        <v>1</v>
      </c>
      <c r="AE578" s="141"/>
      <c r="AF578" s="121" t="s">
        <v>292</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hidden="1" x14ac:dyDescent="0.8">
      <c r="A579" s="262">
        <f>ROW()</f>
        <v>579</v>
      </c>
      <c r="C579" s="208"/>
      <c r="D579" s="208"/>
      <c r="E579" s="208"/>
      <c r="F579" s="208"/>
      <c r="G579" s="208"/>
      <c r="H579" s="208"/>
      <c r="J579" s="114" t="str">
        <f t="shared" si="266"/>
        <v/>
      </c>
      <c r="K579" s="114" t="str">
        <f>IF(COUNTBLANK(R579)&gt;0,"",CONCATENATE(R579," for ",N572))</f>
        <v/>
      </c>
      <c r="N579" s="123" t="s">
        <v>119</v>
      </c>
      <c r="O579" s="66" t="s">
        <v>536</v>
      </c>
      <c r="P579" s="121"/>
      <c r="Q579" s="66"/>
      <c r="R579" s="121"/>
      <c r="S579" s="133">
        <f>M572</f>
        <v>0</v>
      </c>
      <c r="T579" s="120"/>
      <c r="U579" s="121" t="s">
        <v>292</v>
      </c>
      <c r="V579" s="133">
        <f t="shared" si="259"/>
        <v>0</v>
      </c>
      <c r="W579" s="133">
        <f>VLOOKUP(U579,Sheet1!$B$6:$C$45,2,FALSE)*V579</f>
        <v>0</v>
      </c>
      <c r="X579" s="141"/>
      <c r="Y579" s="122" t="s">
        <v>333</v>
      </c>
      <c r="Z579" s="146">
        <f>VLOOKUP(Takeoffs!Y579,Sheet1!$B$6:$C$124,2,FALSE)</f>
        <v>60</v>
      </c>
      <c r="AA579" s="146">
        <f t="shared" si="260"/>
        <v>0</v>
      </c>
      <c r="AB579" s="143">
        <f t="shared" si="261"/>
        <v>0</v>
      </c>
      <c r="AC579" s="133">
        <f t="shared" si="262"/>
        <v>0</v>
      </c>
      <c r="AD579" s="142">
        <v>1</v>
      </c>
      <c r="AE579" s="141"/>
      <c r="AF579" s="121" t="s">
        <v>292</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hidden="1"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292</v>
      </c>
      <c r="V580" s="133">
        <f t="shared" si="259"/>
        <v>0</v>
      </c>
      <c r="W580" s="133">
        <f>VLOOKUP(U580,Sheet1!$B$6:$C$45,2,FALSE)*V580</f>
        <v>0</v>
      </c>
      <c r="X580" s="141"/>
      <c r="Y580" s="121" t="s">
        <v>292</v>
      </c>
      <c r="Z580" s="146">
        <f>VLOOKUP(Takeoffs!Y580,Sheet1!$B$6:$C$124,2,FALSE)</f>
        <v>0</v>
      </c>
      <c r="AA580" s="146">
        <f t="shared" si="260"/>
        <v>0</v>
      </c>
      <c r="AB580" s="143">
        <f t="shared" si="261"/>
        <v>0</v>
      </c>
      <c r="AC580" s="133">
        <f t="shared" si="262"/>
        <v>0</v>
      </c>
      <c r="AD580" s="142">
        <v>1</v>
      </c>
      <c r="AE580" s="141"/>
      <c r="AF580" s="121" t="s">
        <v>292</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hidden="1"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292</v>
      </c>
      <c r="V581" s="133">
        <f t="shared" si="259"/>
        <v>0</v>
      </c>
      <c r="W581" s="133">
        <f>VLOOKUP(U581,Sheet1!$B$6:$C$45,2,FALSE)*V581</f>
        <v>0</v>
      </c>
      <c r="X581" s="141"/>
      <c r="Y581" s="121" t="s">
        <v>292</v>
      </c>
      <c r="Z581" s="146">
        <f>VLOOKUP(Takeoffs!Y581,Sheet1!$B$6:$C$124,2,FALSE)</f>
        <v>0</v>
      </c>
      <c r="AA581" s="146">
        <f t="shared" si="260"/>
        <v>0</v>
      </c>
      <c r="AB581" s="143">
        <f t="shared" si="261"/>
        <v>0</v>
      </c>
      <c r="AC581" s="133">
        <f t="shared" si="262"/>
        <v>0</v>
      </c>
      <c r="AD581" s="142">
        <v>1</v>
      </c>
      <c r="AE581" s="141"/>
      <c r="AF581" s="121" t="s">
        <v>292</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hidden="1"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292</v>
      </c>
      <c r="V582" s="133">
        <f t="shared" si="259"/>
        <v>0</v>
      </c>
      <c r="W582" s="133">
        <f>VLOOKUP(U582,Sheet1!$B$6:$C$45,2,FALSE)*V582</f>
        <v>0</v>
      </c>
      <c r="X582" s="141"/>
      <c r="Y582" s="121" t="s">
        <v>292</v>
      </c>
      <c r="Z582" s="146">
        <f>VLOOKUP(Takeoffs!Y582,Sheet1!$B$6:$C$124,2,FALSE)</f>
        <v>0</v>
      </c>
      <c r="AA582" s="146">
        <f t="shared" si="260"/>
        <v>0</v>
      </c>
      <c r="AB582" s="143">
        <f t="shared" si="261"/>
        <v>0</v>
      </c>
      <c r="AC582" s="133">
        <f t="shared" si="262"/>
        <v>0</v>
      </c>
      <c r="AD582" s="142">
        <v>1</v>
      </c>
      <c r="AE582" s="141"/>
      <c r="AF582" s="121" t="s">
        <v>292</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hidden="1"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292</v>
      </c>
      <c r="V583" s="133">
        <f t="shared" si="259"/>
        <v>0</v>
      </c>
      <c r="W583" s="133">
        <f>VLOOKUP(U583,Sheet1!$B$6:$C$45,2,FALSE)*V583</f>
        <v>0</v>
      </c>
      <c r="X583" s="141"/>
      <c r="Y583" s="121" t="s">
        <v>292</v>
      </c>
      <c r="Z583" s="146">
        <f>VLOOKUP(Takeoffs!Y583,Sheet1!$B$6:$C$124,2,FALSE)</f>
        <v>0</v>
      </c>
      <c r="AA583" s="146">
        <f t="shared" si="260"/>
        <v>0</v>
      </c>
      <c r="AB583" s="143">
        <f t="shared" si="261"/>
        <v>0</v>
      </c>
      <c r="AC583" s="133">
        <f t="shared" si="262"/>
        <v>0</v>
      </c>
      <c r="AD583" s="142">
        <v>1</v>
      </c>
      <c r="AE583" s="141"/>
      <c r="AF583" s="121" t="s">
        <v>292</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hidden="1"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292</v>
      </c>
      <c r="V584" s="133">
        <f t="shared" si="259"/>
        <v>0</v>
      </c>
      <c r="W584" s="133">
        <f>VLOOKUP(U584,Sheet1!$B$6:$C$45,2,FALSE)*V584</f>
        <v>0</v>
      </c>
      <c r="X584" s="141"/>
      <c r="Y584" s="121" t="s">
        <v>292</v>
      </c>
      <c r="Z584" s="146">
        <f>VLOOKUP(Takeoffs!Y584,Sheet1!$B$6:$C$124,2,FALSE)</f>
        <v>0</v>
      </c>
      <c r="AA584" s="146">
        <f t="shared" si="260"/>
        <v>0</v>
      </c>
      <c r="AB584" s="143">
        <f t="shared" si="261"/>
        <v>0</v>
      </c>
      <c r="AC584" s="133">
        <f t="shared" si="262"/>
        <v>0</v>
      </c>
      <c r="AD584" s="142">
        <v>1</v>
      </c>
      <c r="AE584" s="141"/>
      <c r="AF584" s="121" t="s">
        <v>292</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hidden="1"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292</v>
      </c>
      <c r="V585" s="133">
        <f t="shared" si="259"/>
        <v>0</v>
      </c>
      <c r="W585" s="133">
        <f>VLOOKUP(U585,Sheet1!$B$6:$C$45,2,FALSE)*V585</f>
        <v>0</v>
      </c>
      <c r="X585" s="141"/>
      <c r="Y585" s="121" t="s">
        <v>292</v>
      </c>
      <c r="Z585" s="146">
        <f>VLOOKUP(Takeoffs!Y585,Sheet1!$B$6:$C$124,2,FALSE)</f>
        <v>0</v>
      </c>
      <c r="AA585" s="146">
        <f t="shared" si="260"/>
        <v>0</v>
      </c>
      <c r="AB585" s="143">
        <f t="shared" si="261"/>
        <v>0</v>
      </c>
      <c r="AC585" s="133">
        <f t="shared" si="262"/>
        <v>0</v>
      </c>
      <c r="AD585" s="142">
        <v>1</v>
      </c>
      <c r="AE585" s="141"/>
      <c r="AF585" s="121" t="s">
        <v>292</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hidden="1"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292</v>
      </c>
      <c r="V586" s="133">
        <f t="shared" si="259"/>
        <v>0</v>
      </c>
      <c r="W586" s="133">
        <f>VLOOKUP(U586,Sheet1!$B$6:$C$45,2,FALSE)*V586</f>
        <v>0</v>
      </c>
      <c r="X586" s="141"/>
      <c r="Y586" s="121" t="s">
        <v>292</v>
      </c>
      <c r="Z586" s="146">
        <f>VLOOKUP(Takeoffs!Y586,Sheet1!$B$6:$C$124,2,FALSE)</f>
        <v>0</v>
      </c>
      <c r="AA586" s="146">
        <f t="shared" si="260"/>
        <v>0</v>
      </c>
      <c r="AB586" s="143">
        <f t="shared" si="261"/>
        <v>0</v>
      </c>
      <c r="AC586" s="133">
        <f t="shared" si="262"/>
        <v>0</v>
      </c>
      <c r="AD586" s="142">
        <v>1</v>
      </c>
      <c r="AE586" s="141"/>
      <c r="AF586" s="121" t="s">
        <v>292</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hidden="1"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292</v>
      </c>
      <c r="V587" s="133">
        <f t="shared" si="259"/>
        <v>0</v>
      </c>
      <c r="W587" s="133">
        <f>VLOOKUP(U587,Sheet1!$B$6:$C$45,2,FALSE)*V587</f>
        <v>0</v>
      </c>
      <c r="X587" s="141"/>
      <c r="Y587" s="121" t="s">
        <v>292</v>
      </c>
      <c r="Z587" s="146">
        <f>VLOOKUP(Takeoffs!Y587,Sheet1!$B$6:$C$124,2,FALSE)</f>
        <v>0</v>
      </c>
      <c r="AA587" s="146">
        <f t="shared" si="260"/>
        <v>0</v>
      </c>
      <c r="AB587" s="143">
        <f t="shared" si="261"/>
        <v>0</v>
      </c>
      <c r="AC587" s="133">
        <f t="shared" si="262"/>
        <v>0</v>
      </c>
      <c r="AD587" s="142">
        <v>2</v>
      </c>
      <c r="AE587" s="141"/>
      <c r="AF587" s="121" t="s">
        <v>292</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hidden="1"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292</v>
      </c>
      <c r="V588" s="133">
        <f t="shared" si="259"/>
        <v>0</v>
      </c>
      <c r="W588" s="133">
        <f>VLOOKUP(U588,Sheet1!$B$6:$C$45,2,FALSE)*V588</f>
        <v>0</v>
      </c>
      <c r="X588" s="141"/>
      <c r="Y588" s="121" t="s">
        <v>292</v>
      </c>
      <c r="Z588" s="146">
        <f>VLOOKUP(Takeoffs!Y588,Sheet1!$B$6:$C$124,2,FALSE)</f>
        <v>0</v>
      </c>
      <c r="AA588" s="146">
        <f t="shared" si="260"/>
        <v>0</v>
      </c>
      <c r="AB588" s="143">
        <f t="shared" si="261"/>
        <v>0</v>
      </c>
      <c r="AC588" s="133">
        <f t="shared" si="262"/>
        <v>0</v>
      </c>
      <c r="AD588" s="142">
        <v>1</v>
      </c>
      <c r="AE588" s="141"/>
      <c r="AF588" s="121" t="s">
        <v>292</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hidden="1"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292</v>
      </c>
      <c r="V589" s="133">
        <f t="shared" si="259"/>
        <v>0</v>
      </c>
      <c r="W589" s="133">
        <f>VLOOKUP(U589,Sheet1!$B$6:$C$45,2,FALSE)*V589</f>
        <v>0</v>
      </c>
      <c r="X589" s="141"/>
      <c r="Y589" s="121" t="s">
        <v>292</v>
      </c>
      <c r="Z589" s="146">
        <f>VLOOKUP(Takeoffs!Y589,Sheet1!$B$6:$C$124,2,FALSE)</f>
        <v>0</v>
      </c>
      <c r="AA589" s="146">
        <f t="shared" si="260"/>
        <v>0</v>
      </c>
      <c r="AB589" s="143">
        <f t="shared" si="261"/>
        <v>0</v>
      </c>
      <c r="AC589" s="133">
        <f t="shared" si="262"/>
        <v>0</v>
      </c>
      <c r="AD589" s="142">
        <v>1</v>
      </c>
      <c r="AE589" s="141"/>
      <c r="AF589" s="121" t="s">
        <v>292</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hidden="1"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292</v>
      </c>
      <c r="V590" s="133">
        <f t="shared" si="259"/>
        <v>0</v>
      </c>
      <c r="W590" s="133">
        <f>VLOOKUP(U590,Sheet1!$B$6:$C$45,2,FALSE)*V590</f>
        <v>0</v>
      </c>
      <c r="X590" s="141"/>
      <c r="Y590" s="121" t="s">
        <v>292</v>
      </c>
      <c r="Z590" s="146">
        <f>VLOOKUP(Takeoffs!Y590,Sheet1!$B$6:$C$124,2,FALSE)</f>
        <v>0</v>
      </c>
      <c r="AA590" s="146">
        <f t="shared" si="260"/>
        <v>0</v>
      </c>
      <c r="AB590" s="143">
        <f t="shared" si="261"/>
        <v>0</v>
      </c>
      <c r="AC590" s="133">
        <f t="shared" si="262"/>
        <v>0</v>
      </c>
      <c r="AD590" s="142">
        <v>1</v>
      </c>
      <c r="AE590" s="141"/>
      <c r="AF590" s="121" t="s">
        <v>292</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hidden="1"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292</v>
      </c>
      <c r="V591" s="133">
        <f t="shared" si="259"/>
        <v>0</v>
      </c>
      <c r="W591" s="133">
        <f>VLOOKUP(U591,Sheet1!$B$6:$C$45,2,FALSE)*V591</f>
        <v>0</v>
      </c>
      <c r="X591" s="141"/>
      <c r="Y591" s="121" t="s">
        <v>292</v>
      </c>
      <c r="Z591" s="146">
        <f>VLOOKUP(Takeoffs!Y591,Sheet1!$B$6:$C$124,2,FALSE)</f>
        <v>0</v>
      </c>
      <c r="AA591" s="146">
        <f t="shared" si="260"/>
        <v>0</v>
      </c>
      <c r="AB591" s="143">
        <f t="shared" si="261"/>
        <v>0</v>
      </c>
      <c r="AC591" s="133">
        <f t="shared" si="262"/>
        <v>0</v>
      </c>
      <c r="AD591" s="142">
        <v>1</v>
      </c>
      <c r="AE591" s="141"/>
      <c r="AF591" s="121" t="s">
        <v>292</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hidden="1" x14ac:dyDescent="0.8">
      <c r="A592" s="262">
        <f>ROW()</f>
        <v>592</v>
      </c>
      <c r="C592" s="208"/>
      <c r="D592" s="208"/>
      <c r="E592" s="208"/>
      <c r="F592" s="208"/>
      <c r="G592" s="208"/>
      <c r="H592" s="208"/>
      <c r="J592" s="114" t="str">
        <f t="shared" si="266"/>
        <v/>
      </c>
      <c r="K592" s="114" t="str">
        <f>IF(COUNTBLANK(R592)&gt;0,"",CONCATENATE(R592," for ",N572))</f>
        <v/>
      </c>
      <c r="N592" s="123" t="s">
        <v>132</v>
      </c>
      <c r="O592" s="66" t="s">
        <v>408</v>
      </c>
      <c r="P592" s="121"/>
      <c r="Q592" s="66"/>
      <c r="R592" s="121"/>
      <c r="S592" s="133">
        <f>M572</f>
        <v>0</v>
      </c>
      <c r="T592" s="120"/>
      <c r="U592" s="121" t="s">
        <v>292</v>
      </c>
      <c r="V592" s="133">
        <f t="shared" si="259"/>
        <v>0</v>
      </c>
      <c r="W592" s="133">
        <f>VLOOKUP(U592,Sheet1!$B$6:$C$45,2,FALSE)*V592</f>
        <v>0</v>
      </c>
      <c r="X592" s="141"/>
      <c r="Y592" s="121" t="s">
        <v>292</v>
      </c>
      <c r="Z592" s="146">
        <f>VLOOKUP(Takeoffs!Y592,Sheet1!$B$6:$C$124,2,FALSE)</f>
        <v>0</v>
      </c>
      <c r="AA592" s="146">
        <f t="shared" si="260"/>
        <v>0</v>
      </c>
      <c r="AB592" s="143">
        <f t="shared" si="261"/>
        <v>0</v>
      </c>
      <c r="AC592" s="133">
        <f t="shared" si="262"/>
        <v>0</v>
      </c>
      <c r="AD592" s="142">
        <v>1</v>
      </c>
      <c r="AE592" s="141"/>
      <c r="AF592" s="121" t="s">
        <v>292</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377</v>
      </c>
      <c r="L593" s="128" t="s">
        <v>378</v>
      </c>
      <c r="N593" s="129"/>
      <c r="O593" s="130" t="s">
        <v>357</v>
      </c>
      <c r="P593" s="155">
        <f>V593+AA593+AH593</f>
        <v>0</v>
      </c>
      <c r="Q593" s="155"/>
      <c r="R593" s="131"/>
      <c r="S593" s="130"/>
      <c r="T593" s="127"/>
      <c r="U593" s="126" t="s">
        <v>351</v>
      </c>
      <c r="V593" s="127">
        <f>W593*80</f>
        <v>0</v>
      </c>
      <c r="W593" s="147">
        <f>SUM(W572:W592)</f>
        <v>0</v>
      </c>
      <c r="X593" s="148"/>
      <c r="Y593" s="127" t="s">
        <v>352</v>
      </c>
      <c r="Z593" s="116"/>
      <c r="AA593" s="116">
        <f>SUM(AA572:AA592)</f>
        <v>0</v>
      </c>
      <c r="AB593" s="149"/>
      <c r="AC593" s="149"/>
      <c r="AD593" s="149"/>
      <c r="AE593" s="149"/>
      <c r="AF593" s="127" t="s">
        <v>356</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hidden="1" thickBot="1" x14ac:dyDescent="1.25">
      <c r="A594" s="262">
        <f>ROW()</f>
        <v>594</v>
      </c>
      <c r="B594" s="234" t="s">
        <v>491</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367</v>
      </c>
      <c r="N594" s="160" t="str">
        <f>N572</f>
        <v>DOL fan from local power supply - With local switch and run on timer</v>
      </c>
      <c r="O594" s="185" t="s">
        <v>365</v>
      </c>
      <c r="P594" s="203" t="e">
        <f>P593/M572</f>
        <v>#DIV/0!</v>
      </c>
      <c r="Q594" s="195"/>
      <c r="R594" s="188"/>
      <c r="S594" s="160"/>
      <c r="T594" s="161"/>
      <c r="U594" s="571" t="s">
        <v>366</v>
      </c>
      <c r="V594" s="571"/>
      <c r="W594" s="162" t="e">
        <f>W593/M572</f>
        <v>#DIV/0!</v>
      </c>
      <c r="X594" s="163"/>
      <c r="Y594" s="570" t="s">
        <v>365</v>
      </c>
      <c r="Z594" s="570"/>
      <c r="AA594" s="164" t="e">
        <f>AA593/M572</f>
        <v>#DIV/0!</v>
      </c>
      <c r="AB594" s="161"/>
      <c r="AC594" s="161"/>
      <c r="AD594" s="161"/>
      <c r="AE594" s="161"/>
      <c r="AF594" s="570" t="s">
        <v>365</v>
      </c>
      <c r="AG594" s="570"/>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452</v>
      </c>
      <c r="M595" s="116" t="s">
        <v>107</v>
      </c>
      <c r="N595" s="116" t="s">
        <v>108</v>
      </c>
      <c r="O595" s="170" t="s">
        <v>386</v>
      </c>
      <c r="P595" s="572" t="s">
        <v>375</v>
      </c>
      <c r="Q595" s="572"/>
      <c r="R595" s="101" t="s">
        <v>452</v>
      </c>
      <c r="S595" s="116" t="s">
        <v>0</v>
      </c>
      <c r="T595" s="118"/>
      <c r="U595" s="116" t="s">
        <v>287</v>
      </c>
      <c r="V595" s="116" t="s">
        <v>288</v>
      </c>
      <c r="W595" s="116" t="s">
        <v>291</v>
      </c>
      <c r="X595" s="140"/>
      <c r="Y595" s="116" t="s">
        <v>289</v>
      </c>
      <c r="Z595" s="116" t="s">
        <v>354</v>
      </c>
      <c r="AA595" s="116" t="s">
        <v>355</v>
      </c>
      <c r="AB595" s="116" t="s">
        <v>317</v>
      </c>
      <c r="AC595" s="116" t="s">
        <v>318</v>
      </c>
      <c r="AD595" s="116" t="s">
        <v>316</v>
      </c>
      <c r="AE595" s="140"/>
      <c r="AF595" s="116" t="s">
        <v>293</v>
      </c>
      <c r="AG595" s="116" t="s">
        <v>354</v>
      </c>
      <c r="AH595" s="116" t="s">
        <v>355</v>
      </c>
      <c r="AI595" s="116" t="s">
        <v>296</v>
      </c>
      <c r="AJ595" s="116" t="s">
        <v>294</v>
      </c>
      <c r="AK595" s="116" t="s">
        <v>295</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648</v>
      </c>
      <c r="O596" s="121" t="s">
        <v>133</v>
      </c>
      <c r="P596" s="169" t="s">
        <v>379</v>
      </c>
      <c r="Q596" s="169" t="s">
        <v>375</v>
      </c>
      <c r="R596" s="169"/>
      <c r="S596" s="133">
        <f>M596</f>
        <v>0</v>
      </c>
      <c r="T596" s="119"/>
      <c r="U596" s="121" t="s">
        <v>292</v>
      </c>
      <c r="V596" s="133">
        <f>S596</f>
        <v>0</v>
      </c>
      <c r="W596" s="133">
        <f>VLOOKUP(U596,Sheet1!$B$6:$C$45,2,FALSE)*V596</f>
        <v>0</v>
      </c>
      <c r="X596" s="141"/>
      <c r="Y596" s="121" t="s">
        <v>292</v>
      </c>
      <c r="Z596" s="146">
        <f>VLOOKUP(Takeoffs!Y596,Sheet1!$B$6:$C$124,2,FALSE)</f>
        <v>0</v>
      </c>
      <c r="AA596" s="146">
        <f>Z596*AB596</f>
        <v>0</v>
      </c>
      <c r="AB596" s="143">
        <f>AD596*AC596</f>
        <v>0</v>
      </c>
      <c r="AC596" s="133">
        <f>S596</f>
        <v>0</v>
      </c>
      <c r="AD596" s="142">
        <v>1</v>
      </c>
      <c r="AE596" s="141"/>
      <c r="AF596" s="121" t="s">
        <v>292</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hidden="1"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292</v>
      </c>
      <c r="V597" s="133">
        <f t="shared" ref="V597:V616" si="273">S597</f>
        <v>0</v>
      </c>
      <c r="W597" s="133">
        <f>VLOOKUP(U597,Sheet1!$B$6:$C$45,2,FALSE)*V597</f>
        <v>0</v>
      </c>
      <c r="X597" s="141"/>
      <c r="Y597" s="121" t="s">
        <v>292</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292</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hidden="1"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292</v>
      </c>
      <c r="V598" s="133">
        <f t="shared" si="273"/>
        <v>0</v>
      </c>
      <c r="W598" s="133">
        <f>VLOOKUP(U598,Sheet1!$B$6:$C$45,2,FALSE)*V598</f>
        <v>0</v>
      </c>
      <c r="X598" s="141"/>
      <c r="Y598" s="121" t="s">
        <v>292</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0.9" hidden="1"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537</v>
      </c>
      <c r="P599" s="121" t="s">
        <v>539</v>
      </c>
      <c r="Q599" s="66" t="s">
        <v>538</v>
      </c>
      <c r="R599" s="121"/>
      <c r="S599" s="133">
        <f>M596</f>
        <v>0</v>
      </c>
      <c r="T599" s="120"/>
      <c r="U599" s="121" t="s">
        <v>361</v>
      </c>
      <c r="V599" s="133">
        <f t="shared" si="273"/>
        <v>0</v>
      </c>
      <c r="W599" s="133">
        <f>VLOOKUP(U599,Sheet1!$B$6:$C$45,2,FALSE)*V599</f>
        <v>0</v>
      </c>
      <c r="X599" s="141"/>
      <c r="Y599" s="121" t="s">
        <v>292</v>
      </c>
      <c r="Z599" s="146">
        <f>VLOOKUP(Takeoffs!Y599,Sheet1!$B$6:$C$124,2,FALSE)</f>
        <v>0</v>
      </c>
      <c r="AA599" s="146">
        <f t="shared" si="274"/>
        <v>0</v>
      </c>
      <c r="AB599" s="143">
        <f t="shared" si="275"/>
        <v>0</v>
      </c>
      <c r="AC599" s="133">
        <f t="shared" si="276"/>
        <v>0</v>
      </c>
      <c r="AD599" s="142">
        <v>1</v>
      </c>
      <c r="AE599" s="141"/>
      <c r="AF599" s="121" t="s">
        <v>292</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hidden="1"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645</v>
      </c>
      <c r="P600" s="121"/>
      <c r="Q600" s="66"/>
      <c r="R600" s="121"/>
      <c r="S600" s="133">
        <f>M596</f>
        <v>0</v>
      </c>
      <c r="T600" s="120"/>
      <c r="U600" s="121" t="s">
        <v>292</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292</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hidden="1"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647</v>
      </c>
      <c r="P601" s="121"/>
      <c r="Q601" s="66"/>
      <c r="R601" s="121"/>
      <c r="S601" s="133">
        <f>M596</f>
        <v>0</v>
      </c>
      <c r="T601" s="120"/>
      <c r="U601" s="121" t="s">
        <v>362</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hidden="1"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646</v>
      </c>
      <c r="P602" s="121"/>
      <c r="Q602" s="66"/>
      <c r="R602" s="121"/>
      <c r="S602" s="133">
        <f>M596</f>
        <v>0</v>
      </c>
      <c r="T602" s="120"/>
      <c r="U602" s="121" t="s">
        <v>292</v>
      </c>
      <c r="V602" s="133">
        <f t="shared" si="273"/>
        <v>0</v>
      </c>
      <c r="W602" s="133">
        <f>VLOOKUP(U602,Sheet1!$B$6:$C$45,2,FALSE)*V602</f>
        <v>0</v>
      </c>
      <c r="X602" s="141"/>
      <c r="Y602" s="135" t="s">
        <v>422</v>
      </c>
      <c r="Z602" s="146">
        <f>VLOOKUP(Takeoffs!Y602,Sheet1!$B$6:$C$124,2,FALSE)</f>
        <v>23.4</v>
      </c>
      <c r="AA602" s="146">
        <f t="shared" si="274"/>
        <v>0</v>
      </c>
      <c r="AB602" s="143">
        <f t="shared" si="275"/>
        <v>0</v>
      </c>
      <c r="AC602" s="133">
        <f t="shared" si="276"/>
        <v>0</v>
      </c>
      <c r="AD602" s="142">
        <v>1</v>
      </c>
      <c r="AE602" s="141"/>
      <c r="AF602" s="121" t="s">
        <v>292</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hidden="1" x14ac:dyDescent="0.8">
      <c r="A603" s="262">
        <f>ROW()</f>
        <v>603</v>
      </c>
      <c r="C603" s="208"/>
      <c r="D603" s="208"/>
      <c r="E603" s="208"/>
      <c r="F603" s="208"/>
      <c r="G603" s="208"/>
      <c r="H603" s="208"/>
      <c r="J603" s="114" t="str">
        <f t="shared" si="280"/>
        <v/>
      </c>
      <c r="K603" s="114" t="str">
        <f>IF(COUNTBLANK(R603)&gt;0,"",CONCATENATE(R603," for ",N596))</f>
        <v/>
      </c>
      <c r="N603" s="123" t="s">
        <v>119</v>
      </c>
      <c r="O603" s="66" t="s">
        <v>536</v>
      </c>
      <c r="P603" s="121"/>
      <c r="Q603" s="66"/>
      <c r="R603" s="121"/>
      <c r="S603" s="133">
        <f>M596</f>
        <v>0</v>
      </c>
      <c r="T603" s="120"/>
      <c r="U603" s="121" t="s">
        <v>292</v>
      </c>
      <c r="V603" s="133">
        <f t="shared" si="273"/>
        <v>0</v>
      </c>
      <c r="W603" s="133">
        <f>VLOOKUP(U603,Sheet1!$B$6:$C$45,2,FALSE)*V603</f>
        <v>0</v>
      </c>
      <c r="X603" s="141"/>
      <c r="Y603" s="122" t="s">
        <v>333</v>
      </c>
      <c r="Z603" s="146">
        <f>VLOOKUP(Takeoffs!Y603,Sheet1!$B$6:$C$124,2,FALSE)</f>
        <v>60</v>
      </c>
      <c r="AA603" s="146">
        <f t="shared" si="274"/>
        <v>0</v>
      </c>
      <c r="AB603" s="143">
        <f t="shared" si="275"/>
        <v>0</v>
      </c>
      <c r="AC603" s="133">
        <f t="shared" si="276"/>
        <v>0</v>
      </c>
      <c r="AD603" s="142">
        <v>1</v>
      </c>
      <c r="AE603" s="141"/>
      <c r="AF603" s="121" t="s">
        <v>292</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hidden="1"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292</v>
      </c>
      <c r="V604" s="133">
        <f t="shared" si="273"/>
        <v>0</v>
      </c>
      <c r="W604" s="133">
        <f>VLOOKUP(U604,Sheet1!$B$6:$C$45,2,FALSE)*V604</f>
        <v>0</v>
      </c>
      <c r="X604" s="141"/>
      <c r="Y604" s="121" t="s">
        <v>292</v>
      </c>
      <c r="Z604" s="146">
        <f>VLOOKUP(Takeoffs!Y604,Sheet1!$B$6:$C$124,2,FALSE)</f>
        <v>0</v>
      </c>
      <c r="AA604" s="146">
        <f t="shared" si="274"/>
        <v>0</v>
      </c>
      <c r="AB604" s="143">
        <f t="shared" si="275"/>
        <v>0</v>
      </c>
      <c r="AC604" s="133">
        <f t="shared" si="276"/>
        <v>0</v>
      </c>
      <c r="AD604" s="142">
        <v>1</v>
      </c>
      <c r="AE604" s="141"/>
      <c r="AF604" s="121" t="s">
        <v>292</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hidden="1"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292</v>
      </c>
      <c r="V605" s="133">
        <f t="shared" si="273"/>
        <v>0</v>
      </c>
      <c r="W605" s="133">
        <f>VLOOKUP(U605,Sheet1!$B$6:$C$45,2,FALSE)*V605</f>
        <v>0</v>
      </c>
      <c r="X605" s="141"/>
      <c r="Y605" s="121" t="s">
        <v>292</v>
      </c>
      <c r="Z605" s="146">
        <f>VLOOKUP(Takeoffs!Y605,Sheet1!$B$6:$C$124,2,FALSE)</f>
        <v>0</v>
      </c>
      <c r="AA605" s="146">
        <f t="shared" si="274"/>
        <v>0</v>
      </c>
      <c r="AB605" s="143">
        <f t="shared" si="275"/>
        <v>0</v>
      </c>
      <c r="AC605" s="133">
        <f t="shared" si="276"/>
        <v>0</v>
      </c>
      <c r="AD605" s="142">
        <v>1</v>
      </c>
      <c r="AE605" s="141"/>
      <c r="AF605" s="121" t="s">
        <v>292</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hidden="1"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292</v>
      </c>
      <c r="V606" s="133">
        <f t="shared" si="273"/>
        <v>0</v>
      </c>
      <c r="W606" s="133">
        <f>VLOOKUP(U606,Sheet1!$B$6:$C$45,2,FALSE)*V606</f>
        <v>0</v>
      </c>
      <c r="X606" s="141"/>
      <c r="Y606" s="121" t="s">
        <v>292</v>
      </c>
      <c r="Z606" s="146">
        <f>VLOOKUP(Takeoffs!Y606,Sheet1!$B$6:$C$124,2,FALSE)</f>
        <v>0</v>
      </c>
      <c r="AA606" s="146">
        <f t="shared" si="274"/>
        <v>0</v>
      </c>
      <c r="AB606" s="143">
        <f t="shared" si="275"/>
        <v>0</v>
      </c>
      <c r="AC606" s="133">
        <f t="shared" si="276"/>
        <v>0</v>
      </c>
      <c r="AD606" s="142">
        <v>1</v>
      </c>
      <c r="AE606" s="141"/>
      <c r="AF606" s="121" t="s">
        <v>292</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hidden="1"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292</v>
      </c>
      <c r="V607" s="133">
        <f t="shared" si="273"/>
        <v>0</v>
      </c>
      <c r="W607" s="133">
        <f>VLOOKUP(U607,Sheet1!$B$6:$C$45,2,FALSE)*V607</f>
        <v>0</v>
      </c>
      <c r="X607" s="141"/>
      <c r="Y607" s="121" t="s">
        <v>292</v>
      </c>
      <c r="Z607" s="146">
        <f>VLOOKUP(Takeoffs!Y607,Sheet1!$B$6:$C$124,2,FALSE)</f>
        <v>0</v>
      </c>
      <c r="AA607" s="146">
        <f t="shared" si="274"/>
        <v>0</v>
      </c>
      <c r="AB607" s="143">
        <f t="shared" si="275"/>
        <v>0</v>
      </c>
      <c r="AC607" s="133">
        <f t="shared" si="276"/>
        <v>0</v>
      </c>
      <c r="AD607" s="142">
        <v>1</v>
      </c>
      <c r="AE607" s="141"/>
      <c r="AF607" s="121" t="s">
        <v>292</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0.9" hidden="1"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292</v>
      </c>
      <c r="V608" s="133">
        <f t="shared" si="273"/>
        <v>0</v>
      </c>
      <c r="W608" s="133">
        <f>VLOOKUP(U608,Sheet1!$B$6:$C$45,2,FALSE)*V608</f>
        <v>0</v>
      </c>
      <c r="X608" s="141"/>
      <c r="Y608" s="121" t="s">
        <v>292</v>
      </c>
      <c r="Z608" s="146">
        <f>VLOOKUP(Takeoffs!Y608,Sheet1!$B$6:$C$124,2,FALSE)</f>
        <v>0</v>
      </c>
      <c r="AA608" s="146">
        <f t="shared" si="274"/>
        <v>0</v>
      </c>
      <c r="AB608" s="143">
        <f t="shared" si="275"/>
        <v>0</v>
      </c>
      <c r="AC608" s="133">
        <f t="shared" si="276"/>
        <v>0</v>
      </c>
      <c r="AD608" s="142">
        <v>1</v>
      </c>
      <c r="AE608" s="141"/>
      <c r="AF608" s="121" t="s">
        <v>292</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0.9" hidden="1"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292</v>
      </c>
      <c r="V609" s="133">
        <f t="shared" si="273"/>
        <v>0</v>
      </c>
      <c r="W609" s="133">
        <f>VLOOKUP(U609,Sheet1!$B$6:$C$45,2,FALSE)*V609</f>
        <v>0</v>
      </c>
      <c r="X609" s="141"/>
      <c r="Y609" s="121" t="s">
        <v>292</v>
      </c>
      <c r="Z609" s="146">
        <f>VLOOKUP(Takeoffs!Y609,Sheet1!$B$6:$C$124,2,FALSE)</f>
        <v>0</v>
      </c>
      <c r="AA609" s="146">
        <f t="shared" si="274"/>
        <v>0</v>
      </c>
      <c r="AB609" s="143">
        <f t="shared" si="275"/>
        <v>0</v>
      </c>
      <c r="AC609" s="133">
        <f t="shared" si="276"/>
        <v>0</v>
      </c>
      <c r="AD609" s="142">
        <v>1</v>
      </c>
      <c r="AE609" s="141"/>
      <c r="AF609" s="121" t="s">
        <v>292</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hidden="1"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292</v>
      </c>
      <c r="V610" s="133">
        <f t="shared" si="273"/>
        <v>0</v>
      </c>
      <c r="W610" s="133">
        <f>VLOOKUP(U610,Sheet1!$B$6:$C$45,2,FALSE)*V610</f>
        <v>0</v>
      </c>
      <c r="X610" s="141"/>
      <c r="Y610" s="121" t="s">
        <v>292</v>
      </c>
      <c r="Z610" s="146">
        <f>VLOOKUP(Takeoffs!Y610,Sheet1!$B$6:$C$124,2,FALSE)</f>
        <v>0</v>
      </c>
      <c r="AA610" s="146">
        <f t="shared" si="274"/>
        <v>0</v>
      </c>
      <c r="AB610" s="143">
        <f t="shared" si="275"/>
        <v>0</v>
      </c>
      <c r="AC610" s="133">
        <f t="shared" si="276"/>
        <v>0</v>
      </c>
      <c r="AD610" s="142">
        <v>1</v>
      </c>
      <c r="AE610" s="141"/>
      <c r="AF610" s="121" t="s">
        <v>292</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hidden="1"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292</v>
      </c>
      <c r="V611" s="133">
        <f t="shared" si="273"/>
        <v>0</v>
      </c>
      <c r="W611" s="133">
        <f>VLOOKUP(U611,Sheet1!$B$6:$C$45,2,FALSE)*V611</f>
        <v>0</v>
      </c>
      <c r="X611" s="141"/>
      <c r="Y611" s="121" t="s">
        <v>292</v>
      </c>
      <c r="Z611" s="146">
        <f>VLOOKUP(Takeoffs!Y611,Sheet1!$B$6:$C$124,2,FALSE)</f>
        <v>0</v>
      </c>
      <c r="AA611" s="146">
        <f t="shared" si="274"/>
        <v>0</v>
      </c>
      <c r="AB611" s="143">
        <f t="shared" si="275"/>
        <v>0</v>
      </c>
      <c r="AC611" s="133">
        <f t="shared" si="276"/>
        <v>0</v>
      </c>
      <c r="AD611" s="142">
        <v>2</v>
      </c>
      <c r="AE611" s="141"/>
      <c r="AF611" s="121" t="s">
        <v>292</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hidden="1"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292</v>
      </c>
      <c r="V612" s="133">
        <f t="shared" si="273"/>
        <v>0</v>
      </c>
      <c r="W612" s="133">
        <f>VLOOKUP(U612,Sheet1!$B$6:$C$45,2,FALSE)*V612</f>
        <v>0</v>
      </c>
      <c r="X612" s="141"/>
      <c r="Y612" s="121" t="s">
        <v>292</v>
      </c>
      <c r="Z612" s="146">
        <f>VLOOKUP(Takeoffs!Y612,Sheet1!$B$6:$C$124,2,FALSE)</f>
        <v>0</v>
      </c>
      <c r="AA612" s="146">
        <f t="shared" si="274"/>
        <v>0</v>
      </c>
      <c r="AB612" s="143">
        <f t="shared" si="275"/>
        <v>0</v>
      </c>
      <c r="AC612" s="133">
        <f t="shared" si="276"/>
        <v>0</v>
      </c>
      <c r="AD612" s="142">
        <v>1</v>
      </c>
      <c r="AE612" s="141"/>
      <c r="AF612" s="121" t="s">
        <v>292</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hidden="1"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292</v>
      </c>
      <c r="V613" s="133">
        <f t="shared" si="273"/>
        <v>0</v>
      </c>
      <c r="W613" s="133">
        <f>VLOOKUP(U613,Sheet1!$B$6:$C$45,2,FALSE)*V613</f>
        <v>0</v>
      </c>
      <c r="X613" s="141"/>
      <c r="Y613" s="121" t="s">
        <v>292</v>
      </c>
      <c r="Z613" s="146">
        <f>VLOOKUP(Takeoffs!Y613,Sheet1!$B$6:$C$124,2,FALSE)</f>
        <v>0</v>
      </c>
      <c r="AA613" s="146">
        <f t="shared" si="274"/>
        <v>0</v>
      </c>
      <c r="AB613" s="143">
        <f t="shared" si="275"/>
        <v>0</v>
      </c>
      <c r="AC613" s="133">
        <f t="shared" si="276"/>
        <v>0</v>
      </c>
      <c r="AD613" s="142">
        <v>1</v>
      </c>
      <c r="AE613" s="141"/>
      <c r="AF613" s="121" t="s">
        <v>292</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hidden="1"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292</v>
      </c>
      <c r="V614" s="133">
        <f t="shared" si="273"/>
        <v>0</v>
      </c>
      <c r="W614" s="133">
        <f>VLOOKUP(U614,Sheet1!$B$6:$C$45,2,FALSE)*V614</f>
        <v>0</v>
      </c>
      <c r="X614" s="141"/>
      <c r="Y614" s="121" t="s">
        <v>292</v>
      </c>
      <c r="Z614" s="146">
        <f>VLOOKUP(Takeoffs!Y614,Sheet1!$B$6:$C$124,2,FALSE)</f>
        <v>0</v>
      </c>
      <c r="AA614" s="146">
        <f t="shared" si="274"/>
        <v>0</v>
      </c>
      <c r="AB614" s="143">
        <f t="shared" si="275"/>
        <v>0</v>
      </c>
      <c r="AC614" s="133">
        <f t="shared" si="276"/>
        <v>0</v>
      </c>
      <c r="AD614" s="142">
        <v>1</v>
      </c>
      <c r="AE614" s="141"/>
      <c r="AF614" s="121" t="s">
        <v>292</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hidden="1"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292</v>
      </c>
      <c r="V615" s="133">
        <f t="shared" si="273"/>
        <v>0</v>
      </c>
      <c r="W615" s="133">
        <f>VLOOKUP(U615,Sheet1!$B$6:$C$45,2,FALSE)*V615</f>
        <v>0</v>
      </c>
      <c r="X615" s="141"/>
      <c r="Y615" s="121" t="s">
        <v>292</v>
      </c>
      <c r="Z615" s="146">
        <f>VLOOKUP(Takeoffs!Y615,Sheet1!$B$6:$C$124,2,FALSE)</f>
        <v>0</v>
      </c>
      <c r="AA615" s="146">
        <f t="shared" si="274"/>
        <v>0</v>
      </c>
      <c r="AB615" s="143">
        <f t="shared" si="275"/>
        <v>0</v>
      </c>
      <c r="AC615" s="133">
        <f t="shared" si="276"/>
        <v>0</v>
      </c>
      <c r="AD615" s="142">
        <v>1</v>
      </c>
      <c r="AE615" s="141"/>
      <c r="AF615" s="121" t="s">
        <v>292</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hidden="1" x14ac:dyDescent="0.8">
      <c r="A616" s="262">
        <f>ROW()</f>
        <v>616</v>
      </c>
      <c r="C616" s="208"/>
      <c r="D616" s="208"/>
      <c r="E616" s="208"/>
      <c r="F616" s="208"/>
      <c r="G616" s="208"/>
      <c r="H616" s="208"/>
      <c r="J616" s="114" t="str">
        <f t="shared" si="280"/>
        <v/>
      </c>
      <c r="K616" s="114" t="str">
        <f>IF(COUNTBLANK(R616)&gt;0,"",CONCATENATE(R616," for ",N596))</f>
        <v/>
      </c>
      <c r="N616" s="123" t="s">
        <v>132</v>
      </c>
      <c r="O616" s="66" t="s">
        <v>408</v>
      </c>
      <c r="P616" s="121"/>
      <c r="Q616" s="66"/>
      <c r="R616" s="121"/>
      <c r="S616" s="133">
        <f>M596</f>
        <v>0</v>
      </c>
      <c r="T616" s="120"/>
      <c r="U616" s="121" t="s">
        <v>292</v>
      </c>
      <c r="V616" s="133">
        <f t="shared" si="273"/>
        <v>0</v>
      </c>
      <c r="W616" s="133">
        <f>VLOOKUP(U616,Sheet1!$B$6:$C$45,2,FALSE)*V616</f>
        <v>0</v>
      </c>
      <c r="X616" s="141"/>
      <c r="Y616" s="121" t="s">
        <v>292</v>
      </c>
      <c r="Z616" s="146">
        <f>VLOOKUP(Takeoffs!Y616,Sheet1!$B$6:$C$124,2,FALSE)</f>
        <v>0</v>
      </c>
      <c r="AA616" s="146">
        <f t="shared" si="274"/>
        <v>0</v>
      </c>
      <c r="AB616" s="143">
        <f t="shared" si="275"/>
        <v>0</v>
      </c>
      <c r="AC616" s="133">
        <f t="shared" si="276"/>
        <v>0</v>
      </c>
      <c r="AD616" s="142">
        <v>1</v>
      </c>
      <c r="AE616" s="141"/>
      <c r="AF616" s="121" t="s">
        <v>292</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377</v>
      </c>
      <c r="L617" s="128" t="s">
        <v>378</v>
      </c>
      <c r="N617" s="129"/>
      <c r="O617" s="130" t="s">
        <v>357</v>
      </c>
      <c r="P617" s="155">
        <f>V617+AA617+AH617</f>
        <v>0</v>
      </c>
      <c r="Q617" s="155"/>
      <c r="R617" s="131"/>
      <c r="S617" s="130"/>
      <c r="T617" s="127"/>
      <c r="U617" s="126" t="s">
        <v>351</v>
      </c>
      <c r="V617" s="127">
        <f>W617*80</f>
        <v>0</v>
      </c>
      <c r="W617" s="147">
        <f>SUM(W596:W616)</f>
        <v>0</v>
      </c>
      <c r="X617" s="148"/>
      <c r="Y617" s="127" t="s">
        <v>352</v>
      </c>
      <c r="Z617" s="116"/>
      <c r="AA617" s="116">
        <f>SUM(AA596:AA616)</f>
        <v>0</v>
      </c>
      <c r="AB617" s="149"/>
      <c r="AC617" s="149"/>
      <c r="AD617" s="149"/>
      <c r="AE617" s="149"/>
      <c r="AF617" s="127" t="s">
        <v>356</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27.3" hidden="1" thickBot="1" x14ac:dyDescent="1.25">
      <c r="A618" s="262">
        <f>ROW()</f>
        <v>618</v>
      </c>
      <c r="B618" s="234" t="s">
        <v>491</v>
      </c>
      <c r="C618" s="217" t="str">
        <f>N596</f>
        <v>DOL fan from local power supply - With local switch and run status light</v>
      </c>
      <c r="D618" s="260" t="str">
        <f>IF(B618="Shopping List",IF(ISNUMBER(SEARCH("MSSB",C618)),"MSSB",IF(ISNUMBER(SEARCH("local",C618)),"LOCAL","")))</f>
        <v>LOCAL</v>
      </c>
      <c r="E618" s="238"/>
      <c r="F618" s="217"/>
      <c r="G618" s="217"/>
      <c r="H618" s="245"/>
      <c r="I618" s="270"/>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367</v>
      </c>
      <c r="N618" s="160" t="str">
        <f>N596</f>
        <v>DOL fan from local power supply - With local switch and run status light</v>
      </c>
      <c r="O618" s="185" t="s">
        <v>365</v>
      </c>
      <c r="P618" s="203" t="e">
        <f>P617/M596</f>
        <v>#DIV/0!</v>
      </c>
      <c r="Q618" s="195"/>
      <c r="R618" s="188"/>
      <c r="S618" s="160"/>
      <c r="T618" s="161"/>
      <c r="U618" s="571" t="s">
        <v>366</v>
      </c>
      <c r="V618" s="571"/>
      <c r="W618" s="162" t="e">
        <f>W617/M596</f>
        <v>#DIV/0!</v>
      </c>
      <c r="X618" s="163"/>
      <c r="Y618" s="570" t="s">
        <v>365</v>
      </c>
      <c r="Z618" s="570"/>
      <c r="AA618" s="164" t="e">
        <f>AA617/M596</f>
        <v>#DIV/0!</v>
      </c>
      <c r="AB618" s="161"/>
      <c r="AC618" s="161"/>
      <c r="AD618" s="161"/>
      <c r="AE618" s="161"/>
      <c r="AF618" s="570" t="s">
        <v>365</v>
      </c>
      <c r="AG618" s="570"/>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452</v>
      </c>
      <c r="M619" s="116" t="s">
        <v>107</v>
      </c>
      <c r="N619" s="116" t="s">
        <v>108</v>
      </c>
      <c r="O619" s="170" t="s">
        <v>386</v>
      </c>
      <c r="P619" s="572" t="s">
        <v>375</v>
      </c>
      <c r="Q619" s="572"/>
      <c r="R619" s="101" t="s">
        <v>452</v>
      </c>
      <c r="S619" s="116" t="s">
        <v>0</v>
      </c>
      <c r="T619" s="118"/>
      <c r="U619" s="116" t="s">
        <v>287</v>
      </c>
      <c r="V619" s="116" t="s">
        <v>288</v>
      </c>
      <c r="W619" s="116" t="s">
        <v>291</v>
      </c>
      <c r="X619" s="140"/>
      <c r="Y619" s="116" t="s">
        <v>289</v>
      </c>
      <c r="Z619" s="116" t="s">
        <v>354</v>
      </c>
      <c r="AA619" s="116" t="s">
        <v>355</v>
      </c>
      <c r="AB619" s="116" t="s">
        <v>317</v>
      </c>
      <c r="AC619" s="116" t="s">
        <v>318</v>
      </c>
      <c r="AD619" s="116" t="s">
        <v>316</v>
      </c>
      <c r="AE619" s="140"/>
      <c r="AF619" s="116" t="s">
        <v>293</v>
      </c>
      <c r="AG619" s="116" t="s">
        <v>354</v>
      </c>
      <c r="AH619" s="116" t="s">
        <v>355</v>
      </c>
      <c r="AI619" s="116" t="s">
        <v>296</v>
      </c>
      <c r="AJ619" s="116" t="s">
        <v>294</v>
      </c>
      <c r="AK619" s="116" t="s">
        <v>295</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535</v>
      </c>
      <c r="O620" s="121" t="s">
        <v>133</v>
      </c>
      <c r="P620" s="169" t="s">
        <v>379</v>
      </c>
      <c r="Q620" s="169" t="s">
        <v>375</v>
      </c>
      <c r="R620" s="169"/>
      <c r="S620" s="133">
        <f>M620</f>
        <v>0</v>
      </c>
      <c r="T620" s="119"/>
      <c r="U620" s="121" t="s">
        <v>292</v>
      </c>
      <c r="V620" s="133">
        <f>S620</f>
        <v>0</v>
      </c>
      <c r="W620" s="133">
        <f>VLOOKUP(U620,Sheet1!$B$6:$C$45,2,FALSE)*V620</f>
        <v>0</v>
      </c>
      <c r="X620" s="141"/>
      <c r="Y620" s="121" t="s">
        <v>292</v>
      </c>
      <c r="Z620" s="146">
        <f>VLOOKUP(Takeoffs!Y620,Sheet1!$B$6:$C$124,2,FALSE)</f>
        <v>0</v>
      </c>
      <c r="AA620" s="146">
        <f>Z620*AB620</f>
        <v>0</v>
      </c>
      <c r="AB620" s="143">
        <f>AD620*AC620</f>
        <v>0</v>
      </c>
      <c r="AC620" s="133">
        <f>S620</f>
        <v>0</v>
      </c>
      <c r="AD620" s="142">
        <v>1</v>
      </c>
      <c r="AE620" s="141"/>
      <c r="AF620" s="121" t="s">
        <v>292</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hidden="1"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292</v>
      </c>
      <c r="V621" s="133">
        <f t="shared" ref="V621:V640" si="282">S621</f>
        <v>0</v>
      </c>
      <c r="W621" s="133">
        <f>VLOOKUP(U621,Sheet1!$B$6:$C$45,2,FALSE)*V621</f>
        <v>0</v>
      </c>
      <c r="X621" s="141"/>
      <c r="Y621" s="121" t="s">
        <v>292</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292</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hidden="1"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292</v>
      </c>
      <c r="V622" s="133">
        <f t="shared" si="282"/>
        <v>0</v>
      </c>
      <c r="W622" s="133">
        <f>VLOOKUP(U622,Sheet1!$B$6:$C$45,2,FALSE)*V622</f>
        <v>0</v>
      </c>
      <c r="X622" s="141"/>
      <c r="Y622" s="121" t="s">
        <v>292</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hidden="1"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537</v>
      </c>
      <c r="P623" s="121" t="s">
        <v>539</v>
      </c>
      <c r="Q623" s="66" t="s">
        <v>538</v>
      </c>
      <c r="R623" s="121"/>
      <c r="S623" s="133">
        <f>M620</f>
        <v>0</v>
      </c>
      <c r="T623" s="120"/>
      <c r="U623" s="121" t="s">
        <v>361</v>
      </c>
      <c r="V623" s="133">
        <f t="shared" si="282"/>
        <v>0</v>
      </c>
      <c r="W623" s="133">
        <f>VLOOKUP(U623,Sheet1!$B$6:$C$45,2,FALSE)*V623</f>
        <v>0</v>
      </c>
      <c r="X623" s="141"/>
      <c r="Y623" s="121" t="s">
        <v>292</v>
      </c>
      <c r="Z623" s="146">
        <f>VLOOKUP(Takeoffs!Y623,Sheet1!$B$6:$C$124,2,FALSE)</f>
        <v>0</v>
      </c>
      <c r="AA623" s="146">
        <f t="shared" si="283"/>
        <v>0</v>
      </c>
      <c r="AB623" s="143">
        <f t="shared" si="284"/>
        <v>0</v>
      </c>
      <c r="AC623" s="133">
        <f t="shared" si="285"/>
        <v>0</v>
      </c>
      <c r="AD623" s="142">
        <v>1</v>
      </c>
      <c r="AE623" s="141"/>
      <c r="AF623" s="121" t="s">
        <v>292</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hidden="1"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292</v>
      </c>
      <c r="V624" s="133">
        <f t="shared" si="282"/>
        <v>0</v>
      </c>
      <c r="W624" s="133">
        <f>VLOOKUP(U624,Sheet1!$B$6:$C$45,2,FALSE)*V624</f>
        <v>0</v>
      </c>
      <c r="X624" s="141"/>
      <c r="Y624" s="121" t="s">
        <v>292</v>
      </c>
      <c r="Z624" s="146">
        <f>VLOOKUP(Takeoffs!Y624,Sheet1!$B$6:$C$124,2,FALSE)</f>
        <v>0</v>
      </c>
      <c r="AA624" s="146">
        <f t="shared" si="283"/>
        <v>0</v>
      </c>
      <c r="AB624" s="143">
        <f t="shared" si="284"/>
        <v>0</v>
      </c>
      <c r="AC624" s="133">
        <f t="shared" si="285"/>
        <v>0</v>
      </c>
      <c r="AD624" s="142">
        <v>1</v>
      </c>
      <c r="AE624" s="141"/>
      <c r="AF624" s="121" t="s">
        <v>292</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hidden="1"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292</v>
      </c>
      <c r="V625" s="133">
        <f t="shared" si="282"/>
        <v>0</v>
      </c>
      <c r="W625" s="133">
        <f>VLOOKUP(U625,Sheet1!$B$6:$C$45,2,FALSE)*V625</f>
        <v>0</v>
      </c>
      <c r="X625" s="141"/>
      <c r="Y625" s="121" t="s">
        <v>292</v>
      </c>
      <c r="Z625" s="146">
        <f>VLOOKUP(Takeoffs!Y625,Sheet1!$B$6:$C$124,2,FALSE)</f>
        <v>0</v>
      </c>
      <c r="AA625" s="146">
        <f t="shared" si="283"/>
        <v>0</v>
      </c>
      <c r="AB625" s="143">
        <f t="shared" si="284"/>
        <v>0</v>
      </c>
      <c r="AC625" s="133">
        <f t="shared" si="285"/>
        <v>0</v>
      </c>
      <c r="AD625" s="142">
        <v>1</v>
      </c>
      <c r="AE625" s="141"/>
      <c r="AF625" s="121" t="s">
        <v>292</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hidden="1"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536</v>
      </c>
      <c r="P626" s="121"/>
      <c r="Q626" s="66"/>
      <c r="R626" s="121"/>
      <c r="S626" s="133">
        <f>M620</f>
        <v>0</v>
      </c>
      <c r="T626" s="120"/>
      <c r="U626" s="121" t="s">
        <v>292</v>
      </c>
      <c r="V626" s="133">
        <f t="shared" si="282"/>
        <v>0</v>
      </c>
      <c r="W626" s="133">
        <f>VLOOKUP(U626,Sheet1!$B$6:$C$45,2,FALSE)*V626</f>
        <v>0</v>
      </c>
      <c r="X626" s="141"/>
      <c r="Y626" s="121" t="s">
        <v>292</v>
      </c>
      <c r="Z626" s="146">
        <f>VLOOKUP(Takeoffs!Y626,Sheet1!$B$6:$C$124,2,FALSE)</f>
        <v>0</v>
      </c>
      <c r="AA626" s="146">
        <f t="shared" si="283"/>
        <v>0</v>
      </c>
      <c r="AB626" s="143">
        <f t="shared" si="284"/>
        <v>0</v>
      </c>
      <c r="AC626" s="133">
        <f t="shared" si="285"/>
        <v>0</v>
      </c>
      <c r="AD626" s="142">
        <v>1</v>
      </c>
      <c r="AE626" s="141"/>
      <c r="AF626" s="121" t="s">
        <v>292</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hidden="1"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292</v>
      </c>
      <c r="V627" s="133">
        <f t="shared" si="282"/>
        <v>0</v>
      </c>
      <c r="W627" s="133">
        <f>VLOOKUP(U627,Sheet1!$B$6:$C$45,2,FALSE)*V627</f>
        <v>0</v>
      </c>
      <c r="X627" s="141"/>
      <c r="Y627" s="121" t="s">
        <v>292</v>
      </c>
      <c r="Z627" s="146">
        <f>VLOOKUP(Takeoffs!Y627,Sheet1!$B$6:$C$124,2,FALSE)</f>
        <v>0</v>
      </c>
      <c r="AA627" s="146">
        <f t="shared" si="283"/>
        <v>0</v>
      </c>
      <c r="AB627" s="143">
        <f t="shared" si="284"/>
        <v>0</v>
      </c>
      <c r="AC627" s="133">
        <f t="shared" si="285"/>
        <v>0</v>
      </c>
      <c r="AD627" s="142">
        <v>1</v>
      </c>
      <c r="AE627" s="141"/>
      <c r="AF627" s="121" t="s">
        <v>292</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hidden="1"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292</v>
      </c>
      <c r="V628" s="133">
        <f t="shared" si="282"/>
        <v>0</v>
      </c>
      <c r="W628" s="133">
        <f>VLOOKUP(U628,Sheet1!$B$6:$C$45,2,FALSE)*V628</f>
        <v>0</v>
      </c>
      <c r="X628" s="141"/>
      <c r="Y628" s="121" t="s">
        <v>292</v>
      </c>
      <c r="Z628" s="146">
        <f>VLOOKUP(Takeoffs!Y628,Sheet1!$B$6:$C$124,2,FALSE)</f>
        <v>0</v>
      </c>
      <c r="AA628" s="146">
        <f t="shared" si="283"/>
        <v>0</v>
      </c>
      <c r="AB628" s="143">
        <f t="shared" si="284"/>
        <v>0</v>
      </c>
      <c r="AC628" s="133">
        <f t="shared" si="285"/>
        <v>0</v>
      </c>
      <c r="AD628" s="142">
        <v>1</v>
      </c>
      <c r="AE628" s="141"/>
      <c r="AF628" s="121" t="s">
        <v>292</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hidden="1"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292</v>
      </c>
      <c r="V629" s="133">
        <f t="shared" si="282"/>
        <v>0</v>
      </c>
      <c r="W629" s="133">
        <f>VLOOKUP(U629,Sheet1!$B$6:$C$45,2,FALSE)*V629</f>
        <v>0</v>
      </c>
      <c r="X629" s="141"/>
      <c r="Y629" s="121" t="s">
        <v>292</v>
      </c>
      <c r="Z629" s="146">
        <f>VLOOKUP(Takeoffs!Y629,Sheet1!$B$6:$C$124,2,FALSE)</f>
        <v>0</v>
      </c>
      <c r="AA629" s="146">
        <f t="shared" si="283"/>
        <v>0</v>
      </c>
      <c r="AB629" s="143">
        <f t="shared" si="284"/>
        <v>0</v>
      </c>
      <c r="AC629" s="133">
        <f t="shared" si="285"/>
        <v>0</v>
      </c>
      <c r="AD629" s="142">
        <v>1</v>
      </c>
      <c r="AE629" s="141"/>
      <c r="AF629" s="121" t="s">
        <v>292</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hidden="1"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292</v>
      </c>
      <c r="V630" s="133">
        <f t="shared" si="282"/>
        <v>0</v>
      </c>
      <c r="W630" s="133">
        <f>VLOOKUP(U630,Sheet1!$B$6:$C$45,2,FALSE)*V630</f>
        <v>0</v>
      </c>
      <c r="X630" s="141"/>
      <c r="Y630" s="121" t="s">
        <v>292</v>
      </c>
      <c r="Z630" s="146">
        <f>VLOOKUP(Takeoffs!Y630,Sheet1!$B$6:$C$124,2,FALSE)</f>
        <v>0</v>
      </c>
      <c r="AA630" s="146">
        <f t="shared" si="283"/>
        <v>0</v>
      </c>
      <c r="AB630" s="143">
        <f t="shared" si="284"/>
        <v>0</v>
      </c>
      <c r="AC630" s="133">
        <f t="shared" si="285"/>
        <v>0</v>
      </c>
      <c r="AD630" s="142">
        <v>1</v>
      </c>
      <c r="AE630" s="141"/>
      <c r="AF630" s="121" t="s">
        <v>292</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hidden="1"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292</v>
      </c>
      <c r="V631" s="133">
        <f t="shared" si="282"/>
        <v>0</v>
      </c>
      <c r="W631" s="133">
        <f>VLOOKUP(U631,Sheet1!$B$6:$C$45,2,FALSE)*V631</f>
        <v>0</v>
      </c>
      <c r="X631" s="141"/>
      <c r="Y631" s="121" t="s">
        <v>292</v>
      </c>
      <c r="Z631" s="146">
        <f>VLOOKUP(Takeoffs!Y631,Sheet1!$B$6:$C$124,2,FALSE)</f>
        <v>0</v>
      </c>
      <c r="AA631" s="146">
        <f t="shared" si="283"/>
        <v>0</v>
      </c>
      <c r="AB631" s="143">
        <f t="shared" si="284"/>
        <v>0</v>
      </c>
      <c r="AC631" s="133">
        <f t="shared" si="285"/>
        <v>0</v>
      </c>
      <c r="AD631" s="142">
        <v>1</v>
      </c>
      <c r="AE631" s="141"/>
      <c r="AF631" s="121" t="s">
        <v>292</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hidden="1"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292</v>
      </c>
      <c r="V632" s="133">
        <f t="shared" si="282"/>
        <v>0</v>
      </c>
      <c r="W632" s="133">
        <f>VLOOKUP(U632,Sheet1!$B$6:$C$45,2,FALSE)*V632</f>
        <v>0</v>
      </c>
      <c r="X632" s="141"/>
      <c r="Y632" s="121" t="s">
        <v>292</v>
      </c>
      <c r="Z632" s="146">
        <f>VLOOKUP(Takeoffs!Y632,Sheet1!$B$6:$C$124,2,FALSE)</f>
        <v>0</v>
      </c>
      <c r="AA632" s="146">
        <f t="shared" si="283"/>
        <v>0</v>
      </c>
      <c r="AB632" s="143">
        <f t="shared" si="284"/>
        <v>0</v>
      </c>
      <c r="AC632" s="133">
        <f t="shared" si="285"/>
        <v>0</v>
      </c>
      <c r="AD632" s="142">
        <v>1</v>
      </c>
      <c r="AE632" s="141"/>
      <c r="AF632" s="121" t="s">
        <v>292</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hidden="1"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292</v>
      </c>
      <c r="V633" s="133">
        <f t="shared" si="282"/>
        <v>0</v>
      </c>
      <c r="W633" s="133">
        <f>VLOOKUP(U633,Sheet1!$B$6:$C$45,2,FALSE)*V633</f>
        <v>0</v>
      </c>
      <c r="X633" s="141"/>
      <c r="Y633" s="121" t="s">
        <v>292</v>
      </c>
      <c r="Z633" s="146">
        <f>VLOOKUP(Takeoffs!Y633,Sheet1!$B$6:$C$124,2,FALSE)</f>
        <v>0</v>
      </c>
      <c r="AA633" s="146">
        <f t="shared" si="283"/>
        <v>0</v>
      </c>
      <c r="AB633" s="143">
        <f t="shared" si="284"/>
        <v>0</v>
      </c>
      <c r="AC633" s="133">
        <f t="shared" si="285"/>
        <v>0</v>
      </c>
      <c r="AD633" s="142">
        <v>1</v>
      </c>
      <c r="AE633" s="141"/>
      <c r="AF633" s="121" t="s">
        <v>292</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hidden="1"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292</v>
      </c>
      <c r="V634" s="133">
        <f t="shared" si="282"/>
        <v>0</v>
      </c>
      <c r="W634" s="133">
        <f>VLOOKUP(U634,Sheet1!$B$6:$C$45,2,FALSE)*V634</f>
        <v>0</v>
      </c>
      <c r="X634" s="141"/>
      <c r="Y634" s="121" t="s">
        <v>292</v>
      </c>
      <c r="Z634" s="146">
        <f>VLOOKUP(Takeoffs!Y634,Sheet1!$B$6:$C$124,2,FALSE)</f>
        <v>0</v>
      </c>
      <c r="AA634" s="146">
        <f t="shared" si="283"/>
        <v>0</v>
      </c>
      <c r="AB634" s="143">
        <f t="shared" si="284"/>
        <v>0</v>
      </c>
      <c r="AC634" s="133">
        <f t="shared" si="285"/>
        <v>0</v>
      </c>
      <c r="AD634" s="142">
        <v>1</v>
      </c>
      <c r="AE634" s="141"/>
      <c r="AF634" s="121" t="s">
        <v>292</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hidden="1"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292</v>
      </c>
      <c r="V635" s="133">
        <f t="shared" si="282"/>
        <v>0</v>
      </c>
      <c r="W635" s="133">
        <f>VLOOKUP(U635,Sheet1!$B$6:$C$45,2,FALSE)*V635</f>
        <v>0</v>
      </c>
      <c r="X635" s="141"/>
      <c r="Y635" s="121" t="s">
        <v>292</v>
      </c>
      <c r="Z635" s="146">
        <f>VLOOKUP(Takeoffs!Y635,Sheet1!$B$6:$C$124,2,FALSE)</f>
        <v>0</v>
      </c>
      <c r="AA635" s="146">
        <f t="shared" si="283"/>
        <v>0</v>
      </c>
      <c r="AB635" s="143">
        <f t="shared" si="284"/>
        <v>0</v>
      </c>
      <c r="AC635" s="133">
        <f t="shared" si="285"/>
        <v>0</v>
      </c>
      <c r="AD635" s="142">
        <v>2</v>
      </c>
      <c r="AE635" s="141"/>
      <c r="AF635" s="121" t="s">
        <v>292</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hidden="1"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292</v>
      </c>
      <c r="V636" s="133">
        <f t="shared" si="282"/>
        <v>0</v>
      </c>
      <c r="W636" s="133">
        <f>VLOOKUP(U636,Sheet1!$B$6:$C$45,2,FALSE)*V636</f>
        <v>0</v>
      </c>
      <c r="X636" s="141"/>
      <c r="Y636" s="121" t="s">
        <v>292</v>
      </c>
      <c r="Z636" s="146">
        <f>VLOOKUP(Takeoffs!Y636,Sheet1!$B$6:$C$124,2,FALSE)</f>
        <v>0</v>
      </c>
      <c r="AA636" s="146">
        <f t="shared" si="283"/>
        <v>0</v>
      </c>
      <c r="AB636" s="143">
        <f t="shared" si="284"/>
        <v>0</v>
      </c>
      <c r="AC636" s="133">
        <f t="shared" si="285"/>
        <v>0</v>
      </c>
      <c r="AD636" s="142">
        <v>1</v>
      </c>
      <c r="AE636" s="141"/>
      <c r="AF636" s="121" t="s">
        <v>292</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hidden="1"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292</v>
      </c>
      <c r="V637" s="133">
        <f t="shared" si="282"/>
        <v>0</v>
      </c>
      <c r="W637" s="133">
        <f>VLOOKUP(U637,Sheet1!$B$6:$C$45,2,FALSE)*V637</f>
        <v>0</v>
      </c>
      <c r="X637" s="141"/>
      <c r="Y637" s="121" t="s">
        <v>292</v>
      </c>
      <c r="Z637" s="146">
        <f>VLOOKUP(Takeoffs!Y637,Sheet1!$B$6:$C$124,2,FALSE)</f>
        <v>0</v>
      </c>
      <c r="AA637" s="146">
        <f t="shared" si="283"/>
        <v>0</v>
      </c>
      <c r="AB637" s="143">
        <f t="shared" si="284"/>
        <v>0</v>
      </c>
      <c r="AC637" s="133">
        <f t="shared" si="285"/>
        <v>0</v>
      </c>
      <c r="AD637" s="142">
        <v>1</v>
      </c>
      <c r="AE637" s="141"/>
      <c r="AF637" s="121" t="s">
        <v>292</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hidden="1"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292</v>
      </c>
      <c r="V638" s="133">
        <f t="shared" si="282"/>
        <v>0</v>
      </c>
      <c r="W638" s="133">
        <f>VLOOKUP(U638,Sheet1!$B$6:$C$45,2,FALSE)*V638</f>
        <v>0</v>
      </c>
      <c r="X638" s="141"/>
      <c r="Y638" s="121" t="s">
        <v>292</v>
      </c>
      <c r="Z638" s="146">
        <f>VLOOKUP(Takeoffs!Y638,Sheet1!$B$6:$C$124,2,FALSE)</f>
        <v>0</v>
      </c>
      <c r="AA638" s="146">
        <f t="shared" si="283"/>
        <v>0</v>
      </c>
      <c r="AB638" s="143">
        <f t="shared" si="284"/>
        <v>0</v>
      </c>
      <c r="AC638" s="133">
        <f t="shared" si="285"/>
        <v>0</v>
      </c>
      <c r="AD638" s="142">
        <v>1</v>
      </c>
      <c r="AE638" s="141"/>
      <c r="AF638" s="121" t="s">
        <v>292</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hidden="1"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292</v>
      </c>
      <c r="V639" s="133">
        <f t="shared" si="282"/>
        <v>0</v>
      </c>
      <c r="W639" s="133">
        <f>VLOOKUP(U639,Sheet1!$B$6:$C$45,2,FALSE)*V639</f>
        <v>0</v>
      </c>
      <c r="X639" s="141"/>
      <c r="Y639" s="121" t="s">
        <v>292</v>
      </c>
      <c r="Z639" s="146">
        <f>VLOOKUP(Takeoffs!Y639,Sheet1!$B$6:$C$124,2,FALSE)</f>
        <v>0</v>
      </c>
      <c r="AA639" s="146">
        <f t="shared" si="283"/>
        <v>0</v>
      </c>
      <c r="AB639" s="143">
        <f t="shared" si="284"/>
        <v>0</v>
      </c>
      <c r="AC639" s="133">
        <f t="shared" si="285"/>
        <v>0</v>
      </c>
      <c r="AD639" s="142">
        <v>1</v>
      </c>
      <c r="AE639" s="141"/>
      <c r="AF639" s="121" t="s">
        <v>292</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hidden="1" x14ac:dyDescent="0.8">
      <c r="A640" s="262">
        <f>ROW()</f>
        <v>640</v>
      </c>
      <c r="C640" s="208"/>
      <c r="D640" s="208"/>
      <c r="E640" s="208"/>
      <c r="F640" s="208"/>
      <c r="G640" s="208"/>
      <c r="H640" s="208"/>
      <c r="J640" s="114" t="str">
        <f t="shared" si="289"/>
        <v/>
      </c>
      <c r="K640" s="114" t="str">
        <f>IF(COUNTBLANK(R640)&gt;0,"",CONCATENATE(R640," for ",N620))</f>
        <v/>
      </c>
      <c r="N640" s="123" t="s">
        <v>132</v>
      </c>
      <c r="O640" s="66" t="s">
        <v>408</v>
      </c>
      <c r="P640" s="121"/>
      <c r="Q640" s="66"/>
      <c r="R640" s="121"/>
      <c r="S640" s="133">
        <f>M620</f>
        <v>0</v>
      </c>
      <c r="T640" s="120"/>
      <c r="U640" s="121" t="s">
        <v>292</v>
      </c>
      <c r="V640" s="133">
        <f t="shared" si="282"/>
        <v>0</v>
      </c>
      <c r="W640" s="133">
        <f>VLOOKUP(U640,Sheet1!$B$6:$C$45,2,FALSE)*V640</f>
        <v>0</v>
      </c>
      <c r="X640" s="141"/>
      <c r="Y640" s="121" t="s">
        <v>292</v>
      </c>
      <c r="Z640" s="146">
        <f>VLOOKUP(Takeoffs!Y640,Sheet1!$B$6:$C$124,2,FALSE)</f>
        <v>0</v>
      </c>
      <c r="AA640" s="146">
        <f t="shared" si="283"/>
        <v>0</v>
      </c>
      <c r="AB640" s="143">
        <f t="shared" si="284"/>
        <v>0</v>
      </c>
      <c r="AC640" s="133">
        <f t="shared" si="285"/>
        <v>0</v>
      </c>
      <c r="AD640" s="142">
        <v>1</v>
      </c>
      <c r="AE640" s="141"/>
      <c r="AF640" s="121" t="s">
        <v>292</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377</v>
      </c>
      <c r="L641" s="128" t="s">
        <v>378</v>
      </c>
      <c r="N641" s="129"/>
      <c r="O641" s="130" t="s">
        <v>357</v>
      </c>
      <c r="P641" s="155">
        <f>V641+AA641+AH641</f>
        <v>0</v>
      </c>
      <c r="Q641" s="155"/>
      <c r="R641" s="131"/>
      <c r="S641" s="130"/>
      <c r="T641" s="127"/>
      <c r="U641" s="126" t="s">
        <v>351</v>
      </c>
      <c r="V641" s="127">
        <f>W641*80</f>
        <v>0</v>
      </c>
      <c r="W641" s="147">
        <f>SUM(W620:W640)</f>
        <v>0</v>
      </c>
      <c r="X641" s="148"/>
      <c r="Y641" s="127" t="s">
        <v>352</v>
      </c>
      <c r="Z641" s="116"/>
      <c r="AA641" s="116">
        <f>SUM(AA620:AA640)</f>
        <v>0</v>
      </c>
      <c r="AB641" s="149"/>
      <c r="AC641" s="149"/>
      <c r="AD641" s="149"/>
      <c r="AE641" s="149"/>
      <c r="AF641" s="127" t="s">
        <v>356</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hidden="1" thickBot="1" x14ac:dyDescent="1.25">
      <c r="A642" s="262">
        <f>ROW()</f>
        <v>642</v>
      </c>
      <c r="B642" s="234" t="s">
        <v>491</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367</v>
      </c>
      <c r="N642" s="160" t="str">
        <f>N620</f>
        <v>DOL fan from local power supply</v>
      </c>
      <c r="O642" s="185" t="s">
        <v>365</v>
      </c>
      <c r="P642" s="203" t="e">
        <f>P641/M620</f>
        <v>#DIV/0!</v>
      </c>
      <c r="Q642" s="195"/>
      <c r="R642" s="188"/>
      <c r="S642" s="160"/>
      <c r="T642" s="161"/>
      <c r="U642" s="571" t="s">
        <v>366</v>
      </c>
      <c r="V642" s="571"/>
      <c r="W642" s="162" t="e">
        <f>W641/M620</f>
        <v>#DIV/0!</v>
      </c>
      <c r="X642" s="163"/>
      <c r="Y642" s="570" t="s">
        <v>365</v>
      </c>
      <c r="Z642" s="570"/>
      <c r="AA642" s="164" t="e">
        <f>AA641/M620</f>
        <v>#DIV/0!</v>
      </c>
      <c r="AB642" s="161"/>
      <c r="AC642" s="161"/>
      <c r="AD642" s="161"/>
      <c r="AE642" s="161"/>
      <c r="AF642" s="570" t="s">
        <v>365</v>
      </c>
      <c r="AG642" s="570"/>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452</v>
      </c>
      <c r="M643" s="116" t="s">
        <v>107</v>
      </c>
      <c r="N643" s="116" t="s">
        <v>108</v>
      </c>
      <c r="O643" s="170" t="s">
        <v>386</v>
      </c>
      <c r="P643" s="572" t="s">
        <v>375</v>
      </c>
      <c r="Q643" s="572"/>
      <c r="R643" s="101" t="s">
        <v>452</v>
      </c>
      <c r="S643" s="116" t="s">
        <v>0</v>
      </c>
      <c r="T643" s="118"/>
      <c r="U643" s="116" t="s">
        <v>287</v>
      </c>
      <c r="V643" s="116" t="s">
        <v>288</v>
      </c>
      <c r="W643" s="116" t="s">
        <v>291</v>
      </c>
      <c r="X643" s="140"/>
      <c r="Y643" s="116" t="s">
        <v>289</v>
      </c>
      <c r="Z643" s="116" t="s">
        <v>354</v>
      </c>
      <c r="AA643" s="116" t="s">
        <v>355</v>
      </c>
      <c r="AB643" s="116" t="s">
        <v>317</v>
      </c>
      <c r="AC643" s="116" t="s">
        <v>318</v>
      </c>
      <c r="AD643" s="116" t="s">
        <v>316</v>
      </c>
      <c r="AE643" s="140"/>
      <c r="AF643" s="116" t="s">
        <v>293</v>
      </c>
      <c r="AG643" s="116" t="s">
        <v>354</v>
      </c>
      <c r="AH643" s="116" t="s">
        <v>355</v>
      </c>
      <c r="AI643" s="116" t="s">
        <v>296</v>
      </c>
      <c r="AJ643" s="116" t="s">
        <v>294</v>
      </c>
      <c r="AK643" s="116" t="s">
        <v>295</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780</v>
      </c>
      <c r="O644" s="121" t="s">
        <v>488</v>
      </c>
      <c r="P644" s="169" t="s">
        <v>379</v>
      </c>
      <c r="Q644" s="169" t="s">
        <v>375</v>
      </c>
      <c r="R644" s="169"/>
      <c r="S644" s="133">
        <f>M644</f>
        <v>0</v>
      </c>
      <c r="T644" s="119"/>
      <c r="U644" s="121" t="s">
        <v>292</v>
      </c>
      <c r="V644" s="133">
        <f>S644</f>
        <v>0</v>
      </c>
      <c r="W644" s="133">
        <f>VLOOKUP(U644,Sheet1!$B$6:$C$45,2,FALSE)*V644</f>
        <v>0</v>
      </c>
      <c r="X644" s="141"/>
      <c r="Y644" s="121" t="s">
        <v>292</v>
      </c>
      <c r="Z644" s="146">
        <f>VLOOKUP(Takeoffs!Y644,Sheet1!$B$6:$C$124,2,FALSE)</f>
        <v>0</v>
      </c>
      <c r="AA644" s="146">
        <f>Z644*AB644</f>
        <v>0</v>
      </c>
      <c r="AB644" s="143">
        <f>AD644*AC644</f>
        <v>0</v>
      </c>
      <c r="AC644" s="133">
        <f>S644</f>
        <v>0</v>
      </c>
      <c r="AD644" s="142">
        <v>1</v>
      </c>
      <c r="AE644" s="141"/>
      <c r="AF644" s="121" t="s">
        <v>292</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hidden="1"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340</v>
      </c>
      <c r="P645" s="121"/>
      <c r="Q645" s="66"/>
      <c r="R645" s="121"/>
      <c r="S645" s="133">
        <f>M644</f>
        <v>0</v>
      </c>
      <c r="T645" s="120"/>
      <c r="U645" s="121" t="s">
        <v>292</v>
      </c>
      <c r="V645" s="133">
        <f t="shared" ref="V645:V664" si="291">S645</f>
        <v>0</v>
      </c>
      <c r="W645" s="133">
        <f>VLOOKUP(U645,Sheet1!$B$6:$C$45,2,FALSE)*V645</f>
        <v>0</v>
      </c>
      <c r="X645" s="141"/>
      <c r="Y645" s="121" t="s">
        <v>292</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292</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hidden="1"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308</v>
      </c>
      <c r="P646" s="121"/>
      <c r="Q646" s="66"/>
      <c r="R646" s="121"/>
      <c r="S646" s="133">
        <f>M644</f>
        <v>0</v>
      </c>
      <c r="T646" s="120"/>
      <c r="U646" s="121" t="s">
        <v>292</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hidden="1"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489</v>
      </c>
      <c r="P647" s="121"/>
      <c r="Q647" s="66"/>
      <c r="R647" s="121"/>
      <c r="S647" s="133">
        <f>M644</f>
        <v>0</v>
      </c>
      <c r="T647" s="120"/>
      <c r="U647" s="117" t="s">
        <v>478</v>
      </c>
      <c r="V647" s="133">
        <f t="shared" si="291"/>
        <v>0</v>
      </c>
      <c r="W647" s="133">
        <f>VLOOKUP(U647,Sheet1!$B$6:$C$45,2,FALSE)*V647</f>
        <v>0</v>
      </c>
      <c r="X647" s="141"/>
      <c r="Y647" s="121" t="s">
        <v>292</v>
      </c>
      <c r="Z647" s="146">
        <f>VLOOKUP(Takeoffs!Y647,Sheet1!$B$6:$C$124,2,FALSE)</f>
        <v>0</v>
      </c>
      <c r="AA647" s="146">
        <f t="shared" si="292"/>
        <v>0</v>
      </c>
      <c r="AB647" s="143">
        <f t="shared" si="293"/>
        <v>0</v>
      </c>
      <c r="AC647" s="133">
        <f t="shared" si="294"/>
        <v>0</v>
      </c>
      <c r="AD647" s="142">
        <v>1</v>
      </c>
      <c r="AE647" s="141"/>
      <c r="AF647" s="121" t="s">
        <v>292</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hidden="1"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292</v>
      </c>
      <c r="Z648" s="146">
        <f>VLOOKUP(Takeoffs!Y648,Sheet1!$B$6:$C$124,2,FALSE)</f>
        <v>0</v>
      </c>
      <c r="AA648" s="146">
        <f t="shared" si="292"/>
        <v>0</v>
      </c>
      <c r="AB648" s="143">
        <f t="shared" si="293"/>
        <v>0</v>
      </c>
      <c r="AC648" s="133">
        <f t="shared" si="294"/>
        <v>0</v>
      </c>
      <c r="AD648" s="142">
        <v>1</v>
      </c>
      <c r="AE648" s="141"/>
      <c r="AF648" s="121" t="s">
        <v>292</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hidden="1"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292</v>
      </c>
      <c r="V649" s="133">
        <f t="shared" si="291"/>
        <v>0</v>
      </c>
      <c r="W649" s="133">
        <f>VLOOKUP(U649,Sheet1!$B$6:$C$45,2,FALSE)*V649</f>
        <v>0</v>
      </c>
      <c r="X649" s="141"/>
      <c r="Y649" s="121" t="s">
        <v>292</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hidden="1"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406</v>
      </c>
      <c r="P650" s="121"/>
      <c r="Q650" s="66"/>
      <c r="R650" s="121"/>
      <c r="S650" s="133">
        <f>M644</f>
        <v>0</v>
      </c>
      <c r="T650" s="120"/>
      <c r="U650" s="121" t="s">
        <v>292</v>
      </c>
      <c r="V650" s="133">
        <f t="shared" si="291"/>
        <v>0</v>
      </c>
      <c r="W650" s="133">
        <f>VLOOKUP(U650,Sheet1!$B$6:$C$45,2,FALSE)*V650</f>
        <v>0</v>
      </c>
      <c r="X650" s="141"/>
      <c r="Y650" s="121" t="s">
        <v>292</v>
      </c>
      <c r="Z650" s="146">
        <f>VLOOKUP(Takeoffs!Y650,Sheet1!$B$6:$C$124,2,FALSE)</f>
        <v>0</v>
      </c>
      <c r="AA650" s="146">
        <f t="shared" si="292"/>
        <v>0</v>
      </c>
      <c r="AB650" s="143">
        <f t="shared" si="293"/>
        <v>0</v>
      </c>
      <c r="AC650" s="133">
        <f t="shared" si="294"/>
        <v>0</v>
      </c>
      <c r="AD650" s="142">
        <v>1</v>
      </c>
      <c r="AE650" s="141"/>
      <c r="AF650" s="121" t="s">
        <v>292</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hidden="1"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292</v>
      </c>
      <c r="V651" s="133">
        <f t="shared" si="291"/>
        <v>0</v>
      </c>
      <c r="W651" s="133">
        <f>VLOOKUP(U651,Sheet1!$B$6:$C$45,2,FALSE)*V651</f>
        <v>0</v>
      </c>
      <c r="X651" s="141"/>
      <c r="Y651" s="121" t="s">
        <v>292</v>
      </c>
      <c r="Z651" s="146">
        <f>VLOOKUP(Takeoffs!Y651,Sheet1!$B$6:$C$124,2,FALSE)</f>
        <v>0</v>
      </c>
      <c r="AA651" s="146">
        <f t="shared" si="292"/>
        <v>0</v>
      </c>
      <c r="AB651" s="143">
        <f t="shared" si="293"/>
        <v>0</v>
      </c>
      <c r="AC651" s="133">
        <f t="shared" si="294"/>
        <v>0</v>
      </c>
      <c r="AD651" s="142">
        <v>1</v>
      </c>
      <c r="AE651" s="141"/>
      <c r="AF651" s="121" t="s">
        <v>292</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hidden="1" x14ac:dyDescent="0.8">
      <c r="A652" s="262">
        <f>ROW()</f>
        <v>652</v>
      </c>
      <c r="C652" s="208"/>
      <c r="D652" s="208"/>
      <c r="E652" s="208"/>
      <c r="F652" s="208"/>
      <c r="G652" s="208"/>
      <c r="H652" s="208"/>
      <c r="J652" s="114" t="str">
        <f t="shared" si="298"/>
        <v/>
      </c>
      <c r="K652" s="114" t="str">
        <f>IF(COUNTBLANK(R652)&gt;0,"",CONCATENATE(R652," for ",N644))</f>
        <v/>
      </c>
      <c r="N652" s="123" t="s">
        <v>120</v>
      </c>
      <c r="O652" s="66" t="s">
        <v>328</v>
      </c>
      <c r="P652" s="121"/>
      <c r="Q652" s="66"/>
      <c r="R652" s="121"/>
      <c r="S652" s="133">
        <f>M644</f>
        <v>0</v>
      </c>
      <c r="T652" s="120"/>
      <c r="U652" s="121" t="s">
        <v>364</v>
      </c>
      <c r="V652" s="133">
        <f t="shared" si="291"/>
        <v>0</v>
      </c>
      <c r="W652" s="133">
        <f>VLOOKUP(U652,Sheet1!$B$6:$C$45,2,FALSE)*V652</f>
        <v>0</v>
      </c>
      <c r="X652" s="141"/>
      <c r="Y652" s="121" t="s">
        <v>292</v>
      </c>
      <c r="Z652" s="146">
        <f>VLOOKUP(Takeoffs!Y652,Sheet1!$B$6:$C$124,2,FALSE)</f>
        <v>0</v>
      </c>
      <c r="AA652" s="146">
        <f t="shared" si="292"/>
        <v>0</v>
      </c>
      <c r="AB652" s="143">
        <f t="shared" si="293"/>
        <v>0</v>
      </c>
      <c r="AC652" s="133">
        <f t="shared" si="294"/>
        <v>0</v>
      </c>
      <c r="AD652" s="142">
        <v>1</v>
      </c>
      <c r="AE652" s="141"/>
      <c r="AF652" s="121" t="s">
        <v>292</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hidden="1"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292</v>
      </c>
      <c r="V653" s="133">
        <f t="shared" si="291"/>
        <v>0</v>
      </c>
      <c r="W653" s="133">
        <f>VLOOKUP(U653,Sheet1!$B$6:$C$45,2,FALSE)*V653</f>
        <v>0</v>
      </c>
      <c r="X653" s="141"/>
      <c r="Y653" s="121" t="s">
        <v>292</v>
      </c>
      <c r="Z653" s="146">
        <f>VLOOKUP(Takeoffs!Y653,Sheet1!$B$6:$C$124,2,FALSE)</f>
        <v>0</v>
      </c>
      <c r="AA653" s="146">
        <f t="shared" si="292"/>
        <v>0</v>
      </c>
      <c r="AB653" s="143">
        <f t="shared" si="293"/>
        <v>0</v>
      </c>
      <c r="AC653" s="133">
        <f t="shared" si="294"/>
        <v>0</v>
      </c>
      <c r="AD653" s="142">
        <v>1</v>
      </c>
      <c r="AE653" s="141"/>
      <c r="AF653" s="121" t="s">
        <v>292</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hidden="1"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292</v>
      </c>
      <c r="V654" s="133">
        <f t="shared" si="291"/>
        <v>0</v>
      </c>
      <c r="W654" s="133">
        <f>VLOOKUP(U654,Sheet1!$B$6:$C$45,2,FALSE)*V654</f>
        <v>0</v>
      </c>
      <c r="X654" s="141"/>
      <c r="Y654" s="121" t="s">
        <v>292</v>
      </c>
      <c r="Z654" s="146">
        <f>VLOOKUP(Takeoffs!Y654,Sheet1!$B$6:$C$124,2,FALSE)</f>
        <v>0</v>
      </c>
      <c r="AA654" s="146">
        <f t="shared" si="292"/>
        <v>0</v>
      </c>
      <c r="AB654" s="143">
        <f t="shared" si="293"/>
        <v>0</v>
      </c>
      <c r="AC654" s="133">
        <f t="shared" si="294"/>
        <v>0</v>
      </c>
      <c r="AD654" s="142">
        <v>1</v>
      </c>
      <c r="AE654" s="141"/>
      <c r="AF654" s="121" t="s">
        <v>292</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hidden="1"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292</v>
      </c>
      <c r="V655" s="133">
        <f t="shared" si="291"/>
        <v>0</v>
      </c>
      <c r="W655" s="133">
        <f>VLOOKUP(U655,Sheet1!$B$6:$C$45,2,FALSE)*V655</f>
        <v>0</v>
      </c>
      <c r="X655" s="141"/>
      <c r="Y655" s="135" t="s">
        <v>292</v>
      </c>
      <c r="Z655" s="146">
        <f>VLOOKUP(Takeoffs!Y655,Sheet1!$B$6:$C$124,2,FALSE)</f>
        <v>0</v>
      </c>
      <c r="AA655" s="146">
        <f t="shared" si="292"/>
        <v>0</v>
      </c>
      <c r="AB655" s="143">
        <f t="shared" si="293"/>
        <v>0</v>
      </c>
      <c r="AC655" s="133">
        <f t="shared" si="294"/>
        <v>0</v>
      </c>
      <c r="AD655" s="142">
        <v>1</v>
      </c>
      <c r="AE655" s="141"/>
      <c r="AF655" s="121" t="s">
        <v>292</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hidden="1"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292</v>
      </c>
      <c r="V656" s="133">
        <f t="shared" si="291"/>
        <v>0</v>
      </c>
      <c r="W656" s="133">
        <f>VLOOKUP(U656,Sheet1!$B$6:$C$45,2,FALSE)*V656</f>
        <v>0</v>
      </c>
      <c r="X656" s="141"/>
      <c r="Y656" s="121" t="s">
        <v>292</v>
      </c>
      <c r="Z656" s="146">
        <f>VLOOKUP(Takeoffs!Y656,Sheet1!$B$6:$C$124,2,FALSE)</f>
        <v>0</v>
      </c>
      <c r="AA656" s="146">
        <f t="shared" si="292"/>
        <v>0</v>
      </c>
      <c r="AB656" s="143">
        <f t="shared" si="293"/>
        <v>0</v>
      </c>
      <c r="AC656" s="133">
        <f t="shared" si="294"/>
        <v>0</v>
      </c>
      <c r="AD656" s="142">
        <v>1</v>
      </c>
      <c r="AE656" s="141"/>
      <c r="AF656" s="152" t="s">
        <v>418</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hidden="1" x14ac:dyDescent="0.8">
      <c r="A657" s="262">
        <f>ROW()</f>
        <v>657</v>
      </c>
      <c r="C657" s="208"/>
      <c r="D657" s="208"/>
      <c r="E657" s="208"/>
      <c r="F657" s="208"/>
      <c r="G657" s="208"/>
      <c r="H657" s="208"/>
      <c r="J657" s="114" t="str">
        <f t="shared" si="298"/>
        <v/>
      </c>
      <c r="K657" s="114" t="str">
        <f>IF(COUNTBLANK(R657)&gt;0,"",CONCATENATE(R657," for ",N644))</f>
        <v/>
      </c>
      <c r="N657" s="123" t="s">
        <v>125</v>
      </c>
      <c r="O657" s="66" t="s">
        <v>312</v>
      </c>
      <c r="P657" s="121"/>
      <c r="Q657" s="66"/>
      <c r="R657" s="121"/>
      <c r="S657" s="133">
        <f>M644</f>
        <v>0</v>
      </c>
      <c r="T657" s="120"/>
      <c r="U657" s="121" t="s">
        <v>232</v>
      </c>
      <c r="V657" s="133">
        <f t="shared" si="291"/>
        <v>0</v>
      </c>
      <c r="W657" s="133">
        <f>VLOOKUP(U657,Sheet1!$B$6:$C$45,2,FALSE)*V657</f>
        <v>0</v>
      </c>
      <c r="X657" s="141"/>
      <c r="Y657" s="122" t="s">
        <v>1344</v>
      </c>
      <c r="Z657" s="146">
        <f>VLOOKUP(Takeoffs!Y657,Sheet1!$B$6:$C$124,2,FALSE)</f>
        <v>109.25999999999999</v>
      </c>
      <c r="AA657" s="146">
        <f t="shared" si="292"/>
        <v>0</v>
      </c>
      <c r="AB657" s="143">
        <f t="shared" si="293"/>
        <v>0</v>
      </c>
      <c r="AC657" s="133">
        <f t="shared" si="294"/>
        <v>0</v>
      </c>
      <c r="AD657" s="142">
        <v>1</v>
      </c>
      <c r="AE657" s="141"/>
      <c r="AF657" s="121" t="s">
        <v>292</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hidden="1"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345</v>
      </c>
      <c r="P658" s="121" t="s">
        <v>380</v>
      </c>
      <c r="Q658" s="66" t="s">
        <v>384</v>
      </c>
      <c r="R658" s="121"/>
      <c r="S658" s="133">
        <f>M644</f>
        <v>0</v>
      </c>
      <c r="T658" s="120"/>
      <c r="U658" s="121" t="s">
        <v>292</v>
      </c>
      <c r="V658" s="133">
        <f t="shared" si="291"/>
        <v>0</v>
      </c>
      <c r="W658" s="133">
        <f>VLOOKUP(U658,Sheet1!$B$6:$C$45,2,FALSE)*V658</f>
        <v>0</v>
      </c>
      <c r="X658" s="141"/>
      <c r="Y658" s="122" t="s">
        <v>326</v>
      </c>
      <c r="Z658" s="146">
        <f>VLOOKUP(Takeoffs!Y658,Sheet1!$B$6:$C$124,2,FALSE)</f>
        <v>29.04</v>
      </c>
      <c r="AA658" s="146">
        <f t="shared" si="292"/>
        <v>0</v>
      </c>
      <c r="AB658" s="143">
        <f t="shared" si="293"/>
        <v>0</v>
      </c>
      <c r="AC658" s="133">
        <f t="shared" si="294"/>
        <v>0</v>
      </c>
      <c r="AD658" s="142">
        <v>1</v>
      </c>
      <c r="AE658" s="141"/>
      <c r="AF658" s="121" t="s">
        <v>292</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hidden="1"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337</v>
      </c>
      <c r="P659" s="121"/>
      <c r="Q659" s="66"/>
      <c r="R659" s="121" t="s">
        <v>331</v>
      </c>
      <c r="S659" s="133">
        <f>M644</f>
        <v>0</v>
      </c>
      <c r="T659" s="120"/>
      <c r="U659" s="121" t="s">
        <v>292</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292</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hidden="1" x14ac:dyDescent="0.8">
      <c r="A660" s="262">
        <f>ROW()</f>
        <v>660</v>
      </c>
      <c r="C660" s="208"/>
      <c r="D660" s="208"/>
      <c r="E660" s="208"/>
      <c r="F660" s="208"/>
      <c r="G660" s="208"/>
      <c r="H660" s="208"/>
      <c r="J660" s="114" t="str">
        <f t="shared" si="298"/>
        <v/>
      </c>
      <c r="K660" s="114" t="str">
        <f>IF(COUNTBLANK(R660)&gt;0,"",CONCATENATE(R660," for ",N644))</f>
        <v/>
      </c>
      <c r="N660" s="123" t="s">
        <v>128</v>
      </c>
      <c r="O660" s="66" t="s">
        <v>499</v>
      </c>
      <c r="P660" s="121"/>
      <c r="Q660" s="66"/>
      <c r="R660" s="121"/>
      <c r="S660" s="133">
        <f>M644</f>
        <v>0</v>
      </c>
      <c r="T660" s="120"/>
      <c r="U660" s="121" t="s">
        <v>292</v>
      </c>
      <c r="V660" s="133">
        <f t="shared" si="291"/>
        <v>0</v>
      </c>
      <c r="W660" s="133">
        <f>VLOOKUP(U660,Sheet1!$B$6:$C$45,2,FALSE)*V660</f>
        <v>0</v>
      </c>
      <c r="X660" s="141"/>
      <c r="Y660" s="135" t="s">
        <v>422</v>
      </c>
      <c r="Z660" s="146">
        <f>VLOOKUP(Takeoffs!Y660,Sheet1!$B$6:$C$124,2,FALSE)</f>
        <v>23.4</v>
      </c>
      <c r="AA660" s="146">
        <f t="shared" si="292"/>
        <v>0</v>
      </c>
      <c r="AB660" s="143">
        <f t="shared" si="293"/>
        <v>0</v>
      </c>
      <c r="AC660" s="133">
        <f t="shared" si="294"/>
        <v>0</v>
      </c>
      <c r="AD660" s="142">
        <v>1</v>
      </c>
      <c r="AE660" s="141"/>
      <c r="AF660" s="121" t="s">
        <v>292</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hidden="1"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329</v>
      </c>
      <c r="P661" s="121"/>
      <c r="Q661" s="66"/>
      <c r="R661" s="121" t="s">
        <v>304</v>
      </c>
      <c r="S661" s="133">
        <f>M644</f>
        <v>0</v>
      </c>
      <c r="T661" s="120"/>
      <c r="U661" s="121" t="s">
        <v>292</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292</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hidden="1" x14ac:dyDescent="0.8">
      <c r="A662" s="262">
        <f>ROW()</f>
        <v>662</v>
      </c>
      <c r="C662" s="208"/>
      <c r="D662" s="208"/>
      <c r="E662" s="208"/>
      <c r="F662" s="208"/>
      <c r="G662" s="208"/>
      <c r="H662" s="208"/>
      <c r="J662" s="114" t="str">
        <f t="shared" si="298"/>
        <v/>
      </c>
      <c r="K662" s="114" t="str">
        <f>IF(COUNTBLANK(R662)&gt;0,"",CONCATENATE(R662," for ",N644))</f>
        <v/>
      </c>
      <c r="N662" s="123" t="s">
        <v>130</v>
      </c>
      <c r="O662" s="66" t="s">
        <v>660</v>
      </c>
      <c r="P662" s="121"/>
      <c r="Q662" s="66"/>
      <c r="R662" s="121"/>
      <c r="S662" s="133">
        <f>M644</f>
        <v>0</v>
      </c>
      <c r="T662" s="120"/>
      <c r="U662" s="121" t="s">
        <v>292</v>
      </c>
      <c r="V662" s="133">
        <f t="shared" si="291"/>
        <v>0</v>
      </c>
      <c r="W662" s="133">
        <f>VLOOKUP(U662,Sheet1!$B$6:$C$45,2,FALSE)*V662</f>
        <v>0</v>
      </c>
      <c r="X662" s="141"/>
      <c r="Y662" s="135" t="s">
        <v>422</v>
      </c>
      <c r="Z662" s="146">
        <f>VLOOKUP(Takeoffs!Y662,Sheet1!$B$6:$C$124,2,FALSE)</f>
        <v>23.4</v>
      </c>
      <c r="AA662" s="146">
        <f t="shared" si="292"/>
        <v>0</v>
      </c>
      <c r="AB662" s="143">
        <f t="shared" si="293"/>
        <v>0</v>
      </c>
      <c r="AC662" s="133">
        <f t="shared" si="294"/>
        <v>0</v>
      </c>
      <c r="AD662" s="142">
        <v>1</v>
      </c>
      <c r="AE662" s="141"/>
      <c r="AF662" s="121" t="s">
        <v>292</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hidden="1" x14ac:dyDescent="0.8">
      <c r="A663" s="262">
        <f>ROW()</f>
        <v>663</v>
      </c>
      <c r="C663" s="208"/>
      <c r="D663" s="208"/>
      <c r="E663" s="208"/>
      <c r="F663" s="208"/>
      <c r="G663" s="208"/>
      <c r="H663" s="208"/>
      <c r="J663" s="114" t="str">
        <f t="shared" si="298"/>
        <v/>
      </c>
      <c r="K663" s="114" t="str">
        <f>IF(COUNTBLANK(R663)&gt;0,"",CONCATENATE(R663," for ",N644))</f>
        <v/>
      </c>
      <c r="N663" s="123" t="s">
        <v>131</v>
      </c>
      <c r="O663" s="66" t="s">
        <v>407</v>
      </c>
      <c r="P663" s="121"/>
      <c r="Q663" s="66"/>
      <c r="R663" s="121"/>
      <c r="S663" s="133">
        <f>M644</f>
        <v>0</v>
      </c>
      <c r="T663" s="120"/>
      <c r="U663" s="121" t="s">
        <v>292</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292</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hidden="1" x14ac:dyDescent="0.8">
      <c r="A664" s="262">
        <f>ROW()</f>
        <v>664</v>
      </c>
      <c r="C664" s="208"/>
      <c r="D664" s="208"/>
      <c r="E664" s="208"/>
      <c r="F664" s="208"/>
      <c r="G664" s="208"/>
      <c r="H664" s="208"/>
      <c r="J664" s="114" t="str">
        <f t="shared" si="298"/>
        <v/>
      </c>
      <c r="K664" s="114" t="str">
        <f>IF(COUNTBLANK(R664)&gt;0,"",CONCATENATE(R664," for ",N644))</f>
        <v/>
      </c>
      <c r="N664" s="123" t="s">
        <v>132</v>
      </c>
      <c r="O664" s="66" t="s">
        <v>408</v>
      </c>
      <c r="P664" s="121"/>
      <c r="Q664" s="66"/>
      <c r="R664" s="121"/>
      <c r="S664" s="133">
        <f>M644</f>
        <v>0</v>
      </c>
      <c r="T664" s="120"/>
      <c r="U664" s="121" t="s">
        <v>362</v>
      </c>
      <c r="V664" s="133">
        <f t="shared" si="291"/>
        <v>0</v>
      </c>
      <c r="W664" s="133">
        <f>VLOOKUP(U664,Sheet1!$B$6:$C$45,2,FALSE)*V664</f>
        <v>0</v>
      </c>
      <c r="X664" s="141"/>
      <c r="Y664" s="121" t="s">
        <v>292</v>
      </c>
      <c r="Z664" s="146">
        <f>VLOOKUP(Takeoffs!Y664,Sheet1!$B$6:$C$124,2,FALSE)</f>
        <v>0</v>
      </c>
      <c r="AA664" s="146">
        <f t="shared" si="292"/>
        <v>0</v>
      </c>
      <c r="AB664" s="143">
        <f t="shared" si="293"/>
        <v>0</v>
      </c>
      <c r="AC664" s="133">
        <f t="shared" si="294"/>
        <v>0</v>
      </c>
      <c r="AD664" s="142">
        <v>1</v>
      </c>
      <c r="AE664" s="141"/>
      <c r="AF664" s="121" t="s">
        <v>292</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377</v>
      </c>
      <c r="L665" s="128" t="s">
        <v>378</v>
      </c>
      <c r="N665" s="129"/>
      <c r="O665" s="130" t="s">
        <v>357</v>
      </c>
      <c r="P665" s="155">
        <f>V665+AA665+AH665</f>
        <v>0</v>
      </c>
      <c r="Q665" s="155"/>
      <c r="R665" s="131"/>
      <c r="S665" s="130"/>
      <c r="T665" s="127"/>
      <c r="U665" s="126" t="s">
        <v>351</v>
      </c>
      <c r="V665" s="127">
        <f>W665*80</f>
        <v>0</v>
      </c>
      <c r="W665" s="147">
        <f>SUM(W644:W664)</f>
        <v>0</v>
      </c>
      <c r="X665" s="148"/>
      <c r="Y665" s="127" t="s">
        <v>352</v>
      </c>
      <c r="Z665" s="116"/>
      <c r="AA665" s="116">
        <f>SUM(AA644:AA664)</f>
        <v>0</v>
      </c>
      <c r="AB665" s="149"/>
      <c r="AC665" s="149"/>
      <c r="AD665" s="149"/>
      <c r="AE665" s="149"/>
      <c r="AF665" s="127" t="s">
        <v>356</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hidden="1" thickBot="1" x14ac:dyDescent="1.25">
      <c r="A666" s="262">
        <f>ROW()</f>
        <v>666</v>
      </c>
      <c r="B666" s="234" t="s">
        <v>491</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367</v>
      </c>
      <c r="N666" s="160" t="str">
        <f>N644</f>
        <v>DOL fan with interlock with lights an run on timer - from MSSB power supply</v>
      </c>
      <c r="O666" s="185" t="s">
        <v>365</v>
      </c>
      <c r="P666" s="203" t="e">
        <f>P665/M644</f>
        <v>#DIV/0!</v>
      </c>
      <c r="Q666" s="195"/>
      <c r="R666" s="188"/>
      <c r="S666" s="160"/>
      <c r="T666" s="161"/>
      <c r="U666" s="571" t="s">
        <v>366</v>
      </c>
      <c r="V666" s="571"/>
      <c r="W666" s="162" t="e">
        <f>W665/M644</f>
        <v>#DIV/0!</v>
      </c>
      <c r="X666" s="163"/>
      <c r="Y666" s="570" t="s">
        <v>365</v>
      </c>
      <c r="Z666" s="570"/>
      <c r="AA666" s="164" t="e">
        <f>AA665/M644</f>
        <v>#DIV/0!</v>
      </c>
      <c r="AB666" s="161"/>
      <c r="AC666" s="161"/>
      <c r="AD666" s="161"/>
      <c r="AE666" s="161"/>
      <c r="AF666" s="570" t="s">
        <v>365</v>
      </c>
      <c r="AG666" s="570"/>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452</v>
      </c>
      <c r="M667" s="116" t="s">
        <v>107</v>
      </c>
      <c r="N667" s="116" t="s">
        <v>108</v>
      </c>
      <c r="O667" s="170" t="s">
        <v>386</v>
      </c>
      <c r="P667" s="572" t="s">
        <v>375</v>
      </c>
      <c r="Q667" s="572"/>
      <c r="R667" s="101" t="s">
        <v>452</v>
      </c>
      <c r="S667" s="116" t="s">
        <v>0</v>
      </c>
      <c r="T667" s="118"/>
      <c r="U667" s="116" t="s">
        <v>287</v>
      </c>
      <c r="V667" s="116" t="s">
        <v>288</v>
      </c>
      <c r="W667" s="116" t="s">
        <v>291</v>
      </c>
      <c r="X667" s="140"/>
      <c r="Y667" s="116" t="s">
        <v>289</v>
      </c>
      <c r="Z667" s="116" t="s">
        <v>354</v>
      </c>
      <c r="AA667" s="116" t="s">
        <v>355</v>
      </c>
      <c r="AB667" s="116" t="s">
        <v>317</v>
      </c>
      <c r="AC667" s="116" t="s">
        <v>318</v>
      </c>
      <c r="AD667" s="116" t="s">
        <v>316</v>
      </c>
      <c r="AE667" s="140"/>
      <c r="AF667" s="116" t="s">
        <v>293</v>
      </c>
      <c r="AG667" s="116" t="s">
        <v>354</v>
      </c>
      <c r="AH667" s="116" t="s">
        <v>355</v>
      </c>
      <c r="AI667" s="116" t="s">
        <v>296</v>
      </c>
      <c r="AJ667" s="116" t="s">
        <v>294</v>
      </c>
      <c r="AK667" s="116" t="s">
        <v>295</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658</v>
      </c>
      <c r="O668" s="121" t="s">
        <v>488</v>
      </c>
      <c r="P668" s="169" t="s">
        <v>379</v>
      </c>
      <c r="Q668" s="169" t="s">
        <v>375</v>
      </c>
      <c r="R668" s="169"/>
      <c r="S668" s="133">
        <f>M668</f>
        <v>0</v>
      </c>
      <c r="T668" s="119"/>
      <c r="U668" s="121" t="s">
        <v>292</v>
      </c>
      <c r="V668" s="133">
        <f>S668</f>
        <v>0</v>
      </c>
      <c r="W668" s="133">
        <f>VLOOKUP(U668,Sheet1!$B$6:$C$45,2,FALSE)*V668</f>
        <v>0</v>
      </c>
      <c r="X668" s="141"/>
      <c r="Y668" s="121" t="s">
        <v>292</v>
      </c>
      <c r="Z668" s="146">
        <f>VLOOKUP(Takeoffs!Y668,Sheet1!$B$6:$C$124,2,FALSE)</f>
        <v>0</v>
      </c>
      <c r="AA668" s="146">
        <f>Z668*AB668</f>
        <v>0</v>
      </c>
      <c r="AB668" s="143">
        <f>AD668*AC668</f>
        <v>0</v>
      </c>
      <c r="AC668" s="133">
        <f>S668</f>
        <v>0</v>
      </c>
      <c r="AD668" s="142">
        <v>1</v>
      </c>
      <c r="AE668" s="141"/>
      <c r="AF668" s="121" t="s">
        <v>292</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hidden="1"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340</v>
      </c>
      <c r="P669" s="121"/>
      <c r="Q669" s="66"/>
      <c r="R669" s="121"/>
      <c r="S669" s="133">
        <f>M668</f>
        <v>0</v>
      </c>
      <c r="T669" s="120"/>
      <c r="U669" s="121" t="s">
        <v>292</v>
      </c>
      <c r="V669" s="133">
        <f t="shared" ref="V669:V688" si="305">S669</f>
        <v>0</v>
      </c>
      <c r="W669" s="133">
        <f>VLOOKUP(U669,Sheet1!$B$6:$C$45,2,FALSE)*V669</f>
        <v>0</v>
      </c>
      <c r="X669" s="141"/>
      <c r="Y669" s="121" t="s">
        <v>292</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292</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hidden="1"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308</v>
      </c>
      <c r="P670" s="121"/>
      <c r="Q670" s="66"/>
      <c r="R670" s="121"/>
      <c r="S670" s="133">
        <f>M668</f>
        <v>0</v>
      </c>
      <c r="T670" s="120"/>
      <c r="U670" s="121" t="s">
        <v>292</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hidden="1"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489</v>
      </c>
      <c r="P671" s="121"/>
      <c r="Q671" s="66"/>
      <c r="R671" s="121"/>
      <c r="S671" s="133">
        <f>M668</f>
        <v>0</v>
      </c>
      <c r="T671" s="120"/>
      <c r="U671" s="117" t="s">
        <v>478</v>
      </c>
      <c r="V671" s="133">
        <f t="shared" si="305"/>
        <v>0</v>
      </c>
      <c r="W671" s="133">
        <f>VLOOKUP(U671,Sheet1!$B$6:$C$45,2,FALSE)*V671</f>
        <v>0</v>
      </c>
      <c r="X671" s="141"/>
      <c r="Y671" s="121" t="s">
        <v>292</v>
      </c>
      <c r="Z671" s="146">
        <f>VLOOKUP(Takeoffs!Y671,Sheet1!$B$6:$C$124,2,FALSE)</f>
        <v>0</v>
      </c>
      <c r="AA671" s="146">
        <f t="shared" si="306"/>
        <v>0</v>
      </c>
      <c r="AB671" s="143">
        <f t="shared" si="307"/>
        <v>0</v>
      </c>
      <c r="AC671" s="133">
        <f t="shared" si="308"/>
        <v>0</v>
      </c>
      <c r="AD671" s="142">
        <v>1</v>
      </c>
      <c r="AE671" s="141"/>
      <c r="AF671" s="121" t="s">
        <v>292</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hidden="1"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292</v>
      </c>
      <c r="Z672" s="146">
        <f>VLOOKUP(Takeoffs!Y672,Sheet1!$B$6:$C$124,2,FALSE)</f>
        <v>0</v>
      </c>
      <c r="AA672" s="146">
        <f t="shared" si="306"/>
        <v>0</v>
      </c>
      <c r="AB672" s="143">
        <f t="shared" si="307"/>
        <v>0</v>
      </c>
      <c r="AC672" s="133">
        <f t="shared" si="308"/>
        <v>0</v>
      </c>
      <c r="AD672" s="142">
        <v>1</v>
      </c>
      <c r="AE672" s="141"/>
      <c r="AF672" s="121" t="s">
        <v>292</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hidden="1"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292</v>
      </c>
      <c r="V673" s="133">
        <f t="shared" si="305"/>
        <v>0</v>
      </c>
      <c r="W673" s="133">
        <f>VLOOKUP(U673,Sheet1!$B$6:$C$45,2,FALSE)*V673</f>
        <v>0</v>
      </c>
      <c r="X673" s="141"/>
      <c r="Y673" s="121" t="s">
        <v>292</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hidden="1"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406</v>
      </c>
      <c r="P674" s="121"/>
      <c r="Q674" s="66"/>
      <c r="R674" s="121"/>
      <c r="S674" s="133">
        <f>M668</f>
        <v>0</v>
      </c>
      <c r="T674" s="120"/>
      <c r="U674" s="121" t="s">
        <v>292</v>
      </c>
      <c r="V674" s="133">
        <f t="shared" si="305"/>
        <v>0</v>
      </c>
      <c r="W674" s="133">
        <f>VLOOKUP(U674,Sheet1!$B$6:$C$45,2,FALSE)*V674</f>
        <v>0</v>
      </c>
      <c r="X674" s="141"/>
      <c r="Y674" s="121" t="s">
        <v>292</v>
      </c>
      <c r="Z674" s="146">
        <f>VLOOKUP(Takeoffs!Y674,Sheet1!$B$6:$C$124,2,FALSE)</f>
        <v>0</v>
      </c>
      <c r="AA674" s="146">
        <f t="shared" si="306"/>
        <v>0</v>
      </c>
      <c r="AB674" s="143">
        <f t="shared" si="307"/>
        <v>0</v>
      </c>
      <c r="AC674" s="133">
        <f t="shared" si="308"/>
        <v>0</v>
      </c>
      <c r="AD674" s="142">
        <v>1</v>
      </c>
      <c r="AE674" s="141"/>
      <c r="AF674" s="121" t="s">
        <v>292</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hidden="1"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292</v>
      </c>
      <c r="V675" s="133">
        <f t="shared" si="305"/>
        <v>0</v>
      </c>
      <c r="W675" s="133">
        <f>VLOOKUP(U675,Sheet1!$B$6:$C$45,2,FALSE)*V675</f>
        <v>0</v>
      </c>
      <c r="X675" s="141"/>
      <c r="Y675" s="121" t="s">
        <v>292</v>
      </c>
      <c r="Z675" s="146">
        <f>VLOOKUP(Takeoffs!Y675,Sheet1!$B$6:$C$124,2,FALSE)</f>
        <v>0</v>
      </c>
      <c r="AA675" s="146">
        <f t="shared" si="306"/>
        <v>0</v>
      </c>
      <c r="AB675" s="143">
        <f t="shared" si="307"/>
        <v>0</v>
      </c>
      <c r="AC675" s="133">
        <f t="shared" si="308"/>
        <v>0</v>
      </c>
      <c r="AD675" s="142">
        <v>1</v>
      </c>
      <c r="AE675" s="141"/>
      <c r="AF675" s="121" t="s">
        <v>292</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hidden="1" x14ac:dyDescent="0.8">
      <c r="A676" s="262">
        <f>ROW()</f>
        <v>676</v>
      </c>
      <c r="C676" s="208"/>
      <c r="D676" s="208"/>
      <c r="E676" s="208"/>
      <c r="F676" s="208"/>
      <c r="G676" s="208"/>
      <c r="H676" s="208"/>
      <c r="J676" s="114" t="str">
        <f t="shared" si="312"/>
        <v/>
      </c>
      <c r="K676" s="114" t="str">
        <f>IF(COUNTBLANK(R676)&gt;0,"",CONCATENATE(R676," for ",N668))</f>
        <v/>
      </c>
      <c r="N676" s="123" t="s">
        <v>120</v>
      </c>
      <c r="O676" s="66" t="s">
        <v>328</v>
      </c>
      <c r="P676" s="121"/>
      <c r="Q676" s="66"/>
      <c r="R676" s="121"/>
      <c r="S676" s="133">
        <f>M668</f>
        <v>0</v>
      </c>
      <c r="T676" s="120"/>
      <c r="U676" s="121" t="s">
        <v>364</v>
      </c>
      <c r="V676" s="133">
        <f t="shared" si="305"/>
        <v>0</v>
      </c>
      <c r="W676" s="133">
        <f>VLOOKUP(U676,Sheet1!$B$6:$C$45,2,FALSE)*V676</f>
        <v>0</v>
      </c>
      <c r="X676" s="141"/>
      <c r="Y676" s="121" t="s">
        <v>292</v>
      </c>
      <c r="Z676" s="146">
        <f>VLOOKUP(Takeoffs!Y676,Sheet1!$B$6:$C$124,2,FALSE)</f>
        <v>0</v>
      </c>
      <c r="AA676" s="146">
        <f t="shared" si="306"/>
        <v>0</v>
      </c>
      <c r="AB676" s="143">
        <f t="shared" si="307"/>
        <v>0</v>
      </c>
      <c r="AC676" s="133">
        <f t="shared" si="308"/>
        <v>0</v>
      </c>
      <c r="AD676" s="142">
        <v>1</v>
      </c>
      <c r="AE676" s="141"/>
      <c r="AF676" s="121" t="s">
        <v>292</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hidden="1"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292</v>
      </c>
      <c r="V677" s="133">
        <f t="shared" si="305"/>
        <v>0</v>
      </c>
      <c r="W677" s="133">
        <f>VLOOKUP(U677,Sheet1!$B$6:$C$45,2,FALSE)*V677</f>
        <v>0</v>
      </c>
      <c r="X677" s="141"/>
      <c r="Y677" s="121" t="s">
        <v>292</v>
      </c>
      <c r="Z677" s="146">
        <f>VLOOKUP(Takeoffs!Y677,Sheet1!$B$6:$C$124,2,FALSE)</f>
        <v>0</v>
      </c>
      <c r="AA677" s="146">
        <f t="shared" si="306"/>
        <v>0</v>
      </c>
      <c r="AB677" s="143">
        <f t="shared" si="307"/>
        <v>0</v>
      </c>
      <c r="AC677" s="133">
        <f t="shared" si="308"/>
        <v>0</v>
      </c>
      <c r="AD677" s="142">
        <v>1</v>
      </c>
      <c r="AE677" s="141"/>
      <c r="AF677" s="121" t="s">
        <v>292</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hidden="1"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292</v>
      </c>
      <c r="V678" s="133">
        <f t="shared" si="305"/>
        <v>0</v>
      </c>
      <c r="W678" s="133">
        <f>VLOOKUP(U678,Sheet1!$B$6:$C$45,2,FALSE)*V678</f>
        <v>0</v>
      </c>
      <c r="X678" s="141"/>
      <c r="Y678" s="121" t="s">
        <v>292</v>
      </c>
      <c r="Z678" s="146">
        <f>VLOOKUP(Takeoffs!Y678,Sheet1!$B$6:$C$124,2,FALSE)</f>
        <v>0</v>
      </c>
      <c r="AA678" s="146">
        <f t="shared" si="306"/>
        <v>0</v>
      </c>
      <c r="AB678" s="143">
        <f t="shared" si="307"/>
        <v>0</v>
      </c>
      <c r="AC678" s="133">
        <f t="shared" si="308"/>
        <v>0</v>
      </c>
      <c r="AD678" s="142">
        <v>1</v>
      </c>
      <c r="AE678" s="141"/>
      <c r="AF678" s="121" t="s">
        <v>292</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hidden="1" x14ac:dyDescent="0.8">
      <c r="A679" s="262">
        <f>ROW()</f>
        <v>679</v>
      </c>
      <c r="C679" s="208"/>
      <c r="D679" s="208"/>
      <c r="E679" s="208"/>
      <c r="F679" s="208"/>
      <c r="G679" s="208"/>
      <c r="H679" s="208"/>
      <c r="J679" s="114" t="str">
        <f t="shared" si="312"/>
        <v/>
      </c>
      <c r="K679" s="114" t="str">
        <f>IF(COUNTBLANK(R679)&gt;0,"",CONCATENATE(R679," for ",N668))</f>
        <v/>
      </c>
      <c r="N679" s="123" t="s">
        <v>123</v>
      </c>
      <c r="O679" s="66" t="s">
        <v>659</v>
      </c>
      <c r="P679" s="121"/>
      <c r="Q679" s="66"/>
      <c r="R679" s="121"/>
      <c r="S679" s="133">
        <f>M668</f>
        <v>0</v>
      </c>
      <c r="T679" s="120"/>
      <c r="U679" s="121" t="s">
        <v>292</v>
      </c>
      <c r="V679" s="133">
        <f t="shared" si="305"/>
        <v>0</v>
      </c>
      <c r="W679" s="133">
        <f>VLOOKUP(U679,Sheet1!$B$6:$C$45,2,FALSE)*V679</f>
        <v>0</v>
      </c>
      <c r="X679" s="141"/>
      <c r="Y679" s="135" t="s">
        <v>588</v>
      </c>
      <c r="Z679" s="146">
        <f>VLOOKUP(Takeoffs!Y679,Sheet1!$B$6:$C$124,2,FALSE)</f>
        <v>96</v>
      </c>
      <c r="AA679" s="146">
        <f t="shared" si="306"/>
        <v>0</v>
      </c>
      <c r="AB679" s="143">
        <f t="shared" si="307"/>
        <v>0</v>
      </c>
      <c r="AC679" s="133">
        <f t="shared" si="308"/>
        <v>0</v>
      </c>
      <c r="AD679" s="142">
        <v>1</v>
      </c>
      <c r="AE679" s="141"/>
      <c r="AF679" s="121" t="s">
        <v>292</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hidden="1"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292</v>
      </c>
      <c r="V680" s="133">
        <f t="shared" si="305"/>
        <v>0</v>
      </c>
      <c r="W680" s="133">
        <f>VLOOKUP(U680,Sheet1!$B$6:$C$45,2,FALSE)*V680</f>
        <v>0</v>
      </c>
      <c r="X680" s="141"/>
      <c r="Y680" s="121" t="s">
        <v>292</v>
      </c>
      <c r="Z680" s="146">
        <f>VLOOKUP(Takeoffs!Y680,Sheet1!$B$6:$C$124,2,FALSE)</f>
        <v>0</v>
      </c>
      <c r="AA680" s="146">
        <f t="shared" si="306"/>
        <v>0</v>
      </c>
      <c r="AB680" s="143">
        <f t="shared" si="307"/>
        <v>0</v>
      </c>
      <c r="AC680" s="133">
        <f t="shared" si="308"/>
        <v>0</v>
      </c>
      <c r="AD680" s="142">
        <v>1</v>
      </c>
      <c r="AE680" s="141"/>
      <c r="AF680" s="152" t="s">
        <v>418</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hidden="1" x14ac:dyDescent="0.8">
      <c r="A681" s="262">
        <f>ROW()</f>
        <v>681</v>
      </c>
      <c r="C681" s="208"/>
      <c r="D681" s="208"/>
      <c r="E681" s="208"/>
      <c r="F681" s="208"/>
      <c r="G681" s="208"/>
      <c r="H681" s="208"/>
      <c r="J681" s="114" t="str">
        <f t="shared" si="312"/>
        <v/>
      </c>
      <c r="K681" s="114" t="str">
        <f>IF(COUNTBLANK(R681)&gt;0,"",CONCATENATE(R681," for ",N668))</f>
        <v/>
      </c>
      <c r="N681" s="123" t="s">
        <v>125</v>
      </c>
      <c r="O681" s="66" t="s">
        <v>312</v>
      </c>
      <c r="P681" s="121"/>
      <c r="Q681" s="66"/>
      <c r="R681" s="121"/>
      <c r="S681" s="133">
        <f>M668</f>
        <v>0</v>
      </c>
      <c r="T681" s="120"/>
      <c r="U681" s="121" t="s">
        <v>232</v>
      </c>
      <c r="V681" s="133">
        <f t="shared" si="305"/>
        <v>0</v>
      </c>
      <c r="W681" s="133">
        <f>VLOOKUP(U681,Sheet1!$B$6:$C$45,2,FALSE)*V681</f>
        <v>0</v>
      </c>
      <c r="X681" s="141"/>
      <c r="Y681" s="122" t="s">
        <v>1344</v>
      </c>
      <c r="Z681" s="146">
        <f>VLOOKUP(Takeoffs!Y681,Sheet1!$B$6:$C$124,2,FALSE)</f>
        <v>109.25999999999999</v>
      </c>
      <c r="AA681" s="146">
        <f t="shared" si="306"/>
        <v>0</v>
      </c>
      <c r="AB681" s="143">
        <f t="shared" si="307"/>
        <v>0</v>
      </c>
      <c r="AC681" s="133">
        <f t="shared" si="308"/>
        <v>0</v>
      </c>
      <c r="AD681" s="142">
        <v>1</v>
      </c>
      <c r="AE681" s="141"/>
      <c r="AF681" s="121" t="s">
        <v>292</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hidden="1"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345</v>
      </c>
      <c r="P682" s="121" t="s">
        <v>380</v>
      </c>
      <c r="Q682" s="66" t="s">
        <v>384</v>
      </c>
      <c r="R682" s="121"/>
      <c r="S682" s="133">
        <f>M668</f>
        <v>0</v>
      </c>
      <c r="T682" s="120"/>
      <c r="U682" s="121" t="s">
        <v>292</v>
      </c>
      <c r="V682" s="133">
        <f t="shared" si="305"/>
        <v>0</v>
      </c>
      <c r="W682" s="133">
        <f>VLOOKUP(U682,Sheet1!$B$6:$C$45,2,FALSE)*V682</f>
        <v>0</v>
      </c>
      <c r="X682" s="141"/>
      <c r="Y682" s="122" t="s">
        <v>326</v>
      </c>
      <c r="Z682" s="146">
        <f>VLOOKUP(Takeoffs!Y682,Sheet1!$B$6:$C$124,2,FALSE)</f>
        <v>29.04</v>
      </c>
      <c r="AA682" s="146">
        <f t="shared" si="306"/>
        <v>0</v>
      </c>
      <c r="AB682" s="143">
        <f t="shared" si="307"/>
        <v>0</v>
      </c>
      <c r="AC682" s="133">
        <f t="shared" si="308"/>
        <v>0</v>
      </c>
      <c r="AD682" s="142">
        <v>1</v>
      </c>
      <c r="AE682" s="141"/>
      <c r="AF682" s="121" t="s">
        <v>292</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hidden="1"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337</v>
      </c>
      <c r="P683" s="121"/>
      <c r="Q683" s="66"/>
      <c r="R683" s="121" t="s">
        <v>331</v>
      </c>
      <c r="S683" s="133">
        <f>M668</f>
        <v>0</v>
      </c>
      <c r="T683" s="120"/>
      <c r="U683" s="121" t="s">
        <v>292</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292</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hidden="1" x14ac:dyDescent="0.8">
      <c r="A684" s="262">
        <f>ROW()</f>
        <v>684</v>
      </c>
      <c r="C684" s="208"/>
      <c r="D684" s="208"/>
      <c r="E684" s="208"/>
      <c r="F684" s="208"/>
      <c r="G684" s="208"/>
      <c r="H684" s="208"/>
      <c r="J684" s="114" t="str">
        <f t="shared" si="312"/>
        <v/>
      </c>
      <c r="K684" s="114" t="str">
        <f>IF(COUNTBLANK(R684)&gt;0,"",CONCATENATE(R684," for ",N668))</f>
        <v/>
      </c>
      <c r="N684" s="123" t="s">
        <v>128</v>
      </c>
      <c r="O684" s="66" t="s">
        <v>499</v>
      </c>
      <c r="P684" s="121"/>
      <c r="Q684" s="66"/>
      <c r="R684" s="121"/>
      <c r="S684" s="133">
        <f>M668</f>
        <v>0</v>
      </c>
      <c r="T684" s="120"/>
      <c r="U684" s="121" t="s">
        <v>292</v>
      </c>
      <c r="V684" s="133">
        <f t="shared" si="305"/>
        <v>0</v>
      </c>
      <c r="W684" s="133">
        <f>VLOOKUP(U684,Sheet1!$B$6:$C$45,2,FALSE)*V684</f>
        <v>0</v>
      </c>
      <c r="X684" s="141"/>
      <c r="Y684" s="135" t="s">
        <v>422</v>
      </c>
      <c r="Z684" s="146">
        <f>VLOOKUP(Takeoffs!Y684,Sheet1!$B$6:$C$124,2,FALSE)</f>
        <v>23.4</v>
      </c>
      <c r="AA684" s="146">
        <f t="shared" si="306"/>
        <v>0</v>
      </c>
      <c r="AB684" s="143">
        <f t="shared" si="307"/>
        <v>0</v>
      </c>
      <c r="AC684" s="133">
        <f t="shared" si="308"/>
        <v>0</v>
      </c>
      <c r="AD684" s="142">
        <v>1</v>
      </c>
      <c r="AE684" s="141"/>
      <c r="AF684" s="121" t="s">
        <v>292</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hidden="1"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329</v>
      </c>
      <c r="P685" s="121"/>
      <c r="Q685" s="66"/>
      <c r="R685" s="121" t="s">
        <v>304</v>
      </c>
      <c r="S685" s="133">
        <f>M668</f>
        <v>0</v>
      </c>
      <c r="T685" s="120"/>
      <c r="U685" s="121" t="s">
        <v>292</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292</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hidden="1" x14ac:dyDescent="0.8">
      <c r="A686" s="262">
        <f>ROW()</f>
        <v>686</v>
      </c>
      <c r="C686" s="208"/>
      <c r="D686" s="208"/>
      <c r="E686" s="208"/>
      <c r="F686" s="208"/>
      <c r="G686" s="208"/>
      <c r="H686" s="208"/>
      <c r="J686" s="114" t="str">
        <f t="shared" si="312"/>
        <v/>
      </c>
      <c r="K686" s="114" t="str">
        <f>IF(COUNTBLANK(R686)&gt;0,"",CONCATENATE(R686," for ",N668))</f>
        <v/>
      </c>
      <c r="N686" s="123" t="s">
        <v>130</v>
      </c>
      <c r="O686" s="66" t="s">
        <v>660</v>
      </c>
      <c r="P686" s="121"/>
      <c r="Q686" s="66"/>
      <c r="R686" s="121"/>
      <c r="S686" s="133">
        <f>M668</f>
        <v>0</v>
      </c>
      <c r="T686" s="120"/>
      <c r="U686" s="121" t="s">
        <v>292</v>
      </c>
      <c r="V686" s="133">
        <f t="shared" si="305"/>
        <v>0</v>
      </c>
      <c r="W686" s="133">
        <f>VLOOKUP(U686,Sheet1!$B$6:$C$45,2,FALSE)*V686</f>
        <v>0</v>
      </c>
      <c r="X686" s="141"/>
      <c r="Y686" s="135" t="s">
        <v>422</v>
      </c>
      <c r="Z686" s="146">
        <f>VLOOKUP(Takeoffs!Y686,Sheet1!$B$6:$C$124,2,FALSE)</f>
        <v>23.4</v>
      </c>
      <c r="AA686" s="146">
        <f t="shared" si="306"/>
        <v>0</v>
      </c>
      <c r="AB686" s="143">
        <f t="shared" si="307"/>
        <v>0</v>
      </c>
      <c r="AC686" s="133">
        <f t="shared" si="308"/>
        <v>0</v>
      </c>
      <c r="AD686" s="142">
        <v>1</v>
      </c>
      <c r="AE686" s="141"/>
      <c r="AF686" s="121" t="s">
        <v>292</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hidden="1" x14ac:dyDescent="0.8">
      <c r="A687" s="262">
        <f>ROW()</f>
        <v>687</v>
      </c>
      <c r="C687" s="208"/>
      <c r="D687" s="208"/>
      <c r="E687" s="208"/>
      <c r="F687" s="208"/>
      <c r="G687" s="208"/>
      <c r="H687" s="208"/>
      <c r="J687" s="114" t="str">
        <f t="shared" si="312"/>
        <v/>
      </c>
      <c r="K687" s="114" t="str">
        <f>IF(COUNTBLANK(R687)&gt;0,"",CONCATENATE(R687," for ",N668))</f>
        <v/>
      </c>
      <c r="N687" s="123" t="s">
        <v>131</v>
      </c>
      <c r="O687" s="66" t="s">
        <v>407</v>
      </c>
      <c r="P687" s="121"/>
      <c r="Q687" s="66"/>
      <c r="R687" s="121"/>
      <c r="S687" s="133">
        <f>M668</f>
        <v>0</v>
      </c>
      <c r="T687" s="120"/>
      <c r="U687" s="121" t="s">
        <v>292</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292</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hidden="1" x14ac:dyDescent="0.8">
      <c r="A688" s="262">
        <f>ROW()</f>
        <v>688</v>
      </c>
      <c r="C688" s="208"/>
      <c r="D688" s="208"/>
      <c r="E688" s="208"/>
      <c r="F688" s="208"/>
      <c r="G688" s="208"/>
      <c r="H688" s="208"/>
      <c r="J688" s="114" t="str">
        <f t="shared" si="312"/>
        <v/>
      </c>
      <c r="K688" s="114" t="str">
        <f>IF(COUNTBLANK(R688)&gt;0,"",CONCATENATE(R688," for ",N668))</f>
        <v/>
      </c>
      <c r="N688" s="123" t="s">
        <v>132</v>
      </c>
      <c r="O688" s="66" t="s">
        <v>408</v>
      </c>
      <c r="P688" s="121"/>
      <c r="Q688" s="66"/>
      <c r="R688" s="121"/>
      <c r="S688" s="133">
        <f>M668</f>
        <v>0</v>
      </c>
      <c r="T688" s="120"/>
      <c r="U688" s="121" t="s">
        <v>362</v>
      </c>
      <c r="V688" s="133">
        <f t="shared" si="305"/>
        <v>0</v>
      </c>
      <c r="W688" s="133">
        <f>VLOOKUP(U688,Sheet1!$B$6:$C$45,2,FALSE)*V688</f>
        <v>0</v>
      </c>
      <c r="X688" s="141"/>
      <c r="Y688" s="121" t="s">
        <v>292</v>
      </c>
      <c r="Z688" s="146">
        <f>VLOOKUP(Takeoffs!Y688,Sheet1!$B$6:$C$124,2,FALSE)</f>
        <v>0</v>
      </c>
      <c r="AA688" s="146">
        <f t="shared" si="306"/>
        <v>0</v>
      </c>
      <c r="AB688" s="143">
        <f t="shared" si="307"/>
        <v>0</v>
      </c>
      <c r="AC688" s="133">
        <f t="shared" si="308"/>
        <v>0</v>
      </c>
      <c r="AD688" s="142">
        <v>1</v>
      </c>
      <c r="AE688" s="141"/>
      <c r="AF688" s="121" t="s">
        <v>292</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377</v>
      </c>
      <c r="L689" s="128" t="s">
        <v>378</v>
      </c>
      <c r="N689" s="129"/>
      <c r="O689" s="130" t="s">
        <v>357</v>
      </c>
      <c r="P689" s="155">
        <f>V689+AA689+AH689</f>
        <v>0</v>
      </c>
      <c r="Q689" s="155"/>
      <c r="R689" s="131"/>
      <c r="S689" s="130"/>
      <c r="T689" s="127"/>
      <c r="U689" s="126" t="s">
        <v>351</v>
      </c>
      <c r="V689" s="127">
        <f>W689*80</f>
        <v>0</v>
      </c>
      <c r="W689" s="147">
        <f>SUM(W668:W688)</f>
        <v>0</v>
      </c>
      <c r="X689" s="148"/>
      <c r="Y689" s="127" t="s">
        <v>352</v>
      </c>
      <c r="Z689" s="116"/>
      <c r="AA689" s="116">
        <f>SUM(AA668:AA688)</f>
        <v>0</v>
      </c>
      <c r="AB689" s="149"/>
      <c r="AC689" s="149"/>
      <c r="AD689" s="149"/>
      <c r="AE689" s="149"/>
      <c r="AF689" s="127" t="s">
        <v>356</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hidden="1" thickBot="1" x14ac:dyDescent="1.25">
      <c r="A690" s="262">
        <f>ROW()</f>
        <v>690</v>
      </c>
      <c r="B690" s="234" t="s">
        <v>491</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367</v>
      </c>
      <c r="N690" s="160" t="str">
        <f>N668</f>
        <v>DOL fan with interlock with lights an run on timer - from MSSB power supply and timeclock control</v>
      </c>
      <c r="O690" s="185" t="s">
        <v>365</v>
      </c>
      <c r="P690" s="203" t="e">
        <f>P689/M668</f>
        <v>#DIV/0!</v>
      </c>
      <c r="Q690" s="195"/>
      <c r="R690" s="188"/>
      <c r="S690" s="160"/>
      <c r="T690" s="161"/>
      <c r="U690" s="571" t="s">
        <v>366</v>
      </c>
      <c r="V690" s="571"/>
      <c r="W690" s="162" t="e">
        <f>W689/M668</f>
        <v>#DIV/0!</v>
      </c>
      <c r="X690" s="163"/>
      <c r="Y690" s="570" t="s">
        <v>365</v>
      </c>
      <c r="Z690" s="570"/>
      <c r="AA690" s="164" t="e">
        <f>AA689/M668</f>
        <v>#DIV/0!</v>
      </c>
      <c r="AB690" s="161"/>
      <c r="AC690" s="161"/>
      <c r="AD690" s="161"/>
      <c r="AE690" s="161"/>
      <c r="AF690" s="570" t="s">
        <v>365</v>
      </c>
      <c r="AG690" s="570"/>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452</v>
      </c>
      <c r="M691" s="116" t="s">
        <v>107</v>
      </c>
      <c r="N691" s="116" t="s">
        <v>108</v>
      </c>
      <c r="O691" s="170" t="s">
        <v>386</v>
      </c>
      <c r="P691" s="572" t="s">
        <v>375</v>
      </c>
      <c r="Q691" s="572"/>
      <c r="R691" s="101" t="s">
        <v>452</v>
      </c>
      <c r="S691" s="116" t="s">
        <v>0</v>
      </c>
      <c r="T691" s="118"/>
      <c r="U691" s="116" t="s">
        <v>287</v>
      </c>
      <c r="V691" s="116" t="s">
        <v>288</v>
      </c>
      <c r="W691" s="116" t="s">
        <v>291</v>
      </c>
      <c r="X691" s="140"/>
      <c r="Y691" s="116" t="s">
        <v>289</v>
      </c>
      <c r="Z691" s="116" t="s">
        <v>354</v>
      </c>
      <c r="AA691" s="116" t="s">
        <v>355</v>
      </c>
      <c r="AB691" s="116" t="s">
        <v>317</v>
      </c>
      <c r="AC691" s="116" t="s">
        <v>318</v>
      </c>
      <c r="AD691" s="116" t="s">
        <v>316</v>
      </c>
      <c r="AE691" s="140"/>
      <c r="AF691" s="116" t="s">
        <v>293</v>
      </c>
      <c r="AG691" s="116" t="s">
        <v>354</v>
      </c>
      <c r="AH691" s="116" t="s">
        <v>355</v>
      </c>
      <c r="AI691" s="116" t="s">
        <v>296</v>
      </c>
      <c r="AJ691" s="116" t="s">
        <v>294</v>
      </c>
      <c r="AK691" s="116" t="s">
        <v>295</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686</v>
      </c>
      <c r="O692" s="121" t="s">
        <v>488</v>
      </c>
      <c r="P692" s="169" t="s">
        <v>379</v>
      </c>
      <c r="Q692" s="169" t="s">
        <v>375</v>
      </c>
      <c r="R692" s="169"/>
      <c r="S692" s="133">
        <f>M692</f>
        <v>0</v>
      </c>
      <c r="T692" s="119"/>
      <c r="U692" s="121" t="s">
        <v>292</v>
      </c>
      <c r="V692" s="133">
        <f>S692</f>
        <v>0</v>
      </c>
      <c r="W692" s="133">
        <f>VLOOKUP(U692,Sheet1!$B$6:$C$45,2,FALSE)*V692</f>
        <v>0</v>
      </c>
      <c r="X692" s="141"/>
      <c r="Y692" s="121" t="s">
        <v>292</v>
      </c>
      <c r="Z692" s="146">
        <f>VLOOKUP(Takeoffs!Y692,Sheet1!$B$6:$C$124,2,FALSE)</f>
        <v>0</v>
      </c>
      <c r="AA692" s="146">
        <f>Z692*AB692</f>
        <v>0</v>
      </c>
      <c r="AB692" s="143">
        <f>AD692*AC692</f>
        <v>0</v>
      </c>
      <c r="AC692" s="133">
        <f>S692</f>
        <v>0</v>
      </c>
      <c r="AD692" s="142">
        <v>1</v>
      </c>
      <c r="AE692" s="141"/>
      <c r="AF692" s="121" t="s">
        <v>292</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hidden="1"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340</v>
      </c>
      <c r="P693" s="121"/>
      <c r="Q693" s="66"/>
      <c r="R693" s="121"/>
      <c r="S693" s="133">
        <f>M692</f>
        <v>0</v>
      </c>
      <c r="T693" s="120"/>
      <c r="U693" s="121" t="s">
        <v>292</v>
      </c>
      <c r="V693" s="133">
        <f t="shared" ref="V693:V712" si="314">S693</f>
        <v>0</v>
      </c>
      <c r="W693" s="133">
        <f>VLOOKUP(U693,Sheet1!$B$6:$C$45,2,FALSE)*V693</f>
        <v>0</v>
      </c>
      <c r="X693" s="141"/>
      <c r="Y693" s="121" t="s">
        <v>292</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292</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hidden="1"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308</v>
      </c>
      <c r="P694" s="121"/>
      <c r="Q694" s="66"/>
      <c r="R694" s="121"/>
      <c r="S694" s="133">
        <f>M692</f>
        <v>0</v>
      </c>
      <c r="T694" s="120"/>
      <c r="U694" s="121" t="s">
        <v>292</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hidden="1"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489</v>
      </c>
      <c r="P695" s="121"/>
      <c r="Q695" s="66"/>
      <c r="R695" s="121"/>
      <c r="S695" s="133">
        <f>M692</f>
        <v>0</v>
      </c>
      <c r="T695" s="120"/>
      <c r="U695" s="117" t="s">
        <v>478</v>
      </c>
      <c r="V695" s="133">
        <f t="shared" si="314"/>
        <v>0</v>
      </c>
      <c r="W695" s="133">
        <f>VLOOKUP(U695,Sheet1!$B$6:$C$45,2,FALSE)*V695</f>
        <v>0</v>
      </c>
      <c r="X695" s="141"/>
      <c r="Y695" s="121" t="s">
        <v>292</v>
      </c>
      <c r="Z695" s="146">
        <f>VLOOKUP(Takeoffs!Y695,Sheet1!$B$6:$C$124,2,FALSE)</f>
        <v>0</v>
      </c>
      <c r="AA695" s="146">
        <f t="shared" si="315"/>
        <v>0</v>
      </c>
      <c r="AB695" s="143">
        <f t="shared" si="316"/>
        <v>0</v>
      </c>
      <c r="AC695" s="133">
        <f t="shared" si="317"/>
        <v>0</v>
      </c>
      <c r="AD695" s="142">
        <v>1</v>
      </c>
      <c r="AE695" s="141"/>
      <c r="AF695" s="121" t="s">
        <v>292</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hidden="1"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292</v>
      </c>
      <c r="Z696" s="146">
        <f>VLOOKUP(Takeoffs!Y696,Sheet1!$B$6:$C$124,2,FALSE)</f>
        <v>0</v>
      </c>
      <c r="AA696" s="146">
        <f t="shared" si="315"/>
        <v>0</v>
      </c>
      <c r="AB696" s="143">
        <f t="shared" si="316"/>
        <v>0</v>
      </c>
      <c r="AC696" s="133">
        <f t="shared" si="317"/>
        <v>0</v>
      </c>
      <c r="AD696" s="142">
        <v>1</v>
      </c>
      <c r="AE696" s="141"/>
      <c r="AF696" s="121" t="s">
        <v>292</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hidden="1"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292</v>
      </c>
      <c r="V697" s="133">
        <f t="shared" si="314"/>
        <v>0</v>
      </c>
      <c r="W697" s="133">
        <f>VLOOKUP(U697,Sheet1!$B$6:$C$45,2,FALSE)*V697</f>
        <v>0</v>
      </c>
      <c r="X697" s="141"/>
      <c r="Y697" s="121" t="s">
        <v>292</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hidden="1"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406</v>
      </c>
      <c r="P698" s="121"/>
      <c r="Q698" s="66"/>
      <c r="R698" s="121"/>
      <c r="S698" s="133">
        <f>M692</f>
        <v>0</v>
      </c>
      <c r="T698" s="120"/>
      <c r="U698" s="121" t="s">
        <v>292</v>
      </c>
      <c r="V698" s="133">
        <f t="shared" si="314"/>
        <v>0</v>
      </c>
      <c r="W698" s="133">
        <f>VLOOKUP(U698,Sheet1!$B$6:$C$45,2,FALSE)*V698</f>
        <v>0</v>
      </c>
      <c r="X698" s="141"/>
      <c r="Y698" s="121" t="s">
        <v>292</v>
      </c>
      <c r="Z698" s="146">
        <f>VLOOKUP(Takeoffs!Y698,Sheet1!$B$6:$C$124,2,FALSE)</f>
        <v>0</v>
      </c>
      <c r="AA698" s="146">
        <f t="shared" si="315"/>
        <v>0</v>
      </c>
      <c r="AB698" s="143">
        <f t="shared" si="316"/>
        <v>0</v>
      </c>
      <c r="AC698" s="133">
        <f t="shared" si="317"/>
        <v>0</v>
      </c>
      <c r="AD698" s="142">
        <v>1</v>
      </c>
      <c r="AE698" s="141"/>
      <c r="AF698" s="121" t="s">
        <v>292</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hidden="1"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292</v>
      </c>
      <c r="V699" s="133">
        <f t="shared" si="314"/>
        <v>0</v>
      </c>
      <c r="W699" s="133">
        <f>VLOOKUP(U699,Sheet1!$B$6:$C$45,2,FALSE)*V699</f>
        <v>0</v>
      </c>
      <c r="X699" s="141"/>
      <c r="Y699" s="121" t="s">
        <v>292</v>
      </c>
      <c r="Z699" s="146">
        <f>VLOOKUP(Takeoffs!Y699,Sheet1!$B$6:$C$124,2,FALSE)</f>
        <v>0</v>
      </c>
      <c r="AA699" s="146">
        <f t="shared" si="315"/>
        <v>0</v>
      </c>
      <c r="AB699" s="143">
        <f t="shared" si="316"/>
        <v>0</v>
      </c>
      <c r="AC699" s="133">
        <f t="shared" si="317"/>
        <v>0</v>
      </c>
      <c r="AD699" s="142">
        <v>1</v>
      </c>
      <c r="AE699" s="141"/>
      <c r="AF699" s="121" t="s">
        <v>292</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hidden="1" x14ac:dyDescent="0.8">
      <c r="A700" s="262">
        <f>ROW()</f>
        <v>700</v>
      </c>
      <c r="C700" s="208"/>
      <c r="D700" s="208"/>
      <c r="E700" s="208"/>
      <c r="F700" s="208"/>
      <c r="G700" s="208"/>
      <c r="H700" s="208"/>
      <c r="J700" s="114" t="str">
        <f t="shared" si="321"/>
        <v/>
      </c>
      <c r="K700" s="114" t="str">
        <f>IF(COUNTBLANK(R700)&gt;0,"",CONCATENATE(R700," for ",N692))</f>
        <v/>
      </c>
      <c r="N700" s="123" t="s">
        <v>120</v>
      </c>
      <c r="O700" s="66" t="s">
        <v>328</v>
      </c>
      <c r="P700" s="121"/>
      <c r="Q700" s="66"/>
      <c r="R700" s="121"/>
      <c r="S700" s="133">
        <f>M692</f>
        <v>0</v>
      </c>
      <c r="T700" s="120"/>
      <c r="U700" s="121" t="s">
        <v>364</v>
      </c>
      <c r="V700" s="133">
        <f t="shared" si="314"/>
        <v>0</v>
      </c>
      <c r="W700" s="133">
        <f>VLOOKUP(U700,Sheet1!$B$6:$C$45,2,FALSE)*V700</f>
        <v>0</v>
      </c>
      <c r="X700" s="141"/>
      <c r="Y700" s="121" t="s">
        <v>292</v>
      </c>
      <c r="Z700" s="146">
        <f>VLOOKUP(Takeoffs!Y700,Sheet1!$B$6:$C$124,2,FALSE)</f>
        <v>0</v>
      </c>
      <c r="AA700" s="146">
        <f t="shared" si="315"/>
        <v>0</v>
      </c>
      <c r="AB700" s="143">
        <f t="shared" si="316"/>
        <v>0</v>
      </c>
      <c r="AC700" s="133">
        <f t="shared" si="317"/>
        <v>0</v>
      </c>
      <c r="AD700" s="142">
        <v>1</v>
      </c>
      <c r="AE700" s="141"/>
      <c r="AF700" s="121" t="s">
        <v>292</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hidden="1"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292</v>
      </c>
      <c r="V701" s="133">
        <f t="shared" si="314"/>
        <v>0</v>
      </c>
      <c r="W701" s="133">
        <f>VLOOKUP(U701,Sheet1!$B$6:$C$45,2,FALSE)*V701</f>
        <v>0</v>
      </c>
      <c r="X701" s="141"/>
      <c r="Y701" s="121" t="s">
        <v>292</v>
      </c>
      <c r="Z701" s="146">
        <f>VLOOKUP(Takeoffs!Y701,Sheet1!$B$6:$C$124,2,FALSE)</f>
        <v>0</v>
      </c>
      <c r="AA701" s="146">
        <f t="shared" si="315"/>
        <v>0</v>
      </c>
      <c r="AB701" s="143">
        <f t="shared" si="316"/>
        <v>0</v>
      </c>
      <c r="AC701" s="133">
        <f t="shared" si="317"/>
        <v>0</v>
      </c>
      <c r="AD701" s="142">
        <v>1</v>
      </c>
      <c r="AE701" s="141"/>
      <c r="AF701" s="121" t="s">
        <v>292</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hidden="1"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292</v>
      </c>
      <c r="V702" s="133">
        <f t="shared" si="314"/>
        <v>0</v>
      </c>
      <c r="W702" s="133">
        <f>VLOOKUP(U702,Sheet1!$B$6:$C$45,2,FALSE)*V702</f>
        <v>0</v>
      </c>
      <c r="X702" s="141"/>
      <c r="Y702" s="121" t="s">
        <v>292</v>
      </c>
      <c r="Z702" s="146">
        <f>VLOOKUP(Takeoffs!Y702,Sheet1!$B$6:$C$124,2,FALSE)</f>
        <v>0</v>
      </c>
      <c r="AA702" s="146">
        <f t="shared" si="315"/>
        <v>0</v>
      </c>
      <c r="AB702" s="143">
        <f t="shared" si="316"/>
        <v>0</v>
      </c>
      <c r="AC702" s="133">
        <f t="shared" si="317"/>
        <v>0</v>
      </c>
      <c r="AD702" s="142">
        <v>1</v>
      </c>
      <c r="AE702" s="141"/>
      <c r="AF702" s="121" t="s">
        <v>292</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hidden="1" x14ac:dyDescent="0.8">
      <c r="A703" s="262">
        <f>ROW()</f>
        <v>703</v>
      </c>
      <c r="C703" s="208"/>
      <c r="D703" s="208"/>
      <c r="E703" s="208"/>
      <c r="F703" s="208"/>
      <c r="G703" s="208"/>
      <c r="H703" s="208"/>
      <c r="J703" s="114" t="str">
        <f t="shared" si="321"/>
        <v/>
      </c>
      <c r="K703" s="114" t="str">
        <f>IF(COUNTBLANK(R703)&gt;0,"",CONCATENATE(R703," for ",N692))</f>
        <v/>
      </c>
      <c r="N703" s="123" t="s">
        <v>123</v>
      </c>
      <c r="O703" s="66" t="s">
        <v>589</v>
      </c>
      <c r="P703" s="121"/>
      <c r="Q703" s="66"/>
      <c r="R703" s="121"/>
      <c r="S703" s="133">
        <f>M692</f>
        <v>0</v>
      </c>
      <c r="T703" s="120"/>
      <c r="U703" s="121" t="s">
        <v>292</v>
      </c>
      <c r="V703" s="133">
        <f t="shared" si="314"/>
        <v>0</v>
      </c>
      <c r="W703" s="133">
        <f>VLOOKUP(U703,Sheet1!$B$6:$C$45,2,FALSE)*V703</f>
        <v>0</v>
      </c>
      <c r="X703" s="141"/>
      <c r="Y703" s="135" t="s">
        <v>588</v>
      </c>
      <c r="Z703" s="146">
        <f>VLOOKUP(Takeoffs!Y703,Sheet1!$B$6:$C$124,2,FALSE)</f>
        <v>96</v>
      </c>
      <c r="AA703" s="146">
        <f t="shared" si="315"/>
        <v>0</v>
      </c>
      <c r="AB703" s="143">
        <f t="shared" si="316"/>
        <v>0</v>
      </c>
      <c r="AC703" s="133">
        <f t="shared" si="317"/>
        <v>0</v>
      </c>
      <c r="AD703" s="142">
        <v>1</v>
      </c>
      <c r="AE703" s="141"/>
      <c r="AF703" s="121" t="s">
        <v>292</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hidden="1"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292</v>
      </c>
      <c r="V704" s="133">
        <f t="shared" si="314"/>
        <v>0</v>
      </c>
      <c r="W704" s="133">
        <f>VLOOKUP(U704,Sheet1!$B$6:$C$45,2,FALSE)*V704</f>
        <v>0</v>
      </c>
      <c r="X704" s="141"/>
      <c r="Y704" s="121" t="s">
        <v>292</v>
      </c>
      <c r="Z704" s="146">
        <f>VLOOKUP(Takeoffs!Y704,Sheet1!$B$6:$C$124,2,FALSE)</f>
        <v>0</v>
      </c>
      <c r="AA704" s="146">
        <f t="shared" si="315"/>
        <v>0</v>
      </c>
      <c r="AB704" s="143">
        <f t="shared" si="316"/>
        <v>0</v>
      </c>
      <c r="AC704" s="133">
        <f t="shared" si="317"/>
        <v>0</v>
      </c>
      <c r="AD704" s="142">
        <v>1</v>
      </c>
      <c r="AE704" s="141"/>
      <c r="AF704" s="152" t="s">
        <v>418</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hidden="1" x14ac:dyDescent="0.8">
      <c r="A705" s="262">
        <f>ROW()</f>
        <v>705</v>
      </c>
      <c r="C705" s="208"/>
      <c r="D705" s="208"/>
      <c r="E705" s="208"/>
      <c r="F705" s="208"/>
      <c r="G705" s="208"/>
      <c r="H705" s="208"/>
      <c r="J705" s="114" t="str">
        <f t="shared" si="321"/>
        <v/>
      </c>
      <c r="K705" s="114" t="str">
        <f>IF(COUNTBLANK(R705)&gt;0,"",CONCATENATE(R705," for ",N692))</f>
        <v/>
      </c>
      <c r="N705" s="123" t="s">
        <v>125</v>
      </c>
      <c r="O705" s="66" t="s">
        <v>312</v>
      </c>
      <c r="P705" s="121"/>
      <c r="Q705" s="66"/>
      <c r="R705" s="121"/>
      <c r="S705" s="133">
        <f>M692</f>
        <v>0</v>
      </c>
      <c r="T705" s="120"/>
      <c r="U705" s="121" t="s">
        <v>232</v>
      </c>
      <c r="V705" s="133">
        <f t="shared" si="314"/>
        <v>0</v>
      </c>
      <c r="W705" s="133">
        <f>VLOOKUP(U705,Sheet1!$B$6:$C$45,2,FALSE)*V705</f>
        <v>0</v>
      </c>
      <c r="X705" s="141"/>
      <c r="Y705" s="122" t="s">
        <v>1344</v>
      </c>
      <c r="Z705" s="146">
        <f>VLOOKUP(Takeoffs!Y705,Sheet1!$B$6:$C$124,2,FALSE)</f>
        <v>109.25999999999999</v>
      </c>
      <c r="AA705" s="146">
        <f t="shared" si="315"/>
        <v>0</v>
      </c>
      <c r="AB705" s="143">
        <f t="shared" si="316"/>
        <v>0</v>
      </c>
      <c r="AC705" s="133">
        <f t="shared" si="317"/>
        <v>0</v>
      </c>
      <c r="AD705" s="142">
        <v>1</v>
      </c>
      <c r="AE705" s="141"/>
      <c r="AF705" s="121" t="s">
        <v>292</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hidden="1"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345</v>
      </c>
      <c r="P706" s="121" t="s">
        <v>380</v>
      </c>
      <c r="Q706" s="66" t="s">
        <v>384</v>
      </c>
      <c r="R706" s="121"/>
      <c r="S706" s="133">
        <f>M692</f>
        <v>0</v>
      </c>
      <c r="T706" s="120"/>
      <c r="U706" s="121" t="s">
        <v>292</v>
      </c>
      <c r="V706" s="133">
        <f t="shared" si="314"/>
        <v>0</v>
      </c>
      <c r="W706" s="133">
        <f>VLOOKUP(U706,Sheet1!$B$6:$C$45,2,FALSE)*V706</f>
        <v>0</v>
      </c>
      <c r="X706" s="141"/>
      <c r="Y706" s="122" t="s">
        <v>326</v>
      </c>
      <c r="Z706" s="146">
        <f>VLOOKUP(Takeoffs!Y706,Sheet1!$B$6:$C$124,2,FALSE)</f>
        <v>29.04</v>
      </c>
      <c r="AA706" s="146">
        <f t="shared" si="315"/>
        <v>0</v>
      </c>
      <c r="AB706" s="143">
        <f t="shared" si="316"/>
        <v>0</v>
      </c>
      <c r="AC706" s="133">
        <f t="shared" si="317"/>
        <v>0</v>
      </c>
      <c r="AD706" s="142">
        <v>1</v>
      </c>
      <c r="AE706" s="141"/>
      <c r="AF706" s="121" t="s">
        <v>292</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hidden="1"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337</v>
      </c>
      <c r="P707" s="121"/>
      <c r="Q707" s="66"/>
      <c r="R707" s="121" t="s">
        <v>331</v>
      </c>
      <c r="S707" s="133">
        <f>M692</f>
        <v>0</v>
      </c>
      <c r="T707" s="120"/>
      <c r="U707" s="121" t="s">
        <v>292</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292</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hidden="1" x14ac:dyDescent="0.8">
      <c r="A708" s="262">
        <f>ROW()</f>
        <v>708</v>
      </c>
      <c r="C708" s="208"/>
      <c r="D708" s="208"/>
      <c r="E708" s="208"/>
      <c r="F708" s="208"/>
      <c r="G708" s="208"/>
      <c r="H708" s="208"/>
      <c r="J708" s="114" t="str">
        <f t="shared" si="321"/>
        <v/>
      </c>
      <c r="K708" s="114" t="str">
        <f>IF(COUNTBLANK(R708)&gt;0,"",CONCATENATE(R708," for ",N692))</f>
        <v/>
      </c>
      <c r="N708" s="123" t="s">
        <v>128</v>
      </c>
      <c r="O708" s="66" t="s">
        <v>499</v>
      </c>
      <c r="P708" s="121"/>
      <c r="Q708" s="66"/>
      <c r="R708" s="121"/>
      <c r="S708" s="133">
        <f>M692</f>
        <v>0</v>
      </c>
      <c r="T708" s="120"/>
      <c r="U708" s="121" t="s">
        <v>292</v>
      </c>
      <c r="V708" s="133">
        <f t="shared" si="314"/>
        <v>0</v>
      </c>
      <c r="W708" s="133">
        <f>VLOOKUP(U708,Sheet1!$B$6:$C$45,2,FALSE)*V708</f>
        <v>0</v>
      </c>
      <c r="X708" s="141"/>
      <c r="Y708" s="135" t="s">
        <v>422</v>
      </c>
      <c r="Z708" s="146">
        <f>VLOOKUP(Takeoffs!Y708,Sheet1!$B$6:$C$124,2,FALSE)</f>
        <v>23.4</v>
      </c>
      <c r="AA708" s="146">
        <f t="shared" si="315"/>
        <v>0</v>
      </c>
      <c r="AB708" s="143">
        <f t="shared" si="316"/>
        <v>0</v>
      </c>
      <c r="AC708" s="133">
        <f t="shared" si="317"/>
        <v>0</v>
      </c>
      <c r="AD708" s="142">
        <v>1</v>
      </c>
      <c r="AE708" s="141"/>
      <c r="AF708" s="121" t="s">
        <v>292</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hidden="1"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329</v>
      </c>
      <c r="P709" s="121"/>
      <c r="Q709" s="66"/>
      <c r="R709" s="121" t="s">
        <v>304</v>
      </c>
      <c r="S709" s="133">
        <f>M692</f>
        <v>0</v>
      </c>
      <c r="T709" s="120"/>
      <c r="U709" s="121" t="s">
        <v>292</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292</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hidden="1"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292</v>
      </c>
      <c r="V710" s="133">
        <f t="shared" si="314"/>
        <v>0</v>
      </c>
      <c r="W710" s="133">
        <f>VLOOKUP(U710,Sheet1!$B$6:$C$45,2,FALSE)*V710</f>
        <v>0</v>
      </c>
      <c r="X710" s="141"/>
      <c r="Y710" s="121" t="s">
        <v>292</v>
      </c>
      <c r="Z710" s="146">
        <f>VLOOKUP(Takeoffs!Y710,Sheet1!$B$6:$C$124,2,FALSE)</f>
        <v>0</v>
      </c>
      <c r="AA710" s="146">
        <f t="shared" si="315"/>
        <v>0</v>
      </c>
      <c r="AB710" s="143">
        <f t="shared" si="316"/>
        <v>0</v>
      </c>
      <c r="AC710" s="133">
        <f t="shared" si="317"/>
        <v>0</v>
      </c>
      <c r="AD710" s="142">
        <v>1</v>
      </c>
      <c r="AE710" s="141"/>
      <c r="AF710" s="121" t="s">
        <v>292</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hidden="1" x14ac:dyDescent="0.8">
      <c r="A711" s="262">
        <f>ROW()</f>
        <v>711</v>
      </c>
      <c r="C711" s="208"/>
      <c r="D711" s="208"/>
      <c r="E711" s="208"/>
      <c r="F711" s="208"/>
      <c r="G711" s="208"/>
      <c r="H711" s="208"/>
      <c r="J711" s="114" t="str">
        <f t="shared" si="321"/>
        <v/>
      </c>
      <c r="K711" s="114" t="str">
        <f>IF(COUNTBLANK(R711)&gt;0,"",CONCATENATE(R711," for ",N692))</f>
        <v/>
      </c>
      <c r="N711" s="123" t="s">
        <v>131</v>
      </c>
      <c r="O711" s="66" t="s">
        <v>407</v>
      </c>
      <c r="P711" s="121"/>
      <c r="Q711" s="66"/>
      <c r="R711" s="121"/>
      <c r="S711" s="133">
        <f>M692</f>
        <v>0</v>
      </c>
      <c r="T711" s="120"/>
      <c r="U711" s="121" t="s">
        <v>292</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292</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hidden="1" x14ac:dyDescent="0.8">
      <c r="A712" s="262">
        <f>ROW()</f>
        <v>712</v>
      </c>
      <c r="C712" s="208"/>
      <c r="D712" s="208"/>
      <c r="E712" s="208"/>
      <c r="F712" s="208"/>
      <c r="G712" s="208"/>
      <c r="H712" s="208"/>
      <c r="J712" s="114" t="str">
        <f t="shared" si="321"/>
        <v/>
      </c>
      <c r="K712" s="114" t="str">
        <f>IF(COUNTBLANK(R712)&gt;0,"",CONCATENATE(R712," for ",N692))</f>
        <v/>
      </c>
      <c r="N712" s="123" t="s">
        <v>132</v>
      </c>
      <c r="O712" s="66" t="s">
        <v>408</v>
      </c>
      <c r="P712" s="121"/>
      <c r="Q712" s="66"/>
      <c r="R712" s="121"/>
      <c r="S712" s="133">
        <f>M692</f>
        <v>0</v>
      </c>
      <c r="T712" s="120"/>
      <c r="U712" s="121" t="s">
        <v>362</v>
      </c>
      <c r="V712" s="133">
        <f t="shared" si="314"/>
        <v>0</v>
      </c>
      <c r="W712" s="133">
        <f>VLOOKUP(U712,Sheet1!$B$6:$C$45,2,FALSE)*V712</f>
        <v>0</v>
      </c>
      <c r="X712" s="141"/>
      <c r="Y712" s="121" t="s">
        <v>292</v>
      </c>
      <c r="Z712" s="146">
        <f>VLOOKUP(Takeoffs!Y712,Sheet1!$B$6:$C$124,2,FALSE)</f>
        <v>0</v>
      </c>
      <c r="AA712" s="146">
        <f t="shared" si="315"/>
        <v>0</v>
      </c>
      <c r="AB712" s="143">
        <f t="shared" si="316"/>
        <v>0</v>
      </c>
      <c r="AC712" s="133">
        <f t="shared" si="317"/>
        <v>0</v>
      </c>
      <c r="AD712" s="142">
        <v>1</v>
      </c>
      <c r="AE712" s="141"/>
      <c r="AF712" s="121" t="s">
        <v>292</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377</v>
      </c>
      <c r="L713" s="128" t="s">
        <v>378</v>
      </c>
      <c r="N713" s="129"/>
      <c r="O713" s="130" t="s">
        <v>357</v>
      </c>
      <c r="P713" s="155">
        <f>V713+AA713+AH713</f>
        <v>0</v>
      </c>
      <c r="Q713" s="155"/>
      <c r="R713" s="131"/>
      <c r="S713" s="130"/>
      <c r="T713" s="127"/>
      <c r="U713" s="126" t="s">
        <v>351</v>
      </c>
      <c r="V713" s="127">
        <f>W713*80</f>
        <v>0</v>
      </c>
      <c r="W713" s="147">
        <f>SUM(W692:W712)</f>
        <v>0</v>
      </c>
      <c r="X713" s="148"/>
      <c r="Y713" s="127" t="s">
        <v>352</v>
      </c>
      <c r="Z713" s="116"/>
      <c r="AA713" s="116">
        <f>SUM(AA692:AA712)</f>
        <v>0</v>
      </c>
      <c r="AB713" s="149"/>
      <c r="AC713" s="149"/>
      <c r="AD713" s="149"/>
      <c r="AE713" s="149"/>
      <c r="AF713" s="127" t="s">
        <v>356</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hidden="1" thickBot="1" x14ac:dyDescent="1.25">
      <c r="A714" s="262">
        <f>ROW()</f>
        <v>714</v>
      </c>
      <c r="B714" s="234" t="s">
        <v>491</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367</v>
      </c>
      <c r="N714" s="160" t="str">
        <f>N692</f>
        <v>DOL timeclock controlled fan with fire shutdown - from MSSB power supply and</v>
      </c>
      <c r="O714" s="185" t="s">
        <v>365</v>
      </c>
      <c r="P714" s="203" t="e">
        <f>P713/M692</f>
        <v>#DIV/0!</v>
      </c>
      <c r="Q714" s="195"/>
      <c r="R714" s="188"/>
      <c r="S714" s="160"/>
      <c r="T714" s="161"/>
      <c r="U714" s="571" t="s">
        <v>366</v>
      </c>
      <c r="V714" s="571"/>
      <c r="W714" s="162" t="e">
        <f>W713/M692</f>
        <v>#DIV/0!</v>
      </c>
      <c r="X714" s="163"/>
      <c r="Y714" s="570" t="s">
        <v>365</v>
      </c>
      <c r="Z714" s="570"/>
      <c r="AA714" s="164" t="e">
        <f>AA713/M692</f>
        <v>#DIV/0!</v>
      </c>
      <c r="AB714" s="161"/>
      <c r="AC714" s="161"/>
      <c r="AD714" s="161"/>
      <c r="AE714" s="161"/>
      <c r="AF714" s="570" t="s">
        <v>365</v>
      </c>
      <c r="AG714" s="570"/>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452</v>
      </c>
      <c r="M715" s="116" t="s">
        <v>107</v>
      </c>
      <c r="N715" s="116" t="s">
        <v>108</v>
      </c>
      <c r="O715" s="170" t="s">
        <v>386</v>
      </c>
      <c r="P715" s="572" t="s">
        <v>375</v>
      </c>
      <c r="Q715" s="572"/>
      <c r="R715" s="101" t="s">
        <v>452</v>
      </c>
      <c r="S715" s="116" t="s">
        <v>0</v>
      </c>
      <c r="T715" s="118"/>
      <c r="U715" s="116" t="s">
        <v>287</v>
      </c>
      <c r="V715" s="116" t="s">
        <v>288</v>
      </c>
      <c r="W715" s="116" t="s">
        <v>291</v>
      </c>
      <c r="X715" s="140"/>
      <c r="Y715" s="116" t="s">
        <v>289</v>
      </c>
      <c r="Z715" s="116" t="s">
        <v>354</v>
      </c>
      <c r="AA715" s="116" t="s">
        <v>355</v>
      </c>
      <c r="AB715" s="116" t="s">
        <v>317</v>
      </c>
      <c r="AC715" s="116" t="s">
        <v>318</v>
      </c>
      <c r="AD715" s="116" t="s">
        <v>316</v>
      </c>
      <c r="AE715" s="140"/>
      <c r="AF715" s="116" t="s">
        <v>293</v>
      </c>
      <c r="AG715" s="116" t="s">
        <v>354</v>
      </c>
      <c r="AH715" s="116" t="s">
        <v>355</v>
      </c>
      <c r="AI715" s="116" t="s">
        <v>296</v>
      </c>
      <c r="AJ715" s="116" t="s">
        <v>294</v>
      </c>
      <c r="AK715" s="116" t="s">
        <v>295</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612</v>
      </c>
      <c r="O716" s="121" t="s">
        <v>488</v>
      </c>
      <c r="P716" s="169" t="s">
        <v>379</v>
      </c>
      <c r="Q716" s="169" t="s">
        <v>375</v>
      </c>
      <c r="R716" s="169"/>
      <c r="S716" s="133">
        <f>M716</f>
        <v>0</v>
      </c>
      <c r="T716" s="119"/>
      <c r="U716" s="121" t="s">
        <v>292</v>
      </c>
      <c r="V716" s="133">
        <f>S716</f>
        <v>0</v>
      </c>
      <c r="W716" s="133">
        <f>VLOOKUP(U716,Sheet1!$B$6:$C$45,2,FALSE)*V716</f>
        <v>0</v>
      </c>
      <c r="X716" s="141"/>
      <c r="Y716" s="121" t="s">
        <v>292</v>
      </c>
      <c r="Z716" s="146">
        <f>VLOOKUP(Takeoffs!Y716,Sheet1!$B$6:$C$124,2,FALSE)</f>
        <v>0</v>
      </c>
      <c r="AA716" s="146">
        <f>Z716*AB716</f>
        <v>0</v>
      </c>
      <c r="AB716" s="143">
        <f>AD716*AC716</f>
        <v>0</v>
      </c>
      <c r="AC716" s="133">
        <f>S716</f>
        <v>0</v>
      </c>
      <c r="AD716" s="142">
        <v>1</v>
      </c>
      <c r="AE716" s="141"/>
      <c r="AF716" s="121" t="s">
        <v>292</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hidden="1"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340</v>
      </c>
      <c r="P717" s="121"/>
      <c r="Q717" s="66"/>
      <c r="R717" s="121"/>
      <c r="S717" s="133">
        <f>M716</f>
        <v>0</v>
      </c>
      <c r="T717" s="120"/>
      <c r="U717" s="121" t="s">
        <v>292</v>
      </c>
      <c r="V717" s="133">
        <f t="shared" ref="V717:V736" si="323">S717</f>
        <v>0</v>
      </c>
      <c r="W717" s="133">
        <f>VLOOKUP(U717,Sheet1!$B$6:$C$45,2,FALSE)*V717</f>
        <v>0</v>
      </c>
      <c r="X717" s="141"/>
      <c r="Y717" s="121" t="s">
        <v>292</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292</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hidden="1"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308</v>
      </c>
      <c r="P718" s="121" t="s">
        <v>593</v>
      </c>
      <c r="Q718" s="121" t="s">
        <v>614</v>
      </c>
      <c r="R718" s="121"/>
      <c r="S718" s="133">
        <f>M716</f>
        <v>0</v>
      </c>
      <c r="T718" s="120"/>
      <c r="U718" s="121" t="s">
        <v>292</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hidden="1"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613</v>
      </c>
      <c r="P719" s="121" t="s">
        <v>593</v>
      </c>
      <c r="Q719" s="66" t="s">
        <v>615</v>
      </c>
      <c r="R719" s="121"/>
      <c r="S719" s="133">
        <f>M716</f>
        <v>0</v>
      </c>
      <c r="T719" s="120"/>
      <c r="U719" s="121" t="s">
        <v>292</v>
      </c>
      <c r="V719" s="133">
        <f t="shared" si="323"/>
        <v>0</v>
      </c>
      <c r="W719" s="133">
        <f>VLOOKUP(U719,Sheet1!$B$6:$C$45,2,FALSE)*V719</f>
        <v>0</v>
      </c>
      <c r="X719" s="141"/>
      <c r="Y719" s="121" t="s">
        <v>292</v>
      </c>
      <c r="Z719" s="146">
        <f>VLOOKUP(Takeoffs!Y719,Sheet1!$B$6:$C$124,2,FALSE)</f>
        <v>0</v>
      </c>
      <c r="AA719" s="146">
        <f t="shared" si="324"/>
        <v>0</v>
      </c>
      <c r="AB719" s="143">
        <f t="shared" si="325"/>
        <v>0</v>
      </c>
      <c r="AC719" s="133">
        <f t="shared" si="326"/>
        <v>0</v>
      </c>
      <c r="AD719" s="142">
        <v>1</v>
      </c>
      <c r="AE719" s="141"/>
      <c r="AF719" s="121" t="s">
        <v>292</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hidden="1"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596</v>
      </c>
      <c r="P720" s="121"/>
      <c r="Q720" s="121"/>
      <c r="R720" s="121"/>
      <c r="S720" s="133">
        <f>M716</f>
        <v>0</v>
      </c>
      <c r="T720" s="120"/>
      <c r="U720" s="121" t="s">
        <v>292</v>
      </c>
      <c r="V720" s="133">
        <f t="shared" si="323"/>
        <v>0</v>
      </c>
      <c r="W720" s="133">
        <f>VLOOKUP(U720,Sheet1!$B$6:$C$45,2,FALSE)*V720</f>
        <v>0</v>
      </c>
      <c r="X720" s="141"/>
      <c r="Y720" s="121" t="s">
        <v>292</v>
      </c>
      <c r="Z720" s="146">
        <f>VLOOKUP(Takeoffs!Y720,Sheet1!$B$6:$C$124,2,FALSE)</f>
        <v>0</v>
      </c>
      <c r="AA720" s="146">
        <f t="shared" si="324"/>
        <v>0</v>
      </c>
      <c r="AB720" s="143">
        <f t="shared" si="325"/>
        <v>0</v>
      </c>
      <c r="AC720" s="133">
        <f t="shared" si="326"/>
        <v>0</v>
      </c>
      <c r="AD720" s="142">
        <v>1</v>
      </c>
      <c r="AE720" s="141"/>
      <c r="AF720" s="121" t="s">
        <v>292</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hidden="1"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597</v>
      </c>
      <c r="P721" s="121"/>
      <c r="Q721" s="121"/>
      <c r="R721" s="121"/>
      <c r="S721" s="133">
        <f>M716</f>
        <v>0</v>
      </c>
      <c r="T721" s="120"/>
      <c r="U721" s="121" t="s">
        <v>292</v>
      </c>
      <c r="V721" s="133">
        <f t="shared" si="323"/>
        <v>0</v>
      </c>
      <c r="W721" s="133">
        <f>VLOOKUP(U721,Sheet1!$B$6:$C$45,2,FALSE)*V721</f>
        <v>0</v>
      </c>
      <c r="X721" s="141"/>
      <c r="Y721" s="121" t="s">
        <v>292</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hidden="1"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406</v>
      </c>
      <c r="P722" s="121"/>
      <c r="Q722" s="121"/>
      <c r="R722" s="121"/>
      <c r="S722" s="133">
        <f>M716</f>
        <v>0</v>
      </c>
      <c r="T722" s="120"/>
      <c r="U722" s="121" t="s">
        <v>292</v>
      </c>
      <c r="V722" s="133">
        <f t="shared" si="323"/>
        <v>0</v>
      </c>
      <c r="W722" s="133">
        <f>VLOOKUP(U722,Sheet1!$B$6:$C$45,2,FALSE)*V722</f>
        <v>0</v>
      </c>
      <c r="X722" s="141"/>
      <c r="Y722" s="121" t="s">
        <v>292</v>
      </c>
      <c r="Z722" s="146">
        <f>VLOOKUP(Takeoffs!Y722,Sheet1!$B$6:$C$124,2,FALSE)</f>
        <v>0</v>
      </c>
      <c r="AA722" s="146">
        <f t="shared" si="324"/>
        <v>0</v>
      </c>
      <c r="AB722" s="143">
        <f t="shared" si="325"/>
        <v>0</v>
      </c>
      <c r="AC722" s="133">
        <f t="shared" si="326"/>
        <v>0</v>
      </c>
      <c r="AD722" s="142">
        <v>1</v>
      </c>
      <c r="AE722" s="141"/>
      <c r="AF722" s="121" t="s">
        <v>292</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hidden="1"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292</v>
      </c>
      <c r="V723" s="133">
        <f t="shared" si="323"/>
        <v>0</v>
      </c>
      <c r="W723" s="133">
        <f>VLOOKUP(U723,Sheet1!$B$6:$C$45,2,FALSE)*V723</f>
        <v>0</v>
      </c>
      <c r="X723" s="141"/>
      <c r="Y723" s="121" t="s">
        <v>292</v>
      </c>
      <c r="Z723" s="146">
        <f>VLOOKUP(Takeoffs!Y723,Sheet1!$B$6:$C$124,2,FALSE)</f>
        <v>0</v>
      </c>
      <c r="AA723" s="146">
        <f t="shared" si="324"/>
        <v>0</v>
      </c>
      <c r="AB723" s="143">
        <f t="shared" si="325"/>
        <v>0</v>
      </c>
      <c r="AC723" s="133">
        <f t="shared" si="326"/>
        <v>0</v>
      </c>
      <c r="AD723" s="142">
        <v>1</v>
      </c>
      <c r="AE723" s="141"/>
      <c r="AF723" s="121" t="s">
        <v>292</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hidden="1" x14ac:dyDescent="0.8">
      <c r="A724" s="262">
        <f>ROW()</f>
        <v>724</v>
      </c>
      <c r="C724" s="208"/>
      <c r="D724" s="208"/>
      <c r="E724" s="208"/>
      <c r="F724" s="208"/>
      <c r="G724" s="208"/>
      <c r="H724" s="208"/>
      <c r="J724" s="114" t="str">
        <f t="shared" si="330"/>
        <v/>
      </c>
      <c r="K724" s="114" t="str">
        <f>IF(COUNTBLANK(R724)&gt;0,"",CONCATENATE(R724," for ",N716))</f>
        <v/>
      </c>
      <c r="N724" s="123" t="s">
        <v>120</v>
      </c>
      <c r="O724" s="66" t="s">
        <v>328</v>
      </c>
      <c r="P724" s="121"/>
      <c r="Q724" s="121"/>
      <c r="R724" s="121"/>
      <c r="S724" s="133">
        <f>M716</f>
        <v>0</v>
      </c>
      <c r="T724" s="120"/>
      <c r="U724" s="121" t="s">
        <v>364</v>
      </c>
      <c r="V724" s="133">
        <f t="shared" si="323"/>
        <v>0</v>
      </c>
      <c r="W724" s="133">
        <f>VLOOKUP(U724,Sheet1!$B$6:$C$45,2,FALSE)*V724</f>
        <v>0</v>
      </c>
      <c r="X724" s="141"/>
      <c r="Y724" s="121" t="s">
        <v>292</v>
      </c>
      <c r="Z724" s="146">
        <f>VLOOKUP(Takeoffs!Y724,Sheet1!$B$6:$C$124,2,FALSE)</f>
        <v>0</v>
      </c>
      <c r="AA724" s="146">
        <f t="shared" si="324"/>
        <v>0</v>
      </c>
      <c r="AB724" s="143">
        <f t="shared" si="325"/>
        <v>0</v>
      </c>
      <c r="AC724" s="133">
        <f t="shared" si="326"/>
        <v>0</v>
      </c>
      <c r="AD724" s="142">
        <v>1</v>
      </c>
      <c r="AE724" s="141"/>
      <c r="AF724" s="121" t="s">
        <v>292</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hidden="1"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292</v>
      </c>
      <c r="V725" s="133">
        <f t="shared" si="323"/>
        <v>0</v>
      </c>
      <c r="W725" s="133">
        <f>VLOOKUP(U725,Sheet1!$B$6:$C$45,2,FALSE)*V725</f>
        <v>0</v>
      </c>
      <c r="X725" s="141"/>
      <c r="Y725" s="121" t="s">
        <v>292</v>
      </c>
      <c r="Z725" s="146">
        <f>VLOOKUP(Takeoffs!Y725,Sheet1!$B$6:$C$124,2,FALSE)</f>
        <v>0</v>
      </c>
      <c r="AA725" s="146">
        <f t="shared" si="324"/>
        <v>0</v>
      </c>
      <c r="AB725" s="143">
        <f t="shared" si="325"/>
        <v>0</v>
      </c>
      <c r="AC725" s="133">
        <f t="shared" si="326"/>
        <v>0</v>
      </c>
      <c r="AD725" s="142">
        <v>1</v>
      </c>
      <c r="AE725" s="141"/>
      <c r="AF725" s="121" t="s">
        <v>292</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hidden="1"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292</v>
      </c>
      <c r="V726" s="133">
        <f t="shared" si="323"/>
        <v>0</v>
      </c>
      <c r="W726" s="133">
        <f>VLOOKUP(U726,Sheet1!$B$6:$C$45,2,FALSE)*V726</f>
        <v>0</v>
      </c>
      <c r="X726" s="141"/>
      <c r="Y726" s="121" t="s">
        <v>292</v>
      </c>
      <c r="Z726" s="146">
        <f>VLOOKUP(Takeoffs!Y726,Sheet1!$B$6:$C$124,2,FALSE)</f>
        <v>0</v>
      </c>
      <c r="AA726" s="146">
        <f t="shared" si="324"/>
        <v>0</v>
      </c>
      <c r="AB726" s="143">
        <f t="shared" si="325"/>
        <v>0</v>
      </c>
      <c r="AC726" s="133">
        <f t="shared" si="326"/>
        <v>0</v>
      </c>
      <c r="AD726" s="142">
        <v>1</v>
      </c>
      <c r="AE726" s="141"/>
      <c r="AF726" s="121" t="s">
        <v>292</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hidden="1" x14ac:dyDescent="0.8">
      <c r="A727" s="262">
        <f>ROW()</f>
        <v>727</v>
      </c>
      <c r="C727" s="208"/>
      <c r="D727" s="208"/>
      <c r="E727" s="208"/>
      <c r="F727" s="208"/>
      <c r="G727" s="208"/>
      <c r="H727" s="208"/>
      <c r="J727" s="114" t="str">
        <f t="shared" si="330"/>
        <v/>
      </c>
      <c r="K727" s="114" t="str">
        <f>IF(COUNTBLANK(R727)&gt;0,"",CONCATENATE(R727," for ",N716))</f>
        <v/>
      </c>
      <c r="N727" s="123" t="s">
        <v>123</v>
      </c>
      <c r="O727" s="66" t="s">
        <v>589</v>
      </c>
      <c r="P727" s="121"/>
      <c r="Q727" s="121"/>
      <c r="R727" s="121"/>
      <c r="S727" s="133">
        <f>M716</f>
        <v>0</v>
      </c>
      <c r="T727" s="120"/>
      <c r="U727" s="121" t="s">
        <v>292</v>
      </c>
      <c r="V727" s="133">
        <f t="shared" si="323"/>
        <v>0</v>
      </c>
      <c r="W727" s="133">
        <f>VLOOKUP(U727,Sheet1!$B$6:$C$45,2,FALSE)*V727</f>
        <v>0</v>
      </c>
      <c r="X727" s="141"/>
      <c r="Y727" s="135" t="s">
        <v>588</v>
      </c>
      <c r="Z727" s="146">
        <f>VLOOKUP(Takeoffs!Y727,Sheet1!$B$6:$C$124,2,FALSE)</f>
        <v>96</v>
      </c>
      <c r="AA727" s="146">
        <f t="shared" si="324"/>
        <v>0</v>
      </c>
      <c r="AB727" s="143">
        <f t="shared" si="325"/>
        <v>0</v>
      </c>
      <c r="AC727" s="133">
        <f t="shared" si="326"/>
        <v>0</v>
      </c>
      <c r="AD727" s="142">
        <v>1</v>
      </c>
      <c r="AE727" s="141"/>
      <c r="AF727" s="121" t="s">
        <v>292</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hidden="1"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292</v>
      </c>
      <c r="V728" s="133">
        <f t="shared" si="323"/>
        <v>0</v>
      </c>
      <c r="W728" s="133">
        <f>VLOOKUP(U728,Sheet1!$B$6:$C$45,2,FALSE)*V728</f>
        <v>0</v>
      </c>
      <c r="X728" s="141"/>
      <c r="Y728" s="121" t="s">
        <v>292</v>
      </c>
      <c r="Z728" s="146">
        <f>VLOOKUP(Takeoffs!Y728,Sheet1!$B$6:$C$124,2,FALSE)</f>
        <v>0</v>
      </c>
      <c r="AA728" s="146">
        <f t="shared" si="324"/>
        <v>0</v>
      </c>
      <c r="AB728" s="143">
        <f t="shared" si="325"/>
        <v>0</v>
      </c>
      <c r="AC728" s="133">
        <f t="shared" si="326"/>
        <v>0</v>
      </c>
      <c r="AD728" s="142">
        <v>1</v>
      </c>
      <c r="AE728" s="141"/>
      <c r="AF728" s="152" t="s">
        <v>418</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hidden="1" x14ac:dyDescent="0.8">
      <c r="A729" s="262">
        <f>ROW()</f>
        <v>729</v>
      </c>
      <c r="C729" s="208"/>
      <c r="D729" s="208"/>
      <c r="E729" s="208"/>
      <c r="F729" s="208"/>
      <c r="G729" s="208"/>
      <c r="H729" s="208"/>
      <c r="J729" s="114" t="str">
        <f t="shared" si="330"/>
        <v/>
      </c>
      <c r="K729" s="114" t="str">
        <f>IF(COUNTBLANK(R729)&gt;0,"",CONCATENATE(R729," for ",N716))</f>
        <v/>
      </c>
      <c r="N729" s="123" t="s">
        <v>125</v>
      </c>
      <c r="O729" s="66" t="s">
        <v>312</v>
      </c>
      <c r="P729" s="121"/>
      <c r="Q729" s="121"/>
      <c r="R729" s="121"/>
      <c r="S729" s="133">
        <f>M716</f>
        <v>0</v>
      </c>
      <c r="T729" s="120"/>
      <c r="U729" s="121" t="s">
        <v>232</v>
      </c>
      <c r="V729" s="133">
        <f t="shared" si="323"/>
        <v>0</v>
      </c>
      <c r="W729" s="133">
        <f>VLOOKUP(U729,Sheet1!$B$6:$C$45,2,FALSE)*V729</f>
        <v>0</v>
      </c>
      <c r="X729" s="141"/>
      <c r="Y729" s="122" t="s">
        <v>1344</v>
      </c>
      <c r="Z729" s="146">
        <f>VLOOKUP(Takeoffs!Y729,Sheet1!$B$6:$C$124,2,FALSE)</f>
        <v>109.25999999999999</v>
      </c>
      <c r="AA729" s="146">
        <f t="shared" si="324"/>
        <v>0</v>
      </c>
      <c r="AB729" s="143">
        <f t="shared" si="325"/>
        <v>0</v>
      </c>
      <c r="AC729" s="133">
        <f t="shared" si="326"/>
        <v>0</v>
      </c>
      <c r="AD729" s="142">
        <v>1</v>
      </c>
      <c r="AE729" s="141"/>
      <c r="AF729" s="121" t="s">
        <v>292</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hidden="1"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345</v>
      </c>
      <c r="P730" s="121" t="s">
        <v>616</v>
      </c>
      <c r="Q730" s="121" t="s">
        <v>384</v>
      </c>
      <c r="R730" s="121"/>
      <c r="S730" s="133">
        <f>M716</f>
        <v>0</v>
      </c>
      <c r="T730" s="120"/>
      <c r="U730" s="121" t="s">
        <v>292</v>
      </c>
      <c r="V730" s="133">
        <f t="shared" si="323"/>
        <v>0</v>
      </c>
      <c r="W730" s="133">
        <f>VLOOKUP(U730,Sheet1!$B$6:$C$45,2,FALSE)*V730</f>
        <v>0</v>
      </c>
      <c r="X730" s="141"/>
      <c r="Y730" s="122" t="s">
        <v>326</v>
      </c>
      <c r="Z730" s="146">
        <f>VLOOKUP(Takeoffs!Y730,Sheet1!$B$6:$C$124,2,FALSE)</f>
        <v>29.04</v>
      </c>
      <c r="AA730" s="146">
        <f t="shared" si="324"/>
        <v>0</v>
      </c>
      <c r="AB730" s="143">
        <f t="shared" si="325"/>
        <v>0</v>
      </c>
      <c r="AC730" s="133">
        <f t="shared" si="326"/>
        <v>0</v>
      </c>
      <c r="AD730" s="142">
        <v>1</v>
      </c>
      <c r="AE730" s="141"/>
      <c r="AF730" s="121" t="s">
        <v>292</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hidden="1"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337</v>
      </c>
      <c r="P731" s="121"/>
      <c r="Q731" s="121"/>
      <c r="R731" s="121" t="s">
        <v>331</v>
      </c>
      <c r="S731" s="133">
        <f>M716</f>
        <v>0</v>
      </c>
      <c r="T731" s="120"/>
      <c r="U731" s="121" t="s">
        <v>292</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292</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hidden="1" x14ac:dyDescent="0.8">
      <c r="A732" s="262">
        <f>ROW()</f>
        <v>732</v>
      </c>
      <c r="C732" s="208"/>
      <c r="D732" s="208"/>
      <c r="E732" s="208"/>
      <c r="F732" s="208"/>
      <c r="G732" s="208"/>
      <c r="H732" s="208"/>
      <c r="J732" s="114" t="str">
        <f t="shared" si="330"/>
        <v/>
      </c>
      <c r="K732" s="114" t="str">
        <f>IF(COUNTBLANK(R732)&gt;0,"",CONCATENATE(R732," for ",N716))</f>
        <v/>
      </c>
      <c r="N732" s="123" t="s">
        <v>128</v>
      </c>
      <c r="O732" s="66" t="s">
        <v>499</v>
      </c>
      <c r="P732" s="121">
        <v>0</v>
      </c>
      <c r="Q732" s="121"/>
      <c r="R732" s="121"/>
      <c r="S732" s="133">
        <f>M716</f>
        <v>0</v>
      </c>
      <c r="T732" s="120"/>
      <c r="U732" s="121" t="s">
        <v>292</v>
      </c>
      <c r="V732" s="133">
        <f t="shared" si="323"/>
        <v>0</v>
      </c>
      <c r="W732" s="133">
        <f>VLOOKUP(U732,Sheet1!$B$6:$C$45,2,FALSE)*V732</f>
        <v>0</v>
      </c>
      <c r="X732" s="141"/>
      <c r="Y732" s="135" t="s">
        <v>422</v>
      </c>
      <c r="Z732" s="146">
        <f>VLOOKUP(Takeoffs!Y732,Sheet1!$B$6:$C$124,2,FALSE)</f>
        <v>23.4</v>
      </c>
      <c r="AA732" s="146">
        <f t="shared" si="324"/>
        <v>0</v>
      </c>
      <c r="AB732" s="143">
        <f t="shared" si="325"/>
        <v>0</v>
      </c>
      <c r="AC732" s="133">
        <f t="shared" si="326"/>
        <v>0</v>
      </c>
      <c r="AD732" s="142">
        <v>1</v>
      </c>
      <c r="AE732" s="141"/>
      <c r="AF732" s="121" t="s">
        <v>292</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hidden="1"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329</v>
      </c>
      <c r="P733" s="121"/>
      <c r="Q733" s="121"/>
      <c r="R733" s="121" t="s">
        <v>304</v>
      </c>
      <c r="S733" s="133">
        <f>M716</f>
        <v>0</v>
      </c>
      <c r="T733" s="120"/>
      <c r="U733" s="121" t="s">
        <v>292</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292</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hidden="1"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292</v>
      </c>
      <c r="V734" s="133">
        <f t="shared" si="323"/>
        <v>0</v>
      </c>
      <c r="W734" s="133">
        <f>VLOOKUP(U734,Sheet1!$B$6:$C$45,2,FALSE)*V734</f>
        <v>0</v>
      </c>
      <c r="X734" s="141"/>
      <c r="Y734" s="121" t="s">
        <v>292</v>
      </c>
      <c r="Z734" s="146">
        <f>VLOOKUP(Takeoffs!Y734,Sheet1!$B$6:$C$124,2,FALSE)</f>
        <v>0</v>
      </c>
      <c r="AA734" s="146">
        <f t="shared" si="324"/>
        <v>0</v>
      </c>
      <c r="AB734" s="143">
        <f t="shared" si="325"/>
        <v>0</v>
      </c>
      <c r="AC734" s="133">
        <f t="shared" si="326"/>
        <v>0</v>
      </c>
      <c r="AD734" s="142">
        <v>1</v>
      </c>
      <c r="AE734" s="141"/>
      <c r="AF734" s="121" t="s">
        <v>292</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hidden="1" x14ac:dyDescent="0.8">
      <c r="A735" s="262">
        <f>ROW()</f>
        <v>735</v>
      </c>
      <c r="C735" s="208"/>
      <c r="D735" s="208"/>
      <c r="E735" s="208"/>
      <c r="F735" s="208"/>
      <c r="G735" s="208"/>
      <c r="H735" s="208"/>
      <c r="J735" s="114" t="str">
        <f t="shared" si="330"/>
        <v/>
      </c>
      <c r="K735" s="114" t="str">
        <f>IF(COUNTBLANK(R735)&gt;0,"",CONCATENATE(R735," for ",N716))</f>
        <v/>
      </c>
      <c r="N735" s="123" t="s">
        <v>131</v>
      </c>
      <c r="O735" s="66" t="s">
        <v>407</v>
      </c>
      <c r="P735" s="121"/>
      <c r="Q735" s="121"/>
      <c r="R735" s="121"/>
      <c r="S735" s="133">
        <f>M716</f>
        <v>0</v>
      </c>
      <c r="T735" s="120"/>
      <c r="U735" s="121" t="s">
        <v>292</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292</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hidden="1" x14ac:dyDescent="0.8">
      <c r="A736" s="262">
        <f>ROW()</f>
        <v>736</v>
      </c>
      <c r="C736" s="208"/>
      <c r="D736" s="208"/>
      <c r="E736" s="208"/>
      <c r="F736" s="208"/>
      <c r="G736" s="208"/>
      <c r="H736" s="208"/>
      <c r="J736" s="114" t="str">
        <f t="shared" si="330"/>
        <v/>
      </c>
      <c r="K736" s="114" t="str">
        <f>IF(COUNTBLANK(R736)&gt;0,"",CONCATENATE(R736," for ",N716))</f>
        <v/>
      </c>
      <c r="N736" s="123" t="s">
        <v>132</v>
      </c>
      <c r="O736" s="66" t="s">
        <v>408</v>
      </c>
      <c r="P736" s="121"/>
      <c r="Q736" s="121"/>
      <c r="R736" s="121"/>
      <c r="S736" s="133">
        <f>M716</f>
        <v>0</v>
      </c>
      <c r="T736" s="120"/>
      <c r="U736" s="121" t="s">
        <v>362</v>
      </c>
      <c r="V736" s="133">
        <f t="shared" si="323"/>
        <v>0</v>
      </c>
      <c r="W736" s="133">
        <f>VLOOKUP(U736,Sheet1!$B$6:$C$45,2,FALSE)*V736</f>
        <v>0</v>
      </c>
      <c r="X736" s="141"/>
      <c r="Y736" s="121" t="s">
        <v>292</v>
      </c>
      <c r="Z736" s="146">
        <f>VLOOKUP(Takeoffs!Y736,Sheet1!$B$6:$C$124,2,FALSE)</f>
        <v>0</v>
      </c>
      <c r="AA736" s="146">
        <f t="shared" si="324"/>
        <v>0</v>
      </c>
      <c r="AB736" s="143">
        <f t="shared" si="325"/>
        <v>0</v>
      </c>
      <c r="AC736" s="133">
        <f t="shared" si="326"/>
        <v>0</v>
      </c>
      <c r="AD736" s="142">
        <v>1</v>
      </c>
      <c r="AE736" s="141"/>
      <c r="AF736" s="121" t="s">
        <v>292</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377</v>
      </c>
      <c r="L737" s="128" t="s">
        <v>378</v>
      </c>
      <c r="N737" s="129"/>
      <c r="O737" s="130" t="s">
        <v>357</v>
      </c>
      <c r="P737" s="155">
        <f>V737+AA737+AH737</f>
        <v>0</v>
      </c>
      <c r="Q737" s="155"/>
      <c r="R737" s="131"/>
      <c r="S737" s="130"/>
      <c r="T737" s="127"/>
      <c r="U737" s="126" t="s">
        <v>351</v>
      </c>
      <c r="V737" s="127">
        <f>W737*80</f>
        <v>0</v>
      </c>
      <c r="W737" s="147">
        <f>SUM(W716:W736)</f>
        <v>0</v>
      </c>
      <c r="X737" s="148"/>
      <c r="Y737" s="127" t="s">
        <v>352</v>
      </c>
      <c r="Z737" s="116"/>
      <c r="AA737" s="116">
        <f>SUM(AA716:AA736)</f>
        <v>0</v>
      </c>
      <c r="AB737" s="149"/>
      <c r="AC737" s="149"/>
      <c r="AD737" s="149"/>
      <c r="AE737" s="149"/>
      <c r="AF737" s="127" t="s">
        <v>356</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hidden="1" thickBot="1" x14ac:dyDescent="1.25">
      <c r="A738" s="262">
        <f>ROW()</f>
        <v>738</v>
      </c>
      <c r="B738" s="234" t="s">
        <v>491</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367</v>
      </c>
      <c r="N738" s="160" t="str">
        <f>N716</f>
        <v>DOL fan with fire shutdown - from MSSB power supply and timeclock control ( field wiring outside MSSB by customer)</v>
      </c>
      <c r="O738" s="185" t="s">
        <v>365</v>
      </c>
      <c r="P738" s="203" t="e">
        <f>P737/M716</f>
        <v>#DIV/0!</v>
      </c>
      <c r="Q738" s="195"/>
      <c r="R738" s="188"/>
      <c r="S738" s="160"/>
      <c r="T738" s="161"/>
      <c r="U738" s="571" t="s">
        <v>366</v>
      </c>
      <c r="V738" s="571"/>
      <c r="W738" s="162" t="e">
        <f>W737/M716</f>
        <v>#DIV/0!</v>
      </c>
      <c r="X738" s="163"/>
      <c r="Y738" s="570" t="s">
        <v>365</v>
      </c>
      <c r="Z738" s="570"/>
      <c r="AA738" s="164" t="e">
        <f>AA737/M716</f>
        <v>#DIV/0!</v>
      </c>
      <c r="AB738" s="161"/>
      <c r="AC738" s="161"/>
      <c r="AD738" s="161"/>
      <c r="AE738" s="161"/>
      <c r="AF738" s="570" t="s">
        <v>365</v>
      </c>
      <c r="AG738" s="570"/>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452</v>
      </c>
      <c r="M739" s="116" t="s">
        <v>107</v>
      </c>
      <c r="N739" s="116" t="s">
        <v>108</v>
      </c>
      <c r="O739" s="170" t="s">
        <v>386</v>
      </c>
      <c r="P739" s="572" t="s">
        <v>375</v>
      </c>
      <c r="Q739" s="572"/>
      <c r="R739" s="101" t="s">
        <v>452</v>
      </c>
      <c r="S739" s="116" t="s">
        <v>0</v>
      </c>
      <c r="T739" s="118"/>
      <c r="U739" s="116" t="s">
        <v>287</v>
      </c>
      <c r="V739" s="116" t="s">
        <v>288</v>
      </c>
      <c r="W739" s="116" t="s">
        <v>291</v>
      </c>
      <c r="X739" s="140"/>
      <c r="Y739" s="116" t="s">
        <v>289</v>
      </c>
      <c r="Z739" s="116" t="s">
        <v>354</v>
      </c>
      <c r="AA739" s="116" t="s">
        <v>355</v>
      </c>
      <c r="AB739" s="116" t="s">
        <v>317</v>
      </c>
      <c r="AC739" s="116" t="s">
        <v>318</v>
      </c>
      <c r="AD739" s="116" t="s">
        <v>316</v>
      </c>
      <c r="AE739" s="140"/>
      <c r="AF739" s="116" t="s">
        <v>293</v>
      </c>
      <c r="AG739" s="116" t="s">
        <v>354</v>
      </c>
      <c r="AH739" s="116" t="s">
        <v>355</v>
      </c>
      <c r="AI739" s="116" t="s">
        <v>296</v>
      </c>
      <c r="AJ739" s="116" t="s">
        <v>294</v>
      </c>
      <c r="AK739" s="116" t="s">
        <v>295</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652</v>
      </c>
      <c r="O740" s="121" t="s">
        <v>488</v>
      </c>
      <c r="P740" s="169" t="s">
        <v>379</v>
      </c>
      <c r="Q740" s="169" t="s">
        <v>375</v>
      </c>
      <c r="R740" s="169"/>
      <c r="S740" s="133">
        <f>M740</f>
        <v>0</v>
      </c>
      <c r="T740" s="119"/>
      <c r="U740" s="121" t="s">
        <v>292</v>
      </c>
      <c r="V740" s="133">
        <f>S740</f>
        <v>0</v>
      </c>
      <c r="W740" s="133">
        <f>VLOOKUP(U740,Sheet1!$B$6:$C$45,2,FALSE)*V740</f>
        <v>0</v>
      </c>
      <c r="X740" s="141"/>
      <c r="Y740" s="121" t="s">
        <v>292</v>
      </c>
      <c r="Z740" s="146">
        <f>VLOOKUP(Takeoffs!Y740,Sheet1!$B$6:$C$124,2,FALSE)</f>
        <v>0</v>
      </c>
      <c r="AA740" s="146">
        <f>Z740*AB740</f>
        <v>0</v>
      </c>
      <c r="AB740" s="143">
        <f>AD740*AC740</f>
        <v>0</v>
      </c>
      <c r="AC740" s="133">
        <f>S740</f>
        <v>0</v>
      </c>
      <c r="AD740" s="142">
        <v>1</v>
      </c>
      <c r="AE740" s="141"/>
      <c r="AF740" s="121" t="s">
        <v>292</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hidden="1"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340</v>
      </c>
      <c r="P741" s="121"/>
      <c r="Q741" s="66"/>
      <c r="R741" s="121"/>
      <c r="S741" s="133">
        <f>M740</f>
        <v>0</v>
      </c>
      <c r="T741" s="120"/>
      <c r="U741" s="121" t="s">
        <v>292</v>
      </c>
      <c r="V741" s="133">
        <f t="shared" ref="V741:V760" si="337">S741</f>
        <v>0</v>
      </c>
      <c r="W741" s="133">
        <f>VLOOKUP(U741,Sheet1!$B$6:$C$45,2,FALSE)*V741</f>
        <v>0</v>
      </c>
      <c r="X741" s="141"/>
      <c r="Y741" s="121" t="s">
        <v>292</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292</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hidden="1"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653</v>
      </c>
      <c r="P742" s="121"/>
      <c r="Q742" s="66"/>
      <c r="R742" s="121"/>
      <c r="S742" s="133">
        <f>M740</f>
        <v>0</v>
      </c>
      <c r="T742" s="120"/>
      <c r="U742" s="117" t="s">
        <v>478</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hidden="1"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654</v>
      </c>
      <c r="P743" s="121"/>
      <c r="Q743" s="66"/>
      <c r="R743" s="121"/>
      <c r="S743" s="133">
        <f>M740</f>
        <v>0</v>
      </c>
      <c r="T743" s="120"/>
      <c r="U743" s="117" t="s">
        <v>478</v>
      </c>
      <c r="V743" s="133">
        <f t="shared" si="337"/>
        <v>0</v>
      </c>
      <c r="W743" s="133">
        <f>VLOOKUP(U743,Sheet1!$B$6:$C$45,2,FALSE)*V743</f>
        <v>0</v>
      </c>
      <c r="X743" s="141"/>
      <c r="Y743" s="121" t="s">
        <v>292</v>
      </c>
      <c r="Z743" s="146">
        <f>VLOOKUP(Takeoffs!Y743,Sheet1!$B$6:$C$124,2,FALSE)</f>
        <v>0</v>
      </c>
      <c r="AA743" s="146">
        <f t="shared" si="338"/>
        <v>0</v>
      </c>
      <c r="AB743" s="143">
        <f t="shared" si="339"/>
        <v>0</v>
      </c>
      <c r="AC743" s="133">
        <f t="shared" si="340"/>
        <v>0</v>
      </c>
      <c r="AD743" s="142">
        <v>1</v>
      </c>
      <c r="AE743" s="141"/>
      <c r="AF743" s="121" t="s">
        <v>292</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hidden="1"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292</v>
      </c>
      <c r="Z744" s="146">
        <f>VLOOKUP(Takeoffs!Y744,Sheet1!$B$6:$C$124,2,FALSE)</f>
        <v>0</v>
      </c>
      <c r="AA744" s="146">
        <f t="shared" si="338"/>
        <v>0</v>
      </c>
      <c r="AB744" s="143">
        <f t="shared" si="339"/>
        <v>0</v>
      </c>
      <c r="AC744" s="133">
        <f t="shared" si="340"/>
        <v>0</v>
      </c>
      <c r="AD744" s="142">
        <v>1</v>
      </c>
      <c r="AE744" s="141"/>
      <c r="AF744" s="121" t="s">
        <v>292</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hidden="1"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292</v>
      </c>
      <c r="V745" s="133">
        <f t="shared" si="337"/>
        <v>0</v>
      </c>
      <c r="W745" s="133">
        <f>VLOOKUP(U745,Sheet1!$B$6:$C$45,2,FALSE)*V745</f>
        <v>0</v>
      </c>
      <c r="X745" s="141"/>
      <c r="Y745" s="121" t="s">
        <v>292</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hidden="1"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655</v>
      </c>
      <c r="P746" s="121"/>
      <c r="Q746" s="66"/>
      <c r="R746" s="121"/>
      <c r="S746" s="133">
        <f>M740</f>
        <v>0</v>
      </c>
      <c r="T746" s="120"/>
      <c r="U746" s="121" t="s">
        <v>292</v>
      </c>
      <c r="V746" s="133">
        <f t="shared" si="337"/>
        <v>0</v>
      </c>
      <c r="W746" s="133">
        <f>VLOOKUP(U746,Sheet1!$B$6:$C$45,2,FALSE)*V746</f>
        <v>0</v>
      </c>
      <c r="X746" s="141"/>
      <c r="Y746" s="121" t="s">
        <v>292</v>
      </c>
      <c r="Z746" s="146">
        <f>VLOOKUP(Takeoffs!Y746,Sheet1!$B$6:$C$124,2,FALSE)</f>
        <v>0</v>
      </c>
      <c r="AA746" s="146">
        <f t="shared" si="338"/>
        <v>0</v>
      </c>
      <c r="AB746" s="143">
        <f t="shared" si="339"/>
        <v>0</v>
      </c>
      <c r="AC746" s="133">
        <f t="shared" si="340"/>
        <v>0</v>
      </c>
      <c r="AD746" s="142">
        <v>1</v>
      </c>
      <c r="AE746" s="141"/>
      <c r="AF746" s="121" t="s">
        <v>292</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hidden="1"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292</v>
      </c>
      <c r="V747" s="133">
        <f t="shared" si="337"/>
        <v>0</v>
      </c>
      <c r="W747" s="133">
        <f>VLOOKUP(U747,Sheet1!$B$6:$C$45,2,FALSE)*V747</f>
        <v>0</v>
      </c>
      <c r="X747" s="141"/>
      <c r="Y747" s="121" t="s">
        <v>292</v>
      </c>
      <c r="Z747" s="146">
        <f>VLOOKUP(Takeoffs!Y747,Sheet1!$B$6:$C$124,2,FALSE)</f>
        <v>0</v>
      </c>
      <c r="AA747" s="146">
        <f t="shared" si="338"/>
        <v>0</v>
      </c>
      <c r="AB747" s="143">
        <f t="shared" si="339"/>
        <v>0</v>
      </c>
      <c r="AC747" s="133">
        <f t="shared" si="340"/>
        <v>0</v>
      </c>
      <c r="AD747" s="142">
        <v>1</v>
      </c>
      <c r="AE747" s="141"/>
      <c r="AF747" s="121" t="s">
        <v>292</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hidden="1" x14ac:dyDescent="0.8">
      <c r="A748" s="262">
        <f>ROW()</f>
        <v>748</v>
      </c>
      <c r="C748" s="208"/>
      <c r="D748" s="208"/>
      <c r="E748" s="208"/>
      <c r="F748" s="208"/>
      <c r="G748" s="208"/>
      <c r="H748" s="208"/>
      <c r="J748" s="114" t="str">
        <f t="shared" si="344"/>
        <v/>
      </c>
      <c r="K748" s="114" t="str">
        <f>IF(COUNTBLANK(R748)&gt;0,"",CONCATENATE(R748," for ",N740))</f>
        <v/>
      </c>
      <c r="N748" s="123" t="s">
        <v>120</v>
      </c>
      <c r="O748" s="66" t="s">
        <v>328</v>
      </c>
      <c r="P748" s="121"/>
      <c r="Q748" s="66"/>
      <c r="R748" s="121"/>
      <c r="S748" s="133">
        <f>M740</f>
        <v>0</v>
      </c>
      <c r="T748" s="120"/>
      <c r="U748" s="121" t="s">
        <v>364</v>
      </c>
      <c r="V748" s="133">
        <f t="shared" si="337"/>
        <v>0</v>
      </c>
      <c r="W748" s="133">
        <f>VLOOKUP(U748,Sheet1!$B$6:$C$45,2,FALSE)*V748</f>
        <v>0</v>
      </c>
      <c r="X748" s="141"/>
      <c r="Y748" s="121" t="s">
        <v>292</v>
      </c>
      <c r="Z748" s="146">
        <f>VLOOKUP(Takeoffs!Y748,Sheet1!$B$6:$C$124,2,FALSE)</f>
        <v>0</v>
      </c>
      <c r="AA748" s="146">
        <f t="shared" si="338"/>
        <v>0</v>
      </c>
      <c r="AB748" s="143">
        <f t="shared" si="339"/>
        <v>0</v>
      </c>
      <c r="AC748" s="133">
        <f t="shared" si="340"/>
        <v>0</v>
      </c>
      <c r="AD748" s="142">
        <v>1</v>
      </c>
      <c r="AE748" s="141"/>
      <c r="AF748" s="121" t="s">
        <v>292</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hidden="1"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292</v>
      </c>
      <c r="V749" s="133">
        <f t="shared" si="337"/>
        <v>0</v>
      </c>
      <c r="W749" s="133">
        <f>VLOOKUP(U749,Sheet1!$B$6:$C$45,2,FALSE)*V749</f>
        <v>0</v>
      </c>
      <c r="X749" s="141"/>
      <c r="Y749" s="121" t="s">
        <v>292</v>
      </c>
      <c r="Z749" s="146">
        <f>VLOOKUP(Takeoffs!Y749,Sheet1!$B$6:$C$124,2,FALSE)</f>
        <v>0</v>
      </c>
      <c r="AA749" s="146">
        <f t="shared" si="338"/>
        <v>0</v>
      </c>
      <c r="AB749" s="143">
        <f t="shared" si="339"/>
        <v>0</v>
      </c>
      <c r="AC749" s="133">
        <f t="shared" si="340"/>
        <v>0</v>
      </c>
      <c r="AD749" s="142">
        <v>1</v>
      </c>
      <c r="AE749" s="141"/>
      <c r="AF749" s="121" t="s">
        <v>292</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hidden="1"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292</v>
      </c>
      <c r="V750" s="133">
        <f t="shared" si="337"/>
        <v>0</v>
      </c>
      <c r="W750" s="133">
        <f>VLOOKUP(U750,Sheet1!$B$6:$C$45,2,FALSE)*V750</f>
        <v>0</v>
      </c>
      <c r="X750" s="141"/>
      <c r="Y750" s="121" t="s">
        <v>292</v>
      </c>
      <c r="Z750" s="146">
        <f>VLOOKUP(Takeoffs!Y750,Sheet1!$B$6:$C$124,2,FALSE)</f>
        <v>0</v>
      </c>
      <c r="AA750" s="146">
        <f t="shared" si="338"/>
        <v>0</v>
      </c>
      <c r="AB750" s="143">
        <f t="shared" si="339"/>
        <v>0</v>
      </c>
      <c r="AC750" s="133">
        <f t="shared" si="340"/>
        <v>0</v>
      </c>
      <c r="AD750" s="142">
        <v>1</v>
      </c>
      <c r="AE750" s="141"/>
      <c r="AF750" s="121" t="s">
        <v>292</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hidden="1"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292</v>
      </c>
      <c r="V751" s="133">
        <f t="shared" si="337"/>
        <v>0</v>
      </c>
      <c r="W751" s="133">
        <f>VLOOKUP(U751,Sheet1!$B$6:$C$45,2,FALSE)*V751</f>
        <v>0</v>
      </c>
      <c r="X751" s="141"/>
      <c r="Y751" s="121" t="s">
        <v>292</v>
      </c>
      <c r="Z751" s="146">
        <f>VLOOKUP(Takeoffs!Y751,Sheet1!$B$6:$C$124,2,FALSE)</f>
        <v>0</v>
      </c>
      <c r="AA751" s="146">
        <f t="shared" si="338"/>
        <v>0</v>
      </c>
      <c r="AB751" s="143">
        <f t="shared" si="339"/>
        <v>0</v>
      </c>
      <c r="AC751" s="133">
        <f t="shared" si="340"/>
        <v>0</v>
      </c>
      <c r="AD751" s="142">
        <v>1</v>
      </c>
      <c r="AE751" s="141"/>
      <c r="AF751" s="121" t="s">
        <v>292</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hidden="1"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292</v>
      </c>
      <c r="V752" s="133">
        <f t="shared" si="337"/>
        <v>0</v>
      </c>
      <c r="W752" s="133">
        <f>VLOOKUP(U752,Sheet1!$B$6:$C$45,2,FALSE)*V752</f>
        <v>0</v>
      </c>
      <c r="X752" s="141"/>
      <c r="Y752" s="121" t="s">
        <v>292</v>
      </c>
      <c r="Z752" s="146">
        <f>VLOOKUP(Takeoffs!Y752,Sheet1!$B$6:$C$124,2,FALSE)</f>
        <v>0</v>
      </c>
      <c r="AA752" s="146">
        <f t="shared" si="338"/>
        <v>0</v>
      </c>
      <c r="AB752" s="143">
        <f t="shared" si="339"/>
        <v>0</v>
      </c>
      <c r="AC752" s="133">
        <f t="shared" si="340"/>
        <v>0</v>
      </c>
      <c r="AD752" s="142">
        <v>1</v>
      </c>
      <c r="AE752" s="141"/>
      <c r="AF752" s="152" t="s">
        <v>418</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hidden="1" x14ac:dyDescent="0.8">
      <c r="A753" s="262">
        <f>ROW()</f>
        <v>753</v>
      </c>
      <c r="C753" s="208"/>
      <c r="D753" s="208"/>
      <c r="E753" s="208"/>
      <c r="F753" s="208"/>
      <c r="G753" s="208"/>
      <c r="H753" s="208"/>
      <c r="J753" s="114" t="str">
        <f t="shared" si="344"/>
        <v/>
      </c>
      <c r="K753" s="114" t="str">
        <f>IF(COUNTBLANK(R753)&gt;0,"",CONCATENATE(R753," for ",N740))</f>
        <v/>
      </c>
      <c r="N753" s="123" t="s">
        <v>125</v>
      </c>
      <c r="O753" s="66" t="s">
        <v>656</v>
      </c>
      <c r="P753" s="121"/>
      <c r="Q753" s="66"/>
      <c r="R753" s="121"/>
      <c r="S753" s="133">
        <f>M740</f>
        <v>0</v>
      </c>
      <c r="T753" s="120"/>
      <c r="U753" s="121" t="s">
        <v>232</v>
      </c>
      <c r="V753" s="133">
        <f t="shared" si="337"/>
        <v>0</v>
      </c>
      <c r="W753" s="133">
        <f>VLOOKUP(U753,Sheet1!$B$6:$C$45,2,FALSE)*V753</f>
        <v>0</v>
      </c>
      <c r="X753" s="141"/>
      <c r="Y753" s="122" t="s">
        <v>1344</v>
      </c>
      <c r="Z753" s="146">
        <f>VLOOKUP(Takeoffs!Y753,Sheet1!$B$6:$C$124,2,FALSE)</f>
        <v>109.25999999999999</v>
      </c>
      <c r="AA753" s="146">
        <f t="shared" si="338"/>
        <v>0</v>
      </c>
      <c r="AB753" s="143">
        <f t="shared" si="339"/>
        <v>0</v>
      </c>
      <c r="AC753" s="133">
        <f t="shared" si="340"/>
        <v>0</v>
      </c>
      <c r="AD753" s="142">
        <v>2</v>
      </c>
      <c r="AE753" s="141"/>
      <c r="AF753" s="121" t="s">
        <v>292</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hidden="1"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345</v>
      </c>
      <c r="P754" s="121" t="s">
        <v>380</v>
      </c>
      <c r="Q754" s="66" t="s">
        <v>384</v>
      </c>
      <c r="R754" s="121"/>
      <c r="S754" s="133">
        <f>M740</f>
        <v>0</v>
      </c>
      <c r="T754" s="120"/>
      <c r="U754" s="121" t="s">
        <v>292</v>
      </c>
      <c r="V754" s="133">
        <f t="shared" si="337"/>
        <v>0</v>
      </c>
      <c r="W754" s="133">
        <f>VLOOKUP(U754,Sheet1!$B$6:$C$45,2,FALSE)*V754</f>
        <v>0</v>
      </c>
      <c r="X754" s="141"/>
      <c r="Y754" s="122" t="s">
        <v>326</v>
      </c>
      <c r="Z754" s="146">
        <f>VLOOKUP(Takeoffs!Y754,Sheet1!$B$6:$C$124,2,FALSE)</f>
        <v>29.04</v>
      </c>
      <c r="AA754" s="146">
        <f t="shared" si="338"/>
        <v>0</v>
      </c>
      <c r="AB754" s="143">
        <f t="shared" si="339"/>
        <v>0</v>
      </c>
      <c r="AC754" s="133">
        <f t="shared" si="340"/>
        <v>0</v>
      </c>
      <c r="AD754" s="142">
        <v>1</v>
      </c>
      <c r="AE754" s="141"/>
      <c r="AF754" s="121" t="s">
        <v>292</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hidden="1"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337</v>
      </c>
      <c r="P755" s="121"/>
      <c r="Q755" s="66"/>
      <c r="R755" s="121" t="s">
        <v>331</v>
      </c>
      <c r="S755" s="133">
        <f>M740</f>
        <v>0</v>
      </c>
      <c r="T755" s="120"/>
      <c r="U755" s="121" t="s">
        <v>292</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292</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hidden="1" x14ac:dyDescent="0.8">
      <c r="A756" s="262">
        <f>ROW()</f>
        <v>756</v>
      </c>
      <c r="C756" s="208"/>
      <c r="D756" s="208"/>
      <c r="E756" s="208"/>
      <c r="F756" s="208"/>
      <c r="G756" s="208"/>
      <c r="H756" s="208"/>
      <c r="J756" s="114" t="str">
        <f t="shared" si="344"/>
        <v/>
      </c>
      <c r="K756" s="114" t="str">
        <f>IF(COUNTBLANK(R756)&gt;0,"",CONCATENATE(R756," for ",N740))</f>
        <v/>
      </c>
      <c r="N756" s="123" t="s">
        <v>128</v>
      </c>
      <c r="O756" s="66" t="s">
        <v>499</v>
      </c>
      <c r="P756" s="121"/>
      <c r="Q756" s="66"/>
      <c r="R756" s="121"/>
      <c r="S756" s="133">
        <f>M740</f>
        <v>0</v>
      </c>
      <c r="T756" s="120"/>
      <c r="U756" s="121" t="s">
        <v>292</v>
      </c>
      <c r="V756" s="133">
        <f t="shared" si="337"/>
        <v>0</v>
      </c>
      <c r="W756" s="133">
        <f>VLOOKUP(U756,Sheet1!$B$6:$C$45,2,FALSE)*V756</f>
        <v>0</v>
      </c>
      <c r="X756" s="141"/>
      <c r="Y756" s="135" t="s">
        <v>422</v>
      </c>
      <c r="Z756" s="146">
        <f>VLOOKUP(Takeoffs!Y756,Sheet1!$B$6:$C$124,2,FALSE)</f>
        <v>23.4</v>
      </c>
      <c r="AA756" s="146">
        <f t="shared" si="338"/>
        <v>0</v>
      </c>
      <c r="AB756" s="143">
        <f t="shared" si="339"/>
        <v>0</v>
      </c>
      <c r="AC756" s="133">
        <f t="shared" si="340"/>
        <v>0</v>
      </c>
      <c r="AD756" s="142">
        <v>2</v>
      </c>
      <c r="AE756" s="141"/>
      <c r="AF756" s="121" t="s">
        <v>292</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hidden="1"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329</v>
      </c>
      <c r="P757" s="121"/>
      <c r="Q757" s="66"/>
      <c r="R757" s="121" t="s">
        <v>304</v>
      </c>
      <c r="S757" s="133">
        <f>M740</f>
        <v>0</v>
      </c>
      <c r="T757" s="120"/>
      <c r="U757" s="121" t="s">
        <v>292</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292</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hidden="1" x14ac:dyDescent="0.8">
      <c r="A758" s="262">
        <f>ROW()</f>
        <v>758</v>
      </c>
      <c r="C758" s="208"/>
      <c r="D758" s="208"/>
      <c r="E758" s="208"/>
      <c r="F758" s="208"/>
      <c r="G758" s="208"/>
      <c r="H758" s="208"/>
      <c r="J758" s="114" t="str">
        <f t="shared" si="344"/>
        <v/>
      </c>
      <c r="K758" s="114" t="str">
        <f>IF(COUNTBLANK(R758)&gt;0,"",CONCATENATE(R758," for ",N740))</f>
        <v/>
      </c>
      <c r="N758" s="123" t="s">
        <v>130</v>
      </c>
      <c r="O758" s="66" t="s">
        <v>657</v>
      </c>
      <c r="P758" s="121"/>
      <c r="Q758" s="66"/>
      <c r="R758" s="121"/>
      <c r="S758" s="133">
        <f>M740</f>
        <v>0</v>
      </c>
      <c r="T758" s="120"/>
      <c r="U758" s="121" t="s">
        <v>292</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292</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hidden="1" x14ac:dyDescent="0.8">
      <c r="A759" s="262">
        <f>ROW()</f>
        <v>759</v>
      </c>
      <c r="C759" s="208"/>
      <c r="D759" s="208"/>
      <c r="E759" s="208"/>
      <c r="F759" s="208"/>
      <c r="G759" s="208"/>
      <c r="H759" s="208"/>
      <c r="J759" s="114" t="str">
        <f t="shared" si="344"/>
        <v/>
      </c>
      <c r="K759" s="114" t="str">
        <f>IF(COUNTBLANK(R759)&gt;0,"",CONCATENATE(R759," for ",N740))</f>
        <v/>
      </c>
      <c r="N759" s="123" t="s">
        <v>131</v>
      </c>
      <c r="O759" s="66" t="s">
        <v>407</v>
      </c>
      <c r="P759" s="121"/>
      <c r="Q759" s="66"/>
      <c r="R759" s="121"/>
      <c r="S759" s="133">
        <f>M740</f>
        <v>0</v>
      </c>
      <c r="T759" s="120"/>
      <c r="U759" s="121" t="s">
        <v>292</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292</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hidden="1" x14ac:dyDescent="0.8">
      <c r="A760" s="262">
        <f>ROW()</f>
        <v>760</v>
      </c>
      <c r="C760" s="208"/>
      <c r="D760" s="208"/>
      <c r="E760" s="208"/>
      <c r="F760" s="208"/>
      <c r="G760" s="208"/>
      <c r="H760" s="208"/>
      <c r="J760" s="114" t="str">
        <f t="shared" si="344"/>
        <v/>
      </c>
      <c r="K760" s="114" t="str">
        <f>IF(COUNTBLANK(R760)&gt;0,"",CONCATENATE(R760," for ",N740))</f>
        <v/>
      </c>
      <c r="N760" s="123" t="s">
        <v>132</v>
      </c>
      <c r="O760" s="66" t="s">
        <v>408</v>
      </c>
      <c r="P760" s="121"/>
      <c r="Q760" s="66"/>
      <c r="R760" s="121"/>
      <c r="S760" s="133">
        <f>M740</f>
        <v>0</v>
      </c>
      <c r="T760" s="120"/>
      <c r="U760" s="121" t="s">
        <v>362</v>
      </c>
      <c r="V760" s="133">
        <f t="shared" si="337"/>
        <v>0</v>
      </c>
      <c r="W760" s="133">
        <f>VLOOKUP(U760,Sheet1!$B$6:$C$45,2,FALSE)*V760</f>
        <v>0</v>
      </c>
      <c r="X760" s="141"/>
      <c r="Y760" s="121" t="s">
        <v>292</v>
      </c>
      <c r="Z760" s="146">
        <f>VLOOKUP(Takeoffs!Y760,Sheet1!$B$6:$C$124,2,FALSE)</f>
        <v>0</v>
      </c>
      <c r="AA760" s="146">
        <f t="shared" si="338"/>
        <v>0</v>
      </c>
      <c r="AB760" s="143">
        <f t="shared" si="339"/>
        <v>0</v>
      </c>
      <c r="AC760" s="133">
        <f t="shared" si="340"/>
        <v>0</v>
      </c>
      <c r="AD760" s="142">
        <v>1</v>
      </c>
      <c r="AE760" s="141"/>
      <c r="AF760" s="121" t="s">
        <v>292</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377</v>
      </c>
      <c r="L761" s="128" t="s">
        <v>378</v>
      </c>
      <c r="N761" s="129"/>
      <c r="O761" s="130" t="s">
        <v>357</v>
      </c>
      <c r="P761" s="155">
        <f>V761+AA761+AH761</f>
        <v>0</v>
      </c>
      <c r="Q761" s="155"/>
      <c r="R761" s="131"/>
      <c r="S761" s="130"/>
      <c r="T761" s="127"/>
      <c r="U761" s="126" t="s">
        <v>351</v>
      </c>
      <c r="V761" s="127">
        <f>W761*80</f>
        <v>0</v>
      </c>
      <c r="W761" s="147">
        <f>SUM(W740:W760)</f>
        <v>0</v>
      </c>
      <c r="X761" s="148"/>
      <c r="Y761" s="127" t="s">
        <v>352</v>
      </c>
      <c r="Z761" s="116"/>
      <c r="AA761" s="116">
        <f>SUM(AA740:AA760)</f>
        <v>0</v>
      </c>
      <c r="AB761" s="149"/>
      <c r="AC761" s="149"/>
      <c r="AD761" s="149"/>
      <c r="AE761" s="149"/>
      <c r="AF761" s="127" t="s">
        <v>356</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hidden="1" thickBot="1" x14ac:dyDescent="1.25">
      <c r="A762" s="262">
        <f>ROW()</f>
        <v>762</v>
      </c>
      <c r="B762" s="234" t="s">
        <v>491</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367</v>
      </c>
      <c r="N762" s="160" t="str">
        <f>N740</f>
        <v xml:space="preserve">2 speed DOL fan with fire shutdown - from MSSB power supply </v>
      </c>
      <c r="O762" s="185" t="s">
        <v>365</v>
      </c>
      <c r="P762" s="203" t="e">
        <f>P761/M740</f>
        <v>#DIV/0!</v>
      </c>
      <c r="Q762" s="195"/>
      <c r="R762" s="188"/>
      <c r="S762" s="160"/>
      <c r="T762" s="161"/>
      <c r="U762" s="571" t="s">
        <v>366</v>
      </c>
      <c r="V762" s="571"/>
      <c r="W762" s="162" t="e">
        <f>W761/M740</f>
        <v>#DIV/0!</v>
      </c>
      <c r="X762" s="163"/>
      <c r="Y762" s="570" t="s">
        <v>365</v>
      </c>
      <c r="Z762" s="570"/>
      <c r="AA762" s="164" t="e">
        <f>AA761/M740</f>
        <v>#DIV/0!</v>
      </c>
      <c r="AB762" s="161"/>
      <c r="AC762" s="161"/>
      <c r="AD762" s="161"/>
      <c r="AE762" s="161"/>
      <c r="AF762" s="570" t="s">
        <v>365</v>
      </c>
      <c r="AG762" s="570"/>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452</v>
      </c>
      <c r="M763" s="116" t="s">
        <v>107</v>
      </c>
      <c r="N763" s="116" t="s">
        <v>108</v>
      </c>
      <c r="O763" s="170" t="s">
        <v>386</v>
      </c>
      <c r="P763" s="572" t="s">
        <v>375</v>
      </c>
      <c r="Q763" s="572"/>
      <c r="R763" s="101" t="s">
        <v>452</v>
      </c>
      <c r="S763" s="116" t="s">
        <v>0</v>
      </c>
      <c r="T763" s="118"/>
      <c r="U763" s="116" t="s">
        <v>287</v>
      </c>
      <c r="V763" s="116" t="s">
        <v>288</v>
      </c>
      <c r="W763" s="116" t="s">
        <v>291</v>
      </c>
      <c r="X763" s="140"/>
      <c r="Y763" s="116" t="s">
        <v>289</v>
      </c>
      <c r="Z763" s="116" t="s">
        <v>354</v>
      </c>
      <c r="AA763" s="116" t="s">
        <v>355</v>
      </c>
      <c r="AB763" s="116" t="s">
        <v>317</v>
      </c>
      <c r="AC763" s="116" t="s">
        <v>318</v>
      </c>
      <c r="AD763" s="116" t="s">
        <v>316</v>
      </c>
      <c r="AE763" s="140"/>
      <c r="AF763" s="116" t="s">
        <v>293</v>
      </c>
      <c r="AG763" s="116" t="s">
        <v>354</v>
      </c>
      <c r="AH763" s="116" t="s">
        <v>355</v>
      </c>
      <c r="AI763" s="116" t="s">
        <v>296</v>
      </c>
      <c r="AJ763" s="116" t="s">
        <v>294</v>
      </c>
      <c r="AK763" s="116" t="s">
        <v>295</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487</v>
      </c>
      <c r="O764" s="121" t="s">
        <v>488</v>
      </c>
      <c r="P764" s="169" t="s">
        <v>379</v>
      </c>
      <c r="Q764" s="169" t="s">
        <v>375</v>
      </c>
      <c r="R764" s="169"/>
      <c r="S764" s="133">
        <f>M764</f>
        <v>0</v>
      </c>
      <c r="T764" s="119"/>
      <c r="U764" s="121" t="s">
        <v>292</v>
      </c>
      <c r="V764" s="133">
        <f>S764</f>
        <v>0</v>
      </c>
      <c r="W764" s="133">
        <f>VLOOKUP(U764,Sheet1!$B$6:$C$45,2,FALSE)*V764</f>
        <v>0</v>
      </c>
      <c r="X764" s="141"/>
      <c r="Y764" s="121" t="s">
        <v>292</v>
      </c>
      <c r="Z764" s="146">
        <f>VLOOKUP(Takeoffs!Y764,Sheet1!$B$6:$C$124,2,FALSE)</f>
        <v>0</v>
      </c>
      <c r="AA764" s="146">
        <f>Z764*AB764</f>
        <v>0</v>
      </c>
      <c r="AB764" s="143">
        <f>AD764*AC764</f>
        <v>0</v>
      </c>
      <c r="AC764" s="133">
        <f>S764</f>
        <v>0</v>
      </c>
      <c r="AD764" s="142">
        <v>1</v>
      </c>
      <c r="AE764" s="141"/>
      <c r="AF764" s="121" t="s">
        <v>292</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hidden="1"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340</v>
      </c>
      <c r="P765" s="121"/>
      <c r="Q765" s="66"/>
      <c r="R765" s="121"/>
      <c r="S765" s="133">
        <f>M764</f>
        <v>0</v>
      </c>
      <c r="T765" s="120"/>
      <c r="U765" s="121" t="s">
        <v>292</v>
      </c>
      <c r="V765" s="133">
        <f t="shared" ref="V765:V784" si="346">S765</f>
        <v>0</v>
      </c>
      <c r="W765" s="133">
        <f>VLOOKUP(U765,Sheet1!$B$6:$C$45,2,FALSE)*V765</f>
        <v>0</v>
      </c>
      <c r="X765" s="141"/>
      <c r="Y765" s="121" t="s">
        <v>292</v>
      </c>
      <c r="Z765" s="146">
        <f>VLOOKUP(Takeoffs!Y765,Sheet1!$B$6:$C$124,2,FALSE)</f>
        <v>0</v>
      </c>
      <c r="AA765" s="146">
        <f t="shared" ref="AA765:AA784" si="347">Z765*AB765</f>
        <v>0</v>
      </c>
      <c r="AB765" s="143">
        <f t="shared" ref="AB765:AB784" si="348">AD765*AC765</f>
        <v>0</v>
      </c>
      <c r="AC765" s="133">
        <f>S765</f>
        <v>0</v>
      </c>
      <c r="AD765" s="142">
        <v>1</v>
      </c>
      <c r="AE765" s="141"/>
      <c r="AF765" s="121" t="s">
        <v>292</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hidden="1"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308</v>
      </c>
      <c r="P766" s="121"/>
      <c r="Q766" s="66"/>
      <c r="R766" s="121"/>
      <c r="S766" s="133">
        <f>M764</f>
        <v>0</v>
      </c>
      <c r="T766" s="120"/>
      <c r="U766" s="121" t="s">
        <v>292</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hidden="1"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489</v>
      </c>
      <c r="P767" s="121"/>
      <c r="Q767" s="66"/>
      <c r="R767" s="121"/>
      <c r="S767" s="133">
        <f>M764</f>
        <v>0</v>
      </c>
      <c r="T767" s="120"/>
      <c r="U767" s="117" t="s">
        <v>478</v>
      </c>
      <c r="V767" s="133">
        <f t="shared" si="346"/>
        <v>0</v>
      </c>
      <c r="W767" s="133">
        <f>VLOOKUP(U767,Sheet1!$B$6:$C$45,2,FALSE)*V767</f>
        <v>0</v>
      </c>
      <c r="X767" s="141"/>
      <c r="Y767" s="121" t="s">
        <v>292</v>
      </c>
      <c r="Z767" s="146">
        <f>VLOOKUP(Takeoffs!Y767,Sheet1!$B$6:$C$124,2,FALSE)</f>
        <v>0</v>
      </c>
      <c r="AA767" s="146">
        <f t="shared" si="347"/>
        <v>0</v>
      </c>
      <c r="AB767" s="143">
        <f t="shared" si="348"/>
        <v>0</v>
      </c>
      <c r="AC767" s="133">
        <f t="shared" ref="AC767:AC784" si="353">S767</f>
        <v>0</v>
      </c>
      <c r="AD767" s="142">
        <v>1</v>
      </c>
      <c r="AE767" s="141"/>
      <c r="AF767" s="121" t="s">
        <v>292</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hidden="1"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292</v>
      </c>
      <c r="Z768" s="146">
        <f>VLOOKUP(Takeoffs!Y768,Sheet1!$B$6:$C$124,2,FALSE)</f>
        <v>0</v>
      </c>
      <c r="AA768" s="146">
        <f t="shared" si="347"/>
        <v>0</v>
      </c>
      <c r="AB768" s="143">
        <f t="shared" si="348"/>
        <v>0</v>
      </c>
      <c r="AC768" s="133">
        <f t="shared" si="353"/>
        <v>0</v>
      </c>
      <c r="AD768" s="142">
        <v>1</v>
      </c>
      <c r="AE768" s="141"/>
      <c r="AF768" s="121" t="s">
        <v>292</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hidden="1"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292</v>
      </c>
      <c r="V769" s="133">
        <f t="shared" si="346"/>
        <v>0</v>
      </c>
      <c r="W769" s="133">
        <f>VLOOKUP(U769,Sheet1!$B$6:$C$45,2,FALSE)*V769</f>
        <v>0</v>
      </c>
      <c r="X769" s="141"/>
      <c r="Y769" s="121" t="s">
        <v>292</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hidden="1"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406</v>
      </c>
      <c r="P770" s="121"/>
      <c r="Q770" s="66"/>
      <c r="R770" s="121"/>
      <c r="S770" s="133">
        <f>M764</f>
        <v>0</v>
      </c>
      <c r="T770" s="120"/>
      <c r="U770" s="121" t="s">
        <v>292</v>
      </c>
      <c r="V770" s="133">
        <f t="shared" si="346"/>
        <v>0</v>
      </c>
      <c r="W770" s="133">
        <f>VLOOKUP(U770,Sheet1!$B$6:$C$45,2,FALSE)*V770</f>
        <v>0</v>
      </c>
      <c r="X770" s="141"/>
      <c r="Y770" s="121" t="s">
        <v>292</v>
      </c>
      <c r="Z770" s="146">
        <f>VLOOKUP(Takeoffs!Y770,Sheet1!$B$6:$C$124,2,FALSE)</f>
        <v>0</v>
      </c>
      <c r="AA770" s="146">
        <f t="shared" si="347"/>
        <v>0</v>
      </c>
      <c r="AB770" s="143">
        <f t="shared" si="348"/>
        <v>0</v>
      </c>
      <c r="AC770" s="133">
        <f t="shared" si="353"/>
        <v>0</v>
      </c>
      <c r="AD770" s="142">
        <v>1</v>
      </c>
      <c r="AE770" s="141"/>
      <c r="AF770" s="121" t="s">
        <v>292</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hidden="1"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292</v>
      </c>
      <c r="V771" s="133">
        <f t="shared" si="346"/>
        <v>0</v>
      </c>
      <c r="W771" s="133">
        <f>VLOOKUP(U771,Sheet1!$B$6:$C$45,2,FALSE)*V771</f>
        <v>0</v>
      </c>
      <c r="X771" s="141"/>
      <c r="Y771" s="121" t="s">
        <v>292</v>
      </c>
      <c r="Z771" s="146">
        <f>VLOOKUP(Takeoffs!Y771,Sheet1!$B$6:$C$124,2,FALSE)</f>
        <v>0</v>
      </c>
      <c r="AA771" s="146">
        <f t="shared" si="347"/>
        <v>0</v>
      </c>
      <c r="AB771" s="143">
        <f t="shared" si="348"/>
        <v>0</v>
      </c>
      <c r="AC771" s="133">
        <f t="shared" si="353"/>
        <v>0</v>
      </c>
      <c r="AD771" s="142">
        <v>1</v>
      </c>
      <c r="AE771" s="141"/>
      <c r="AF771" s="121" t="s">
        <v>292</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hidden="1" x14ac:dyDescent="0.8">
      <c r="A772" s="262">
        <f>ROW()</f>
        <v>772</v>
      </c>
      <c r="C772" s="208"/>
      <c r="D772" s="208"/>
      <c r="E772" s="208"/>
      <c r="F772" s="208"/>
      <c r="G772" s="208"/>
      <c r="H772" s="208"/>
      <c r="J772" s="114" t="str">
        <f t="shared" si="352"/>
        <v/>
      </c>
      <c r="K772" s="114" t="str">
        <f>IF(COUNTBLANK(R772)&gt;0,"",CONCATENATE(R772," for ",N764))</f>
        <v/>
      </c>
      <c r="N772" s="123" t="s">
        <v>120</v>
      </c>
      <c r="O772" s="66" t="s">
        <v>328</v>
      </c>
      <c r="P772" s="121"/>
      <c r="Q772" s="66"/>
      <c r="R772" s="121"/>
      <c r="S772" s="133">
        <f>M764</f>
        <v>0</v>
      </c>
      <c r="T772" s="120"/>
      <c r="U772" s="121" t="s">
        <v>364</v>
      </c>
      <c r="V772" s="133">
        <f t="shared" si="346"/>
        <v>0</v>
      </c>
      <c r="W772" s="133">
        <f>VLOOKUP(U772,Sheet1!$B$6:$C$45,2,FALSE)*V772</f>
        <v>0</v>
      </c>
      <c r="X772" s="141"/>
      <c r="Y772" s="121" t="s">
        <v>292</v>
      </c>
      <c r="Z772" s="146">
        <f>VLOOKUP(Takeoffs!Y772,Sheet1!$B$6:$C$124,2,FALSE)</f>
        <v>0</v>
      </c>
      <c r="AA772" s="146">
        <f t="shared" si="347"/>
        <v>0</v>
      </c>
      <c r="AB772" s="143">
        <f t="shared" si="348"/>
        <v>0</v>
      </c>
      <c r="AC772" s="133">
        <f t="shared" si="353"/>
        <v>0</v>
      </c>
      <c r="AD772" s="142">
        <v>1</v>
      </c>
      <c r="AE772" s="141"/>
      <c r="AF772" s="121" t="s">
        <v>292</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hidden="1"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292</v>
      </c>
      <c r="V773" s="133">
        <f t="shared" si="346"/>
        <v>0</v>
      </c>
      <c r="W773" s="133">
        <f>VLOOKUP(U773,Sheet1!$B$6:$C$45,2,FALSE)*V773</f>
        <v>0</v>
      </c>
      <c r="X773" s="141"/>
      <c r="Y773" s="121" t="s">
        <v>292</v>
      </c>
      <c r="Z773" s="146">
        <f>VLOOKUP(Takeoffs!Y773,Sheet1!$B$6:$C$124,2,FALSE)</f>
        <v>0</v>
      </c>
      <c r="AA773" s="146">
        <f t="shared" si="347"/>
        <v>0</v>
      </c>
      <c r="AB773" s="143">
        <f t="shared" si="348"/>
        <v>0</v>
      </c>
      <c r="AC773" s="133">
        <f t="shared" si="353"/>
        <v>0</v>
      </c>
      <c r="AD773" s="142">
        <v>1</v>
      </c>
      <c r="AE773" s="141"/>
      <c r="AF773" s="121" t="s">
        <v>292</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hidden="1"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292</v>
      </c>
      <c r="V774" s="133">
        <f t="shared" si="346"/>
        <v>0</v>
      </c>
      <c r="W774" s="133">
        <f>VLOOKUP(U774,Sheet1!$B$6:$C$45,2,FALSE)*V774</f>
        <v>0</v>
      </c>
      <c r="X774" s="141"/>
      <c r="Y774" s="121" t="s">
        <v>292</v>
      </c>
      <c r="Z774" s="146">
        <f>VLOOKUP(Takeoffs!Y774,Sheet1!$B$6:$C$124,2,FALSE)</f>
        <v>0</v>
      </c>
      <c r="AA774" s="146">
        <f t="shared" si="347"/>
        <v>0</v>
      </c>
      <c r="AB774" s="143">
        <f t="shared" si="348"/>
        <v>0</v>
      </c>
      <c r="AC774" s="133">
        <f t="shared" si="353"/>
        <v>0</v>
      </c>
      <c r="AD774" s="142">
        <v>1</v>
      </c>
      <c r="AE774" s="141"/>
      <c r="AF774" s="121" t="s">
        <v>292</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hidden="1"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292</v>
      </c>
      <c r="V775" s="133">
        <f t="shared" si="346"/>
        <v>0</v>
      </c>
      <c r="W775" s="133">
        <f>VLOOKUP(U775,Sheet1!$B$6:$C$45,2,FALSE)*V775</f>
        <v>0</v>
      </c>
      <c r="X775" s="141"/>
      <c r="Y775" s="121" t="s">
        <v>292</v>
      </c>
      <c r="Z775" s="146">
        <f>VLOOKUP(Takeoffs!Y775,Sheet1!$B$6:$C$124,2,FALSE)</f>
        <v>0</v>
      </c>
      <c r="AA775" s="146">
        <f t="shared" si="347"/>
        <v>0</v>
      </c>
      <c r="AB775" s="143">
        <f t="shared" si="348"/>
        <v>0</v>
      </c>
      <c r="AC775" s="133">
        <f t="shared" si="353"/>
        <v>0</v>
      </c>
      <c r="AD775" s="142">
        <v>1</v>
      </c>
      <c r="AE775" s="141"/>
      <c r="AF775" s="121" t="s">
        <v>292</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hidden="1"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292</v>
      </c>
      <c r="V776" s="133">
        <f t="shared" si="346"/>
        <v>0</v>
      </c>
      <c r="W776" s="133">
        <f>VLOOKUP(U776,Sheet1!$B$6:$C$45,2,FALSE)*V776</f>
        <v>0</v>
      </c>
      <c r="X776" s="141"/>
      <c r="Y776" s="121" t="s">
        <v>292</v>
      </c>
      <c r="Z776" s="146">
        <f>VLOOKUP(Takeoffs!Y776,Sheet1!$B$6:$C$124,2,FALSE)</f>
        <v>0</v>
      </c>
      <c r="AA776" s="146">
        <f t="shared" si="347"/>
        <v>0</v>
      </c>
      <c r="AB776" s="143">
        <f t="shared" si="348"/>
        <v>0</v>
      </c>
      <c r="AC776" s="133">
        <f t="shared" si="353"/>
        <v>0</v>
      </c>
      <c r="AD776" s="142">
        <v>1</v>
      </c>
      <c r="AE776" s="141"/>
      <c r="AF776" s="152" t="s">
        <v>418</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hidden="1" x14ac:dyDescent="0.8">
      <c r="A777" s="262">
        <f>ROW()</f>
        <v>777</v>
      </c>
      <c r="C777" s="208"/>
      <c r="D777" s="208"/>
      <c r="E777" s="208"/>
      <c r="F777" s="208"/>
      <c r="G777" s="208"/>
      <c r="H777" s="208"/>
      <c r="J777" s="114" t="str">
        <f t="shared" si="352"/>
        <v/>
      </c>
      <c r="K777" s="114" t="str">
        <f>IF(COUNTBLANK(R777)&gt;0,"",CONCATENATE(R777," for ",N764))</f>
        <v/>
      </c>
      <c r="N777" s="123" t="s">
        <v>125</v>
      </c>
      <c r="O777" s="66" t="s">
        <v>312</v>
      </c>
      <c r="P777" s="121"/>
      <c r="Q777" s="66"/>
      <c r="R777" s="121"/>
      <c r="S777" s="133">
        <f>M764</f>
        <v>0</v>
      </c>
      <c r="T777" s="120"/>
      <c r="U777" s="121" t="s">
        <v>232</v>
      </c>
      <c r="V777" s="133">
        <f t="shared" si="346"/>
        <v>0</v>
      </c>
      <c r="W777" s="133">
        <f>VLOOKUP(U777,Sheet1!$B$6:$C$45,2,FALSE)*V777</f>
        <v>0</v>
      </c>
      <c r="X777" s="141"/>
      <c r="Y777" s="122" t="s">
        <v>1344</v>
      </c>
      <c r="Z777" s="146">
        <f>VLOOKUP(Takeoffs!Y777,Sheet1!$B$6:$C$124,2,FALSE)</f>
        <v>109.25999999999999</v>
      </c>
      <c r="AA777" s="146">
        <f t="shared" si="347"/>
        <v>0</v>
      </c>
      <c r="AB777" s="143">
        <f t="shared" si="348"/>
        <v>0</v>
      </c>
      <c r="AC777" s="133">
        <f t="shared" si="353"/>
        <v>0</v>
      </c>
      <c r="AD777" s="142">
        <v>1</v>
      </c>
      <c r="AE777" s="141"/>
      <c r="AF777" s="121" t="s">
        <v>292</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hidden="1"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345</v>
      </c>
      <c r="P778" s="121" t="s">
        <v>380</v>
      </c>
      <c r="Q778" s="66" t="s">
        <v>384</v>
      </c>
      <c r="R778" s="121"/>
      <c r="S778" s="133">
        <f>M764</f>
        <v>0</v>
      </c>
      <c r="T778" s="120"/>
      <c r="U778" s="121" t="s">
        <v>292</v>
      </c>
      <c r="V778" s="133">
        <f t="shared" si="346"/>
        <v>0</v>
      </c>
      <c r="W778" s="133">
        <f>VLOOKUP(U778,Sheet1!$B$6:$C$45,2,FALSE)*V778</f>
        <v>0</v>
      </c>
      <c r="X778" s="141"/>
      <c r="Y778" s="122" t="s">
        <v>326</v>
      </c>
      <c r="Z778" s="146">
        <f>VLOOKUP(Takeoffs!Y778,Sheet1!$B$6:$C$124,2,FALSE)</f>
        <v>29.04</v>
      </c>
      <c r="AA778" s="146">
        <f t="shared" si="347"/>
        <v>0</v>
      </c>
      <c r="AB778" s="143">
        <f t="shared" si="348"/>
        <v>0</v>
      </c>
      <c r="AC778" s="133">
        <f t="shared" si="353"/>
        <v>0</v>
      </c>
      <c r="AD778" s="142">
        <v>1</v>
      </c>
      <c r="AE778" s="141"/>
      <c r="AF778" s="121" t="s">
        <v>292</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hidden="1"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337</v>
      </c>
      <c r="P779" s="121"/>
      <c r="Q779" s="66"/>
      <c r="R779" s="121" t="s">
        <v>331</v>
      </c>
      <c r="S779" s="133">
        <f>M764</f>
        <v>0</v>
      </c>
      <c r="T779" s="120"/>
      <c r="U779" s="121" t="s">
        <v>292</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292</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hidden="1" x14ac:dyDescent="0.8">
      <c r="A780" s="262">
        <f>ROW()</f>
        <v>780</v>
      </c>
      <c r="C780" s="208"/>
      <c r="D780" s="208"/>
      <c r="E780" s="208"/>
      <c r="F780" s="208"/>
      <c r="G780" s="208"/>
      <c r="H780" s="208"/>
      <c r="J780" s="114" t="str">
        <f t="shared" si="352"/>
        <v/>
      </c>
      <c r="K780" s="114" t="str">
        <f>IF(COUNTBLANK(R780)&gt;0,"",CONCATENATE(R780," for ",N764))</f>
        <v/>
      </c>
      <c r="N780" s="123" t="s">
        <v>128</v>
      </c>
      <c r="O780" s="66" t="s">
        <v>499</v>
      </c>
      <c r="P780" s="121"/>
      <c r="Q780" s="66"/>
      <c r="R780" s="121"/>
      <c r="S780" s="133">
        <f>M764</f>
        <v>0</v>
      </c>
      <c r="T780" s="120"/>
      <c r="U780" s="121" t="s">
        <v>292</v>
      </c>
      <c r="V780" s="133">
        <f t="shared" si="346"/>
        <v>0</v>
      </c>
      <c r="W780" s="133">
        <f>VLOOKUP(U780,Sheet1!$B$6:$C$45,2,FALSE)*V780</f>
        <v>0</v>
      </c>
      <c r="X780" s="141"/>
      <c r="Y780" s="135" t="s">
        <v>422</v>
      </c>
      <c r="Z780" s="146">
        <f>VLOOKUP(Takeoffs!Y780,Sheet1!$B$6:$C$124,2,FALSE)</f>
        <v>23.4</v>
      </c>
      <c r="AA780" s="146">
        <f t="shared" si="347"/>
        <v>0</v>
      </c>
      <c r="AB780" s="143">
        <f t="shared" si="348"/>
        <v>0</v>
      </c>
      <c r="AC780" s="133">
        <f t="shared" si="353"/>
        <v>0</v>
      </c>
      <c r="AD780" s="142">
        <v>1</v>
      </c>
      <c r="AE780" s="141"/>
      <c r="AF780" s="121" t="s">
        <v>292</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hidden="1"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329</v>
      </c>
      <c r="P781" s="121"/>
      <c r="Q781" s="66"/>
      <c r="R781" s="121" t="s">
        <v>304</v>
      </c>
      <c r="S781" s="133">
        <f>M764</f>
        <v>0</v>
      </c>
      <c r="T781" s="120"/>
      <c r="U781" s="121" t="s">
        <v>292</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292</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hidden="1" x14ac:dyDescent="0.8">
      <c r="A782" s="262">
        <f>ROW()</f>
        <v>782</v>
      </c>
      <c r="C782" s="208"/>
      <c r="D782" s="208"/>
      <c r="E782" s="208"/>
      <c r="F782" s="208"/>
      <c r="G782" s="208"/>
      <c r="H782" s="208"/>
      <c r="J782" s="114" t="str">
        <f t="shared" si="352"/>
        <v/>
      </c>
      <c r="K782" s="114" t="str">
        <f>IF(COUNTBLANK(R782)&gt;0,"",CONCATENATE(R782," for ",N764))</f>
        <v/>
      </c>
      <c r="N782" s="123" t="s">
        <v>130</v>
      </c>
      <c r="O782" s="66" t="s">
        <v>500</v>
      </c>
      <c r="P782" s="121"/>
      <c r="Q782" s="66"/>
      <c r="R782" s="121"/>
      <c r="S782" s="133">
        <f>M764</f>
        <v>0</v>
      </c>
      <c r="T782" s="120"/>
      <c r="U782" s="121" t="s">
        <v>292</v>
      </c>
      <c r="V782" s="133">
        <f t="shared" si="346"/>
        <v>0</v>
      </c>
      <c r="W782" s="133">
        <f>VLOOKUP(U782,Sheet1!$B$6:$C$45,2,FALSE)*V782</f>
        <v>0</v>
      </c>
      <c r="X782" s="141"/>
      <c r="Y782" s="121" t="s">
        <v>292</v>
      </c>
      <c r="Z782" s="146">
        <f>VLOOKUP(Takeoffs!Y782,Sheet1!$B$6:$C$124,2,FALSE)</f>
        <v>0</v>
      </c>
      <c r="AA782" s="146">
        <f t="shared" si="347"/>
        <v>0</v>
      </c>
      <c r="AB782" s="143">
        <f t="shared" si="348"/>
        <v>0</v>
      </c>
      <c r="AC782" s="133">
        <f t="shared" si="353"/>
        <v>0</v>
      </c>
      <c r="AD782" s="142">
        <v>1</v>
      </c>
      <c r="AE782" s="141"/>
      <c r="AF782" s="121" t="s">
        <v>292</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hidden="1" x14ac:dyDescent="0.8">
      <c r="A783" s="262">
        <f>ROW()</f>
        <v>783</v>
      </c>
      <c r="C783" s="208"/>
      <c r="D783" s="208"/>
      <c r="E783" s="208"/>
      <c r="F783" s="208"/>
      <c r="G783" s="208"/>
      <c r="H783" s="208"/>
      <c r="J783" s="114" t="str">
        <f t="shared" si="352"/>
        <v/>
      </c>
      <c r="K783" s="114" t="str">
        <f>IF(COUNTBLANK(R783)&gt;0,"",CONCATENATE(R783," for ",N764))</f>
        <v/>
      </c>
      <c r="N783" s="123" t="s">
        <v>131</v>
      </c>
      <c r="O783" s="66" t="s">
        <v>407</v>
      </c>
      <c r="P783" s="121"/>
      <c r="Q783" s="66"/>
      <c r="R783" s="121"/>
      <c r="S783" s="133">
        <f>M764</f>
        <v>0</v>
      </c>
      <c r="T783" s="120"/>
      <c r="U783" s="121" t="s">
        <v>292</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292</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hidden="1" x14ac:dyDescent="0.8">
      <c r="A784" s="262">
        <f>ROW()</f>
        <v>784</v>
      </c>
      <c r="C784" s="208"/>
      <c r="D784" s="208"/>
      <c r="E784" s="208"/>
      <c r="F784" s="208"/>
      <c r="G784" s="208"/>
      <c r="H784" s="208"/>
      <c r="J784" s="114" t="str">
        <f t="shared" si="352"/>
        <v/>
      </c>
      <c r="K784" s="114" t="str">
        <f>IF(COUNTBLANK(R784)&gt;0,"",CONCATENATE(R784," for ",N764))</f>
        <v/>
      </c>
      <c r="N784" s="123" t="s">
        <v>132</v>
      </c>
      <c r="O784" s="66" t="s">
        <v>408</v>
      </c>
      <c r="P784" s="121"/>
      <c r="Q784" s="66"/>
      <c r="R784" s="121"/>
      <c r="S784" s="133">
        <f>M764</f>
        <v>0</v>
      </c>
      <c r="T784" s="120"/>
      <c r="U784" s="121" t="s">
        <v>362</v>
      </c>
      <c r="V784" s="133">
        <f t="shared" si="346"/>
        <v>0</v>
      </c>
      <c r="W784" s="133">
        <f>VLOOKUP(U784,Sheet1!$B$6:$C$45,2,FALSE)*V784</f>
        <v>0</v>
      </c>
      <c r="X784" s="141"/>
      <c r="Y784" s="121" t="s">
        <v>292</v>
      </c>
      <c r="Z784" s="146">
        <f>VLOOKUP(Takeoffs!Y784,Sheet1!$B$6:$C$124,2,FALSE)</f>
        <v>0</v>
      </c>
      <c r="AA784" s="146">
        <f t="shared" si="347"/>
        <v>0</v>
      </c>
      <c r="AB784" s="143">
        <f t="shared" si="348"/>
        <v>0</v>
      </c>
      <c r="AC784" s="133">
        <f t="shared" si="353"/>
        <v>0</v>
      </c>
      <c r="AD784" s="142">
        <v>1</v>
      </c>
      <c r="AE784" s="141"/>
      <c r="AF784" s="121" t="s">
        <v>292</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377</v>
      </c>
      <c r="L785" s="128" t="s">
        <v>378</v>
      </c>
      <c r="N785" s="129"/>
      <c r="O785" s="130" t="s">
        <v>357</v>
      </c>
      <c r="P785" s="155">
        <f>V785+AA785+AH785</f>
        <v>0</v>
      </c>
      <c r="Q785" s="155"/>
      <c r="R785" s="131"/>
      <c r="S785" s="130"/>
      <c r="T785" s="127"/>
      <c r="U785" s="126" t="s">
        <v>351</v>
      </c>
      <c r="V785" s="127">
        <f>W785*80</f>
        <v>0</v>
      </c>
      <c r="W785" s="147">
        <f>SUM(W764:W784)</f>
        <v>0</v>
      </c>
      <c r="X785" s="148"/>
      <c r="Y785" s="127" t="s">
        <v>352</v>
      </c>
      <c r="Z785" s="116"/>
      <c r="AA785" s="116">
        <f>SUM(AA764:AA784)</f>
        <v>0</v>
      </c>
      <c r="AB785" s="149"/>
      <c r="AC785" s="149"/>
      <c r="AD785" s="149"/>
      <c r="AE785" s="149"/>
      <c r="AF785" s="127" t="s">
        <v>356</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hidden="1" thickBot="1" x14ac:dyDescent="1.25">
      <c r="A786" s="262">
        <f>ROW()</f>
        <v>786</v>
      </c>
      <c r="B786" s="234" t="s">
        <v>491</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367</v>
      </c>
      <c r="N786" s="160" t="str">
        <f>N764</f>
        <v>DOL fan with fire shutdown - from MSSB power supply and BMS interface provisions</v>
      </c>
      <c r="O786" s="185" t="s">
        <v>365</v>
      </c>
      <c r="P786" s="203" t="e">
        <f>P785/M764</f>
        <v>#DIV/0!</v>
      </c>
      <c r="Q786" s="195"/>
      <c r="R786" s="188"/>
      <c r="S786" s="160"/>
      <c r="T786" s="161"/>
      <c r="U786" s="571" t="s">
        <v>366</v>
      </c>
      <c r="V786" s="571"/>
      <c r="W786" s="162" t="e">
        <f>W785/M764</f>
        <v>#DIV/0!</v>
      </c>
      <c r="X786" s="163"/>
      <c r="Y786" s="570" t="s">
        <v>365</v>
      </c>
      <c r="Z786" s="570"/>
      <c r="AA786" s="164" t="e">
        <f>AA785/M764</f>
        <v>#DIV/0!</v>
      </c>
      <c r="AB786" s="161"/>
      <c r="AC786" s="161"/>
      <c r="AD786" s="161"/>
      <c r="AE786" s="161"/>
      <c r="AF786" s="570" t="s">
        <v>365</v>
      </c>
      <c r="AG786" s="570"/>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452</v>
      </c>
      <c r="M787" s="116" t="s">
        <v>107</v>
      </c>
      <c r="N787" s="116" t="s">
        <v>108</v>
      </c>
      <c r="O787" s="170" t="s">
        <v>386</v>
      </c>
      <c r="P787" s="573" t="s">
        <v>375</v>
      </c>
      <c r="Q787" s="573"/>
      <c r="R787" s="101" t="s">
        <v>452</v>
      </c>
      <c r="S787" s="116" t="s">
        <v>0</v>
      </c>
      <c r="T787" s="118"/>
      <c r="U787" s="116" t="s">
        <v>287</v>
      </c>
      <c r="V787" s="116" t="s">
        <v>288</v>
      </c>
      <c r="W787" s="116" t="s">
        <v>291</v>
      </c>
      <c r="X787" s="140"/>
      <c r="Y787" s="116" t="s">
        <v>289</v>
      </c>
      <c r="Z787" s="116" t="s">
        <v>354</v>
      </c>
      <c r="AA787" s="116" t="s">
        <v>355</v>
      </c>
      <c r="AB787" s="116" t="s">
        <v>317</v>
      </c>
      <c r="AC787" s="116" t="s">
        <v>318</v>
      </c>
      <c r="AD787" s="116" t="s">
        <v>316</v>
      </c>
      <c r="AE787" s="140"/>
      <c r="AF787" s="116" t="s">
        <v>293</v>
      </c>
      <c r="AG787" s="116" t="s">
        <v>354</v>
      </c>
      <c r="AH787" s="116" t="s">
        <v>355</v>
      </c>
      <c r="AI787" s="116" t="s">
        <v>296</v>
      </c>
      <c r="AJ787" s="116" t="s">
        <v>294</v>
      </c>
      <c r="AK787" s="116" t="s">
        <v>295</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580</v>
      </c>
      <c r="O788" s="121" t="s">
        <v>133</v>
      </c>
      <c r="P788" s="169" t="s">
        <v>379</v>
      </c>
      <c r="Q788" s="169" t="s">
        <v>375</v>
      </c>
      <c r="R788" s="169"/>
      <c r="S788" s="133">
        <f>M788</f>
        <v>0</v>
      </c>
      <c r="T788" s="119"/>
      <c r="U788" s="121" t="s">
        <v>292</v>
      </c>
      <c r="V788" s="133">
        <f>S788</f>
        <v>0</v>
      </c>
      <c r="W788" s="133">
        <f>VLOOKUP(U788,Sheet1!$B$6:$C$45,2,FALSE)*V788</f>
        <v>0</v>
      </c>
      <c r="X788" s="141"/>
      <c r="Y788" s="121" t="s">
        <v>292</v>
      </c>
      <c r="Z788" s="146">
        <f>VLOOKUP(Takeoffs!Y788,Sheet1!$B$6:$C$124,2,FALSE)</f>
        <v>0</v>
      </c>
      <c r="AA788" s="146">
        <f>Z788*AB788</f>
        <v>0</v>
      </c>
      <c r="AB788" s="143">
        <f>AD788*AC788</f>
        <v>0</v>
      </c>
      <c r="AC788" s="133">
        <f>S788</f>
        <v>0</v>
      </c>
      <c r="AD788" s="142">
        <v>1</v>
      </c>
      <c r="AE788" s="141"/>
      <c r="AF788" s="121" t="s">
        <v>292</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340</v>
      </c>
      <c r="P789" s="121"/>
      <c r="Q789" s="66"/>
      <c r="R789" s="121"/>
      <c r="S789" s="133">
        <f>M788</f>
        <v>0</v>
      </c>
      <c r="T789" s="120"/>
      <c r="U789" s="121" t="s">
        <v>292</v>
      </c>
      <c r="V789" s="133">
        <f t="shared" ref="V789:V808" si="360">S789</f>
        <v>0</v>
      </c>
      <c r="W789" s="133">
        <f>VLOOKUP(U789,Sheet1!$B$6:$C$45,2,FALSE)*V789</f>
        <v>0</v>
      </c>
      <c r="X789" s="141"/>
      <c r="Y789" s="121" t="s">
        <v>292</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292</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308</v>
      </c>
      <c r="P790" s="121"/>
      <c r="Q790" s="66"/>
      <c r="R790" s="121"/>
      <c r="S790" s="133">
        <f>M788</f>
        <v>0</v>
      </c>
      <c r="T790" s="120"/>
      <c r="U790" s="121" t="s">
        <v>292</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305</v>
      </c>
      <c r="P791" s="121"/>
      <c r="Q791" s="66"/>
      <c r="R791" s="121"/>
      <c r="S791" s="133">
        <f>M788</f>
        <v>0</v>
      </c>
      <c r="T791" s="120"/>
      <c r="U791" s="117" t="s">
        <v>478</v>
      </c>
      <c r="V791" s="133">
        <f t="shared" si="360"/>
        <v>0</v>
      </c>
      <c r="W791" s="133">
        <f>VLOOKUP(U791,Sheet1!$B$6:$C$45,2,FALSE)*V791</f>
        <v>0</v>
      </c>
      <c r="X791" s="141"/>
      <c r="Y791" s="121" t="s">
        <v>292</v>
      </c>
      <c r="Z791" s="146">
        <f>VLOOKUP(Takeoffs!Y791,Sheet1!$B$6:$C$124,2,FALSE)</f>
        <v>0</v>
      </c>
      <c r="AA791" s="146">
        <f t="shared" si="361"/>
        <v>0</v>
      </c>
      <c r="AB791" s="143">
        <f t="shared" si="362"/>
        <v>0</v>
      </c>
      <c r="AC791" s="133">
        <f t="shared" si="363"/>
        <v>0</v>
      </c>
      <c r="AD791" s="142">
        <v>1</v>
      </c>
      <c r="AE791" s="141"/>
      <c r="AF791" s="121" t="s">
        <v>292</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576</v>
      </c>
      <c r="P792" s="121" t="s">
        <v>577</v>
      </c>
      <c r="Q792" s="66" t="s">
        <v>578</v>
      </c>
      <c r="R792" s="121"/>
      <c r="S792" s="133">
        <f>M788</f>
        <v>0</v>
      </c>
      <c r="T792" s="120"/>
      <c r="U792" s="121" t="s">
        <v>235</v>
      </c>
      <c r="V792" s="133">
        <f t="shared" si="360"/>
        <v>0</v>
      </c>
      <c r="W792" s="133">
        <f>VLOOKUP(U792,Sheet1!$B$6:$C$45,2,FALSE)*V792</f>
        <v>0</v>
      </c>
      <c r="X792" s="141"/>
      <c r="Y792" s="121" t="s">
        <v>292</v>
      </c>
      <c r="Z792" s="146">
        <f>VLOOKUP(Takeoffs!Y792,Sheet1!$B$6:$C$124,2,FALSE)</f>
        <v>0</v>
      </c>
      <c r="AA792" s="146">
        <f t="shared" si="361"/>
        <v>0</v>
      </c>
      <c r="AB792" s="143">
        <f t="shared" si="362"/>
        <v>0</v>
      </c>
      <c r="AC792" s="133">
        <f t="shared" si="363"/>
        <v>0</v>
      </c>
      <c r="AD792" s="142">
        <v>1</v>
      </c>
      <c r="AE792" s="141"/>
      <c r="AF792" s="121" t="s">
        <v>292</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390</v>
      </c>
      <c r="P793" s="121"/>
      <c r="Q793" s="66"/>
      <c r="R793" s="121"/>
      <c r="S793" s="133">
        <f>M788</f>
        <v>0</v>
      </c>
      <c r="T793" s="120"/>
      <c r="U793" s="121" t="s">
        <v>292</v>
      </c>
      <c r="V793" s="133">
        <f t="shared" si="360"/>
        <v>0</v>
      </c>
      <c r="W793" s="133">
        <f>VLOOKUP(U793,Sheet1!$B$6:$C$45,2,FALSE)*V793</f>
        <v>0</v>
      </c>
      <c r="X793" s="141"/>
      <c r="Y793" s="121" t="s">
        <v>292</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309</v>
      </c>
      <c r="P794" s="121"/>
      <c r="Q794" s="66"/>
      <c r="R794" s="121"/>
      <c r="S794" s="133">
        <f>M788</f>
        <v>0</v>
      </c>
      <c r="T794" s="120"/>
      <c r="U794" s="121" t="s">
        <v>292</v>
      </c>
      <c r="V794" s="133">
        <f t="shared" si="360"/>
        <v>0</v>
      </c>
      <c r="W794" s="133">
        <f>VLOOKUP(U794,Sheet1!$B$6:$C$45,2,FALSE)*V794</f>
        <v>0</v>
      </c>
      <c r="X794" s="141"/>
      <c r="Y794" s="121" t="s">
        <v>292</v>
      </c>
      <c r="Z794" s="146">
        <f>VLOOKUP(Takeoffs!Y794,Sheet1!$B$6:$C$124,2,FALSE)</f>
        <v>0</v>
      </c>
      <c r="AA794" s="146">
        <f t="shared" si="361"/>
        <v>0</v>
      </c>
      <c r="AB794" s="143">
        <f t="shared" si="362"/>
        <v>0</v>
      </c>
      <c r="AC794" s="133">
        <f t="shared" si="363"/>
        <v>0</v>
      </c>
      <c r="AD794" s="142">
        <v>1</v>
      </c>
      <c r="AE794" s="141"/>
      <c r="AF794" s="121" t="s">
        <v>292</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292</v>
      </c>
      <c r="V795" s="133">
        <f t="shared" si="360"/>
        <v>0</v>
      </c>
      <c r="W795" s="133">
        <f>VLOOKUP(U795,Sheet1!$B$6:$C$45,2,FALSE)*V795</f>
        <v>0</v>
      </c>
      <c r="X795" s="141"/>
      <c r="Y795" s="121" t="s">
        <v>292</v>
      </c>
      <c r="Z795" s="146">
        <f>VLOOKUP(Takeoffs!Y795,Sheet1!$B$6:$C$124,2,FALSE)</f>
        <v>0</v>
      </c>
      <c r="AA795" s="146">
        <f t="shared" si="361"/>
        <v>0</v>
      </c>
      <c r="AB795" s="143">
        <f t="shared" si="362"/>
        <v>0</v>
      </c>
      <c r="AC795" s="133">
        <f t="shared" si="363"/>
        <v>0</v>
      </c>
      <c r="AD795" s="142">
        <v>1</v>
      </c>
      <c r="AE795" s="141"/>
      <c r="AF795" s="121" t="s">
        <v>292</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328</v>
      </c>
      <c r="P796" s="121"/>
      <c r="Q796" s="66"/>
      <c r="R796" s="121"/>
      <c r="S796" s="133">
        <f>M788</f>
        <v>0</v>
      </c>
      <c r="T796" s="120"/>
      <c r="U796" s="121" t="s">
        <v>364</v>
      </c>
      <c r="V796" s="133">
        <f t="shared" si="360"/>
        <v>0</v>
      </c>
      <c r="W796" s="133">
        <f>VLOOKUP(U796,Sheet1!$B$6:$C$45,2,FALSE)*V796</f>
        <v>0</v>
      </c>
      <c r="X796" s="141"/>
      <c r="Y796" s="121" t="s">
        <v>292</v>
      </c>
      <c r="Z796" s="146">
        <f>VLOOKUP(Takeoffs!Y796,Sheet1!$B$6:$C$124,2,FALSE)</f>
        <v>0</v>
      </c>
      <c r="AA796" s="146">
        <f t="shared" si="361"/>
        <v>0</v>
      </c>
      <c r="AB796" s="143">
        <f t="shared" si="362"/>
        <v>0</v>
      </c>
      <c r="AC796" s="133">
        <f t="shared" si="363"/>
        <v>0</v>
      </c>
      <c r="AD796" s="142">
        <v>1</v>
      </c>
      <c r="AE796" s="141"/>
      <c r="AF796" s="121" t="s">
        <v>292</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292</v>
      </c>
      <c r="V797" s="133">
        <f t="shared" si="360"/>
        <v>0</v>
      </c>
      <c r="W797" s="133">
        <f>VLOOKUP(U797,Sheet1!$B$6:$C$45,2,FALSE)*V797</f>
        <v>0</v>
      </c>
      <c r="X797" s="141"/>
      <c r="Y797" s="121" t="s">
        <v>292</v>
      </c>
      <c r="Z797" s="146">
        <f>VLOOKUP(Takeoffs!Y797,Sheet1!$B$6:$C$124,2,FALSE)</f>
        <v>0</v>
      </c>
      <c r="AA797" s="146">
        <f t="shared" si="361"/>
        <v>0</v>
      </c>
      <c r="AB797" s="143">
        <f t="shared" si="362"/>
        <v>0</v>
      </c>
      <c r="AC797" s="133">
        <f t="shared" si="363"/>
        <v>0</v>
      </c>
      <c r="AD797" s="142">
        <v>1</v>
      </c>
      <c r="AE797" s="141"/>
      <c r="AF797" s="121" t="s">
        <v>292</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292</v>
      </c>
      <c r="V798" s="133">
        <f t="shared" si="360"/>
        <v>0</v>
      </c>
      <c r="W798" s="133">
        <f>VLOOKUP(U798,Sheet1!$B$6:$C$45,2,FALSE)*V798</f>
        <v>0</v>
      </c>
      <c r="X798" s="141"/>
      <c r="Y798" s="121" t="s">
        <v>292</v>
      </c>
      <c r="Z798" s="146">
        <f>VLOOKUP(Takeoffs!Y798,Sheet1!$B$6:$C$124,2,FALSE)</f>
        <v>0</v>
      </c>
      <c r="AA798" s="146">
        <f t="shared" si="361"/>
        <v>0</v>
      </c>
      <c r="AB798" s="143">
        <f t="shared" si="362"/>
        <v>0</v>
      </c>
      <c r="AC798" s="133">
        <f t="shared" si="363"/>
        <v>0</v>
      </c>
      <c r="AD798" s="142">
        <v>1</v>
      </c>
      <c r="AE798" s="141"/>
      <c r="AF798" s="121" t="s">
        <v>292</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292</v>
      </c>
      <c r="V799" s="133">
        <f t="shared" si="360"/>
        <v>0</v>
      </c>
      <c r="W799" s="133">
        <f>VLOOKUP(U799,Sheet1!$B$6:$C$45,2,FALSE)*V799</f>
        <v>0</v>
      </c>
      <c r="X799" s="141"/>
      <c r="Y799" s="121" t="s">
        <v>292</v>
      </c>
      <c r="Z799" s="146">
        <f>VLOOKUP(Takeoffs!Y799,Sheet1!$B$6:$C$124,2,FALSE)</f>
        <v>0</v>
      </c>
      <c r="AA799" s="146">
        <f t="shared" si="361"/>
        <v>0</v>
      </c>
      <c r="AB799" s="143">
        <f t="shared" si="362"/>
        <v>0</v>
      </c>
      <c r="AC799" s="133">
        <f t="shared" si="363"/>
        <v>0</v>
      </c>
      <c r="AD799" s="142">
        <v>1</v>
      </c>
      <c r="AE799" s="141"/>
      <c r="AF799" s="121" t="s">
        <v>292</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579</v>
      </c>
      <c r="P800" s="121"/>
      <c r="Q800" s="66"/>
      <c r="R800" s="121"/>
      <c r="S800" s="133">
        <f>M788</f>
        <v>0</v>
      </c>
      <c r="T800" s="120"/>
      <c r="U800" s="121" t="s">
        <v>292</v>
      </c>
      <c r="V800" s="133">
        <f t="shared" si="360"/>
        <v>0</v>
      </c>
      <c r="W800" s="133">
        <f>VLOOKUP(U800,Sheet1!$B$6:$C$45,2,FALSE)*V800</f>
        <v>0</v>
      </c>
      <c r="X800" s="141"/>
      <c r="Y800" s="121" t="s">
        <v>292</v>
      </c>
      <c r="Z800" s="146">
        <f>VLOOKUP(Takeoffs!Y800,Sheet1!$B$6:$C$124,2,FALSE)</f>
        <v>0</v>
      </c>
      <c r="AA800" s="146">
        <f t="shared" si="361"/>
        <v>0</v>
      </c>
      <c r="AB800" s="143">
        <f t="shared" si="362"/>
        <v>0</v>
      </c>
      <c r="AC800" s="133">
        <f t="shared" si="363"/>
        <v>0</v>
      </c>
      <c r="AD800" s="142">
        <v>1</v>
      </c>
      <c r="AE800" s="141"/>
      <c r="AF800" s="152" t="s">
        <v>418</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312</v>
      </c>
      <c r="P801" s="121"/>
      <c r="Q801" s="66"/>
      <c r="R801" s="121"/>
      <c r="S801" s="133">
        <f>M788</f>
        <v>0</v>
      </c>
      <c r="T801" s="120"/>
      <c r="U801" s="121" t="s">
        <v>232</v>
      </c>
      <c r="V801" s="133">
        <f t="shared" si="360"/>
        <v>0</v>
      </c>
      <c r="W801" s="133">
        <f>VLOOKUP(U801,Sheet1!$B$6:$C$45,2,FALSE)*V801</f>
        <v>0</v>
      </c>
      <c r="X801" s="141"/>
      <c r="Y801" s="122" t="s">
        <v>1344</v>
      </c>
      <c r="Z801" s="146">
        <f>VLOOKUP(Takeoffs!Y801,Sheet1!$B$6:$C$124,2,FALSE)</f>
        <v>109.25999999999999</v>
      </c>
      <c r="AA801" s="146">
        <f t="shared" si="361"/>
        <v>0</v>
      </c>
      <c r="AB801" s="143">
        <f t="shared" si="362"/>
        <v>0</v>
      </c>
      <c r="AC801" s="133">
        <f t="shared" si="363"/>
        <v>0</v>
      </c>
      <c r="AD801" s="142">
        <v>1</v>
      </c>
      <c r="AE801" s="141"/>
      <c r="AF801" s="121" t="s">
        <v>292</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292</v>
      </c>
      <c r="V802" s="133">
        <f t="shared" si="360"/>
        <v>0</v>
      </c>
      <c r="W802" s="133">
        <f>VLOOKUP(U802,Sheet1!$B$6:$C$45,2,FALSE)*V802</f>
        <v>0</v>
      </c>
      <c r="X802" s="141"/>
      <c r="Y802" s="122" t="s">
        <v>326</v>
      </c>
      <c r="Z802" s="146">
        <f>VLOOKUP(Takeoffs!Y802,Sheet1!$B$6:$C$124,2,FALSE)</f>
        <v>29.04</v>
      </c>
      <c r="AA802" s="146">
        <f t="shared" si="361"/>
        <v>0</v>
      </c>
      <c r="AB802" s="143">
        <f t="shared" si="362"/>
        <v>0</v>
      </c>
      <c r="AC802" s="133">
        <f t="shared" si="363"/>
        <v>0</v>
      </c>
      <c r="AD802" s="142">
        <v>1</v>
      </c>
      <c r="AE802" s="141"/>
      <c r="AF802" s="121" t="s">
        <v>292</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337</v>
      </c>
      <c r="P803" s="121"/>
      <c r="Q803" s="66"/>
      <c r="R803" s="121" t="s">
        <v>331</v>
      </c>
      <c r="S803" s="133">
        <f>M788</f>
        <v>0</v>
      </c>
      <c r="T803" s="120"/>
      <c r="U803" s="121" t="s">
        <v>292</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292</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499</v>
      </c>
      <c r="P804" s="121"/>
      <c r="Q804" s="66"/>
      <c r="R804" s="121"/>
      <c r="S804" s="133">
        <f>M788</f>
        <v>0</v>
      </c>
      <c r="T804" s="120"/>
      <c r="U804" s="121" t="s">
        <v>292</v>
      </c>
      <c r="V804" s="133">
        <f t="shared" si="360"/>
        <v>0</v>
      </c>
      <c r="W804" s="133">
        <f>VLOOKUP(U804,Sheet1!$B$6:$C$45,2,FALSE)*V804</f>
        <v>0</v>
      </c>
      <c r="X804" s="141"/>
      <c r="Y804" s="135" t="s">
        <v>422</v>
      </c>
      <c r="Z804" s="146">
        <f>VLOOKUP(Takeoffs!Y804,Sheet1!$B$6:$C$124,2,FALSE)</f>
        <v>23.4</v>
      </c>
      <c r="AA804" s="146">
        <f t="shared" si="361"/>
        <v>0</v>
      </c>
      <c r="AB804" s="143">
        <f t="shared" si="362"/>
        <v>0</v>
      </c>
      <c r="AC804" s="133">
        <f t="shared" si="363"/>
        <v>0</v>
      </c>
      <c r="AD804" s="142">
        <v>1</v>
      </c>
      <c r="AE804" s="141"/>
      <c r="AF804" s="121" t="s">
        <v>292</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329</v>
      </c>
      <c r="P805" s="121"/>
      <c r="Q805" s="66"/>
      <c r="R805" s="121" t="s">
        <v>304</v>
      </c>
      <c r="S805" s="133">
        <f>M788</f>
        <v>0</v>
      </c>
      <c r="T805" s="120"/>
      <c r="U805" s="121" t="s">
        <v>292</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292</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500</v>
      </c>
      <c r="P806" s="121"/>
      <c r="Q806" s="66"/>
      <c r="R806" s="121"/>
      <c r="S806" s="133">
        <f>M788</f>
        <v>0</v>
      </c>
      <c r="T806" s="120"/>
      <c r="U806" s="121" t="s">
        <v>292</v>
      </c>
      <c r="V806" s="133">
        <f t="shared" si="360"/>
        <v>0</v>
      </c>
      <c r="W806" s="133">
        <f>VLOOKUP(U806,Sheet1!$B$6:$C$45,2,FALSE)*V806</f>
        <v>0</v>
      </c>
      <c r="X806" s="141"/>
      <c r="Y806" s="121" t="s">
        <v>292</v>
      </c>
      <c r="Z806" s="146">
        <f>VLOOKUP(Takeoffs!Y806,Sheet1!$B$6:$C$124,2,FALSE)</f>
        <v>0</v>
      </c>
      <c r="AA806" s="146">
        <f t="shared" si="361"/>
        <v>0</v>
      </c>
      <c r="AB806" s="143">
        <f t="shared" si="362"/>
        <v>0</v>
      </c>
      <c r="AC806" s="133">
        <f t="shared" si="363"/>
        <v>0</v>
      </c>
      <c r="AD806" s="142">
        <v>1</v>
      </c>
      <c r="AE806" s="141"/>
      <c r="AF806" s="121" t="s">
        <v>292</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407</v>
      </c>
      <c r="P807" s="121"/>
      <c r="Q807" s="66"/>
      <c r="R807" s="121"/>
      <c r="S807" s="133">
        <f>M788</f>
        <v>0</v>
      </c>
      <c r="T807" s="120"/>
      <c r="U807" s="121" t="s">
        <v>292</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292</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408</v>
      </c>
      <c r="P808" s="121"/>
      <c r="Q808" s="66"/>
      <c r="R808" s="121"/>
      <c r="S808" s="133">
        <f>M788</f>
        <v>0</v>
      </c>
      <c r="T808" s="120"/>
      <c r="U808" s="121" t="s">
        <v>362</v>
      </c>
      <c r="V808" s="133">
        <f t="shared" si="360"/>
        <v>0</v>
      </c>
      <c r="W808" s="133">
        <f>VLOOKUP(U808,Sheet1!$B$6:$C$45,2,FALSE)*V808</f>
        <v>0</v>
      </c>
      <c r="X808" s="141"/>
      <c r="Y808" s="121" t="s">
        <v>292</v>
      </c>
      <c r="Z808" s="146">
        <f>VLOOKUP(Takeoffs!Y808,Sheet1!$B$6:$C$124,2,FALSE)</f>
        <v>0</v>
      </c>
      <c r="AA808" s="146">
        <f t="shared" si="361"/>
        <v>0</v>
      </c>
      <c r="AB808" s="143">
        <f t="shared" si="362"/>
        <v>0</v>
      </c>
      <c r="AC808" s="133">
        <f t="shared" si="363"/>
        <v>0</v>
      </c>
      <c r="AD808" s="142">
        <v>1</v>
      </c>
      <c r="AE808" s="141"/>
      <c r="AF808" s="121" t="s">
        <v>292</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377</v>
      </c>
      <c r="L809" s="128" t="s">
        <v>378</v>
      </c>
      <c r="N809" s="129"/>
      <c r="O809" s="130" t="s">
        <v>357</v>
      </c>
      <c r="P809" s="131">
        <f>V809+AA809+AH809</f>
        <v>0</v>
      </c>
      <c r="Q809" s="131"/>
      <c r="R809" s="131"/>
      <c r="S809" s="130"/>
      <c r="T809" s="127"/>
      <c r="U809" s="126" t="s">
        <v>351</v>
      </c>
      <c r="V809" s="127">
        <f>W809*80</f>
        <v>0</v>
      </c>
      <c r="W809" s="147">
        <f>SUM(W788:W808)</f>
        <v>0</v>
      </c>
      <c r="X809" s="148"/>
      <c r="Y809" s="127" t="s">
        <v>352</v>
      </c>
      <c r="Z809" s="116"/>
      <c r="AA809" s="116">
        <f>SUM(AA788:AA808)</f>
        <v>0</v>
      </c>
      <c r="AB809" s="149"/>
      <c r="AC809" s="149"/>
      <c r="AD809" s="149"/>
      <c r="AE809" s="149"/>
      <c r="AF809" s="127" t="s">
        <v>356</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hidden="1" x14ac:dyDescent="0.8">
      <c r="A810" s="262">
        <f>ROW()</f>
        <v>810</v>
      </c>
      <c r="B810" s="234" t="s">
        <v>491</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367</v>
      </c>
      <c r="N810" s="160" t="str">
        <f>N788</f>
        <v>Fume Cupboard fan ( Excluding supply of VSD and FC controls) - from MSSB power supply</v>
      </c>
      <c r="O810" s="160" t="s">
        <v>365</v>
      </c>
      <c r="P810" s="183" t="e">
        <f>P809/M788</f>
        <v>#DIV/0!</v>
      </c>
      <c r="Q810" s="191"/>
      <c r="R810" s="161"/>
      <c r="S810" s="160"/>
      <c r="T810" s="161"/>
      <c r="U810" s="571" t="s">
        <v>366</v>
      </c>
      <c r="V810" s="571"/>
      <c r="W810" s="162" t="e">
        <f>W809/M788</f>
        <v>#DIV/0!</v>
      </c>
      <c r="X810" s="163"/>
      <c r="Y810" s="570" t="s">
        <v>365</v>
      </c>
      <c r="Z810" s="570"/>
      <c r="AA810" s="164" t="e">
        <f>AA809/M788</f>
        <v>#DIV/0!</v>
      </c>
      <c r="AB810" s="161"/>
      <c r="AC810" s="161"/>
      <c r="AD810" s="161"/>
      <c r="AE810" s="161"/>
      <c r="AF810" s="570" t="s">
        <v>365</v>
      </c>
      <c r="AG810" s="570"/>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452</v>
      </c>
      <c r="M811" s="116" t="s">
        <v>107</v>
      </c>
      <c r="N811" s="116" t="s">
        <v>108</v>
      </c>
      <c r="O811" s="170" t="s">
        <v>386</v>
      </c>
      <c r="P811" s="573" t="s">
        <v>375</v>
      </c>
      <c r="Q811" s="573"/>
      <c r="R811" s="101" t="s">
        <v>452</v>
      </c>
      <c r="S811" s="116" t="s">
        <v>0</v>
      </c>
      <c r="T811" s="118"/>
      <c r="U811" s="116" t="s">
        <v>287</v>
      </c>
      <c r="V811" s="116" t="s">
        <v>288</v>
      </c>
      <c r="W811" s="116" t="s">
        <v>291</v>
      </c>
      <c r="X811" s="140"/>
      <c r="Y811" s="116" t="s">
        <v>289</v>
      </c>
      <c r="Z811" s="116" t="s">
        <v>354</v>
      </c>
      <c r="AA811" s="116" t="s">
        <v>355</v>
      </c>
      <c r="AB811" s="116" t="s">
        <v>317</v>
      </c>
      <c r="AC811" s="116" t="s">
        <v>318</v>
      </c>
      <c r="AD811" s="116" t="s">
        <v>316</v>
      </c>
      <c r="AE811" s="140"/>
      <c r="AF811" s="116" t="s">
        <v>293</v>
      </c>
      <c r="AG811" s="116" t="s">
        <v>354</v>
      </c>
      <c r="AH811" s="116" t="s">
        <v>355</v>
      </c>
      <c r="AI811" s="116" t="s">
        <v>296</v>
      </c>
      <c r="AJ811" s="116" t="s">
        <v>294</v>
      </c>
      <c r="AK811" s="116" t="s">
        <v>295</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672</v>
      </c>
      <c r="O812" s="121" t="s">
        <v>488</v>
      </c>
      <c r="P812" s="169" t="s">
        <v>379</v>
      </c>
      <c r="Q812" s="169" t="s">
        <v>375</v>
      </c>
      <c r="R812" s="169"/>
      <c r="S812" s="133">
        <f>M812</f>
        <v>0</v>
      </c>
      <c r="T812" s="119"/>
      <c r="U812" s="121" t="s">
        <v>292</v>
      </c>
      <c r="V812" s="133">
        <f>S812</f>
        <v>0</v>
      </c>
      <c r="W812" s="133">
        <f>VLOOKUP(U812,Sheet1!$B$6:$C$45,2,FALSE)*V812</f>
        <v>0</v>
      </c>
      <c r="X812" s="141"/>
      <c r="Y812" s="121" t="s">
        <v>292</v>
      </c>
      <c r="Z812" s="146">
        <f>VLOOKUP(Takeoffs!Y812,Sheet1!$B$6:$C$124,2,FALSE)</f>
        <v>0</v>
      </c>
      <c r="AA812" s="146">
        <f>Z812*AB812</f>
        <v>0</v>
      </c>
      <c r="AB812" s="143">
        <f>AD812*AC812</f>
        <v>0</v>
      </c>
      <c r="AC812" s="133">
        <f>S812</f>
        <v>0</v>
      </c>
      <c r="AD812" s="142">
        <v>1</v>
      </c>
      <c r="AE812" s="141"/>
      <c r="AF812" s="121" t="s">
        <v>292</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340</v>
      </c>
      <c r="P813" s="121"/>
      <c r="Q813" s="66"/>
      <c r="R813" s="121"/>
      <c r="S813" s="133">
        <f>M812</f>
        <v>0</v>
      </c>
      <c r="T813" s="120"/>
      <c r="U813" s="121" t="s">
        <v>292</v>
      </c>
      <c r="V813" s="133">
        <f t="shared" ref="V813:V832" si="369">S813</f>
        <v>0</v>
      </c>
      <c r="W813" s="133">
        <f>VLOOKUP(U813,Sheet1!$B$6:$C$45,2,FALSE)*V813</f>
        <v>0</v>
      </c>
      <c r="X813" s="141"/>
      <c r="Y813" s="121" t="s">
        <v>292</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292</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292</v>
      </c>
      <c r="V814" s="133">
        <f t="shared" si="369"/>
        <v>0</v>
      </c>
      <c r="W814" s="133">
        <f>VLOOKUP(U814,Sheet1!$B$6:$C$45,2,FALSE)*V814</f>
        <v>0</v>
      </c>
      <c r="X814" s="141"/>
      <c r="Y814" s="121" t="s">
        <v>292</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673</v>
      </c>
      <c r="P815" s="121" t="s">
        <v>539</v>
      </c>
      <c r="Q815" s="66" t="s">
        <v>674</v>
      </c>
      <c r="R815" s="121"/>
      <c r="S815" s="133">
        <f>M812</f>
        <v>0</v>
      </c>
      <c r="T815" s="120"/>
      <c r="U815" s="117" t="s">
        <v>478</v>
      </c>
      <c r="V815" s="133">
        <f t="shared" si="369"/>
        <v>0</v>
      </c>
      <c r="W815" s="133">
        <f>VLOOKUP(U815,Sheet1!$B$6:$C$45,2,FALSE)*V815</f>
        <v>0</v>
      </c>
      <c r="X815" s="141"/>
      <c r="Y815" s="121" t="s">
        <v>292</v>
      </c>
      <c r="Z815" s="146">
        <f>VLOOKUP(Takeoffs!Y815,Sheet1!$B$6:$C$124,2,FALSE)</f>
        <v>0</v>
      </c>
      <c r="AA815" s="146">
        <f t="shared" si="370"/>
        <v>0</v>
      </c>
      <c r="AB815" s="143">
        <f t="shared" si="371"/>
        <v>0</v>
      </c>
      <c r="AC815" s="133">
        <f t="shared" si="372"/>
        <v>0</v>
      </c>
      <c r="AD815" s="142">
        <v>1</v>
      </c>
      <c r="AE815" s="141"/>
      <c r="AF815" s="121" t="s">
        <v>292</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323</v>
      </c>
      <c r="P816" s="121"/>
      <c r="Q816" s="66"/>
      <c r="R816" s="121"/>
      <c r="S816" s="133">
        <f>M812</f>
        <v>0</v>
      </c>
      <c r="T816" s="120"/>
      <c r="U816" s="121" t="s">
        <v>235</v>
      </c>
      <c r="V816" s="133">
        <f t="shared" si="369"/>
        <v>0</v>
      </c>
      <c r="W816" s="133">
        <f>VLOOKUP(U816,Sheet1!$B$6:$C$45,2,FALSE)*V816</f>
        <v>0</v>
      </c>
      <c r="X816" s="141"/>
      <c r="Y816" s="135" t="s">
        <v>543</v>
      </c>
      <c r="Z816" s="146">
        <f>VLOOKUP(Takeoffs!Y816,Sheet1!$B$6:$C$124,2,FALSE)</f>
        <v>649.44000000000005</v>
      </c>
      <c r="AA816" s="146">
        <f t="shared" si="370"/>
        <v>0</v>
      </c>
      <c r="AB816" s="143">
        <f t="shared" si="371"/>
        <v>0</v>
      </c>
      <c r="AC816" s="133">
        <f t="shared" si="372"/>
        <v>0</v>
      </c>
      <c r="AD816" s="142">
        <v>1</v>
      </c>
      <c r="AE816" s="141"/>
      <c r="AF816" s="121" t="s">
        <v>292</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390</v>
      </c>
      <c r="P817" s="121"/>
      <c r="Q817" s="66"/>
      <c r="R817" s="121"/>
      <c r="S817" s="133">
        <f>M812</f>
        <v>0</v>
      </c>
      <c r="T817" s="120"/>
      <c r="U817" s="121" t="s">
        <v>292</v>
      </c>
      <c r="V817" s="133">
        <f t="shared" si="369"/>
        <v>0</v>
      </c>
      <c r="W817" s="133">
        <f>VLOOKUP(U817,Sheet1!$B$6:$C$45,2,FALSE)*V817</f>
        <v>0</v>
      </c>
      <c r="X817" s="141"/>
      <c r="Y817" s="121" t="s">
        <v>292</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309</v>
      </c>
      <c r="P818" s="121"/>
      <c r="Q818" s="66"/>
      <c r="R818" s="121"/>
      <c r="S818" s="133">
        <f>M812</f>
        <v>0</v>
      </c>
      <c r="T818" s="120"/>
      <c r="U818" s="121" t="s">
        <v>292</v>
      </c>
      <c r="V818" s="133">
        <f t="shared" si="369"/>
        <v>0</v>
      </c>
      <c r="W818" s="133">
        <f>VLOOKUP(U818,Sheet1!$B$6:$C$45,2,FALSE)*V818</f>
        <v>0</v>
      </c>
      <c r="X818" s="141"/>
      <c r="Y818" s="121" t="s">
        <v>292</v>
      </c>
      <c r="Z818" s="146">
        <f>VLOOKUP(Takeoffs!Y818,Sheet1!$B$6:$C$124,2,FALSE)</f>
        <v>0</v>
      </c>
      <c r="AA818" s="146">
        <f t="shared" si="370"/>
        <v>0</v>
      </c>
      <c r="AB818" s="143">
        <f t="shared" si="371"/>
        <v>0</v>
      </c>
      <c r="AC818" s="133">
        <f t="shared" si="372"/>
        <v>0</v>
      </c>
      <c r="AD818" s="142">
        <v>1</v>
      </c>
      <c r="AE818" s="141"/>
      <c r="AF818" s="121" t="s">
        <v>292</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292</v>
      </c>
      <c r="V819" s="133">
        <f t="shared" si="369"/>
        <v>0</v>
      </c>
      <c r="W819" s="133">
        <f>VLOOKUP(U819,Sheet1!$B$6:$C$45,2,FALSE)*V819</f>
        <v>0</v>
      </c>
      <c r="X819" s="141"/>
      <c r="Y819" s="121" t="s">
        <v>292</v>
      </c>
      <c r="Z819" s="146">
        <f>VLOOKUP(Takeoffs!Y819,Sheet1!$B$6:$C$124,2,FALSE)</f>
        <v>0</v>
      </c>
      <c r="AA819" s="146">
        <f t="shared" si="370"/>
        <v>0</v>
      </c>
      <c r="AB819" s="143">
        <f t="shared" si="371"/>
        <v>0</v>
      </c>
      <c r="AC819" s="133">
        <f t="shared" si="372"/>
        <v>0</v>
      </c>
      <c r="AD819" s="142">
        <v>1</v>
      </c>
      <c r="AE819" s="141"/>
      <c r="AF819" s="121" t="s">
        <v>292</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328</v>
      </c>
      <c r="P820" s="121"/>
      <c r="Q820" s="66"/>
      <c r="R820" s="121"/>
      <c r="S820" s="133">
        <f>M812</f>
        <v>0</v>
      </c>
      <c r="T820" s="120"/>
      <c r="U820" s="121" t="s">
        <v>364</v>
      </c>
      <c r="V820" s="133">
        <f t="shared" si="369"/>
        <v>0</v>
      </c>
      <c r="W820" s="133">
        <f>VLOOKUP(U820,Sheet1!$B$6:$C$45,2,FALSE)*V820</f>
        <v>0</v>
      </c>
      <c r="X820" s="141"/>
      <c r="Y820" s="121" t="s">
        <v>292</v>
      </c>
      <c r="Z820" s="146">
        <f>VLOOKUP(Takeoffs!Y820,Sheet1!$B$6:$C$124,2,FALSE)</f>
        <v>0</v>
      </c>
      <c r="AA820" s="146">
        <f t="shared" si="370"/>
        <v>0</v>
      </c>
      <c r="AB820" s="143">
        <f t="shared" si="371"/>
        <v>0</v>
      </c>
      <c r="AC820" s="133">
        <f t="shared" si="372"/>
        <v>0</v>
      </c>
      <c r="AD820" s="142">
        <v>1</v>
      </c>
      <c r="AE820" s="141"/>
      <c r="AF820" s="121" t="s">
        <v>292</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292</v>
      </c>
      <c r="V821" s="133">
        <f t="shared" si="369"/>
        <v>0</v>
      </c>
      <c r="W821" s="133">
        <f>VLOOKUP(U821,Sheet1!$B$6:$C$45,2,FALSE)*V821</f>
        <v>0</v>
      </c>
      <c r="X821" s="141"/>
      <c r="Y821" s="121" t="s">
        <v>292</v>
      </c>
      <c r="Z821" s="146">
        <f>VLOOKUP(Takeoffs!Y821,Sheet1!$B$6:$C$124,2,FALSE)</f>
        <v>0</v>
      </c>
      <c r="AA821" s="146">
        <f t="shared" si="370"/>
        <v>0</v>
      </c>
      <c r="AB821" s="143">
        <f t="shared" si="371"/>
        <v>0</v>
      </c>
      <c r="AC821" s="133">
        <f t="shared" si="372"/>
        <v>0</v>
      </c>
      <c r="AD821" s="142">
        <v>1</v>
      </c>
      <c r="AE821" s="141"/>
      <c r="AF821" s="121" t="s">
        <v>292</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292</v>
      </c>
      <c r="V822" s="133">
        <f t="shared" si="369"/>
        <v>0</v>
      </c>
      <c r="W822" s="133">
        <f>VLOOKUP(U822,Sheet1!$B$6:$C$45,2,FALSE)*V822</f>
        <v>0</v>
      </c>
      <c r="X822" s="141"/>
      <c r="Y822" s="121" t="s">
        <v>292</v>
      </c>
      <c r="Z822" s="146">
        <f>VLOOKUP(Takeoffs!Y822,Sheet1!$B$6:$C$124,2,FALSE)</f>
        <v>0</v>
      </c>
      <c r="AA822" s="146">
        <f t="shared" si="370"/>
        <v>0</v>
      </c>
      <c r="AB822" s="143">
        <f t="shared" si="371"/>
        <v>0</v>
      </c>
      <c r="AC822" s="133">
        <f t="shared" si="372"/>
        <v>0</v>
      </c>
      <c r="AD822" s="142">
        <v>1</v>
      </c>
      <c r="AE822" s="141"/>
      <c r="AF822" s="121" t="s">
        <v>292</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292</v>
      </c>
      <c r="V823" s="133">
        <f t="shared" si="369"/>
        <v>0</v>
      </c>
      <c r="W823" s="133">
        <f>VLOOKUP(U823,Sheet1!$B$6:$C$45,2,FALSE)*V823</f>
        <v>0</v>
      </c>
      <c r="X823" s="141"/>
      <c r="Y823" s="121" t="s">
        <v>292</v>
      </c>
      <c r="Z823" s="146">
        <f>VLOOKUP(Takeoffs!Y823,Sheet1!$B$6:$C$124,2,FALSE)</f>
        <v>0</v>
      </c>
      <c r="AA823" s="146">
        <f t="shared" si="370"/>
        <v>0</v>
      </c>
      <c r="AB823" s="143">
        <f t="shared" si="371"/>
        <v>0</v>
      </c>
      <c r="AC823" s="133">
        <f t="shared" si="372"/>
        <v>0</v>
      </c>
      <c r="AD823" s="142">
        <v>1</v>
      </c>
      <c r="AE823" s="141"/>
      <c r="AF823" s="121" t="s">
        <v>292</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292</v>
      </c>
      <c r="V824" s="133">
        <f t="shared" si="369"/>
        <v>0</v>
      </c>
      <c r="W824" s="133">
        <f>VLOOKUP(U824,Sheet1!$B$6:$C$45,2,FALSE)*V824</f>
        <v>0</v>
      </c>
      <c r="X824" s="141"/>
      <c r="Y824" s="121" t="s">
        <v>292</v>
      </c>
      <c r="Z824" s="146">
        <f>VLOOKUP(Takeoffs!Y824,Sheet1!$B$6:$C$124,2,FALSE)</f>
        <v>0</v>
      </c>
      <c r="AA824" s="146">
        <f t="shared" si="370"/>
        <v>0</v>
      </c>
      <c r="AB824" s="143">
        <f t="shared" si="371"/>
        <v>0</v>
      </c>
      <c r="AC824" s="133">
        <f t="shared" si="372"/>
        <v>0</v>
      </c>
      <c r="AD824" s="142">
        <v>1</v>
      </c>
      <c r="AE824" s="141"/>
      <c r="AF824" s="152" t="s">
        <v>418</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312</v>
      </c>
      <c r="P825" s="121"/>
      <c r="Q825" s="66"/>
      <c r="R825" s="121"/>
      <c r="S825" s="133">
        <f>M812</f>
        <v>0</v>
      </c>
      <c r="T825" s="120"/>
      <c r="U825" s="121" t="s">
        <v>232</v>
      </c>
      <c r="V825" s="133">
        <f t="shared" si="369"/>
        <v>0</v>
      </c>
      <c r="W825" s="133">
        <f>VLOOKUP(U825,Sheet1!$B$6:$C$45,2,FALSE)*V825</f>
        <v>0</v>
      </c>
      <c r="X825" s="141"/>
      <c r="Y825" s="122" t="s">
        <v>1344</v>
      </c>
      <c r="Z825" s="146">
        <f>VLOOKUP(Takeoffs!Y825,Sheet1!$B$6:$C$124,2,FALSE)</f>
        <v>109.25999999999999</v>
      </c>
      <c r="AA825" s="146">
        <f t="shared" si="370"/>
        <v>0</v>
      </c>
      <c r="AB825" s="143">
        <f t="shared" si="371"/>
        <v>0</v>
      </c>
      <c r="AC825" s="133">
        <f t="shared" si="372"/>
        <v>0</v>
      </c>
      <c r="AD825" s="142">
        <v>1</v>
      </c>
      <c r="AE825" s="141"/>
      <c r="AF825" s="121" t="s">
        <v>292</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345</v>
      </c>
      <c r="P826" s="121" t="s">
        <v>380</v>
      </c>
      <c r="Q826" s="66" t="s">
        <v>384</v>
      </c>
      <c r="R826" s="121"/>
      <c r="S826" s="133">
        <f>M812</f>
        <v>0</v>
      </c>
      <c r="T826" s="120"/>
      <c r="U826" s="121" t="s">
        <v>292</v>
      </c>
      <c r="V826" s="133">
        <f t="shared" si="369"/>
        <v>0</v>
      </c>
      <c r="W826" s="133">
        <f>VLOOKUP(U826,Sheet1!$B$6:$C$45,2,FALSE)*V826</f>
        <v>0</v>
      </c>
      <c r="X826" s="141"/>
      <c r="Y826" s="122" t="s">
        <v>326</v>
      </c>
      <c r="Z826" s="146">
        <f>VLOOKUP(Takeoffs!Y826,Sheet1!$B$6:$C$124,2,FALSE)</f>
        <v>29.04</v>
      </c>
      <c r="AA826" s="146">
        <f t="shared" si="370"/>
        <v>0</v>
      </c>
      <c r="AB826" s="143">
        <f t="shared" si="371"/>
        <v>0</v>
      </c>
      <c r="AC826" s="133">
        <f t="shared" si="372"/>
        <v>0</v>
      </c>
      <c r="AD826" s="142">
        <v>1</v>
      </c>
      <c r="AE826" s="141"/>
      <c r="AF826" s="121" t="s">
        <v>292</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337</v>
      </c>
      <c r="P827" s="121"/>
      <c r="Q827" s="66"/>
      <c r="R827" s="121" t="s">
        <v>331</v>
      </c>
      <c r="S827" s="133">
        <f>M812</f>
        <v>0</v>
      </c>
      <c r="T827" s="120"/>
      <c r="U827" s="121" t="s">
        <v>292</v>
      </c>
      <c r="V827" s="133">
        <f t="shared" si="369"/>
        <v>0</v>
      </c>
      <c r="W827" s="133">
        <f>VLOOKUP(U827,Sheet1!$B$6:$C$45,2,FALSE)*V827</f>
        <v>0</v>
      </c>
      <c r="X827" s="141"/>
      <c r="Y827" s="121" t="s">
        <v>292</v>
      </c>
      <c r="Z827" s="146">
        <f>VLOOKUP(Takeoffs!Y827,Sheet1!$B$6:$C$124,2,FALSE)</f>
        <v>0</v>
      </c>
      <c r="AA827" s="146">
        <f t="shared" si="370"/>
        <v>0</v>
      </c>
      <c r="AB827" s="143">
        <f t="shared" si="371"/>
        <v>0</v>
      </c>
      <c r="AC827" s="133">
        <f t="shared" si="372"/>
        <v>0</v>
      </c>
      <c r="AD827" s="142">
        <v>2</v>
      </c>
      <c r="AE827" s="141"/>
      <c r="AF827" s="121" t="s">
        <v>292</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675</v>
      </c>
      <c r="P828" s="121"/>
      <c r="Q828" s="66"/>
      <c r="R828" s="121"/>
      <c r="S828" s="133">
        <f>M812</f>
        <v>0</v>
      </c>
      <c r="T828" s="120"/>
      <c r="U828" s="121" t="s">
        <v>292</v>
      </c>
      <c r="V828" s="133">
        <f t="shared" si="369"/>
        <v>0</v>
      </c>
      <c r="W828" s="133">
        <f>VLOOKUP(U828,Sheet1!$B$6:$C$45,2,FALSE)*V828</f>
        <v>0</v>
      </c>
      <c r="X828" s="141"/>
      <c r="Y828" s="135" t="s">
        <v>333</v>
      </c>
      <c r="Z828" s="146">
        <f>VLOOKUP(Takeoffs!Y828,Sheet1!$B$6:$C$124,2,FALSE)</f>
        <v>60</v>
      </c>
      <c r="AA828" s="146">
        <f t="shared" si="370"/>
        <v>0</v>
      </c>
      <c r="AB828" s="143">
        <f t="shared" si="371"/>
        <v>0</v>
      </c>
      <c r="AC828" s="133">
        <f t="shared" si="372"/>
        <v>0</v>
      </c>
      <c r="AD828" s="142">
        <v>1</v>
      </c>
      <c r="AE828" s="141"/>
      <c r="AF828" s="121" t="s">
        <v>292</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304</v>
      </c>
      <c r="S829" s="133">
        <f>M812</f>
        <v>0</v>
      </c>
      <c r="T829" s="120"/>
      <c r="U829" s="121" t="s">
        <v>292</v>
      </c>
      <c r="V829" s="133">
        <f t="shared" si="369"/>
        <v>0</v>
      </c>
      <c r="W829" s="133">
        <f>VLOOKUP(U829,Sheet1!$B$6:$C$45,2,FALSE)*V829</f>
        <v>0</v>
      </c>
      <c r="X829" s="141"/>
      <c r="Y829" s="121" t="s">
        <v>292</v>
      </c>
      <c r="Z829" s="146">
        <f>VLOOKUP(Takeoffs!Y829,Sheet1!$B$6:$C$124,2,FALSE)</f>
        <v>0</v>
      </c>
      <c r="AA829" s="146">
        <f t="shared" si="370"/>
        <v>0</v>
      </c>
      <c r="AB829" s="143">
        <f t="shared" si="371"/>
        <v>0</v>
      </c>
      <c r="AC829" s="133">
        <f t="shared" si="372"/>
        <v>0</v>
      </c>
      <c r="AD829" s="142">
        <v>1</v>
      </c>
      <c r="AE829" s="141"/>
      <c r="AF829" s="121" t="s">
        <v>292</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292</v>
      </c>
      <c r="V830" s="133">
        <f t="shared" si="369"/>
        <v>0</v>
      </c>
      <c r="W830" s="133">
        <f>VLOOKUP(U830,Sheet1!$B$6:$C$45,2,FALSE)*V830</f>
        <v>0</v>
      </c>
      <c r="X830" s="141"/>
      <c r="Y830" s="121" t="s">
        <v>292</v>
      </c>
      <c r="Z830" s="146">
        <f>VLOOKUP(Takeoffs!Y830,Sheet1!$B$6:$C$124,2,FALSE)</f>
        <v>0</v>
      </c>
      <c r="AA830" s="146">
        <f t="shared" si="370"/>
        <v>0</v>
      </c>
      <c r="AB830" s="143">
        <f t="shared" si="371"/>
        <v>0</v>
      </c>
      <c r="AC830" s="133">
        <f t="shared" si="372"/>
        <v>0</v>
      </c>
      <c r="AD830" s="142">
        <v>1</v>
      </c>
      <c r="AE830" s="141"/>
      <c r="AF830" s="121" t="s">
        <v>292</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407</v>
      </c>
      <c r="P831" s="121"/>
      <c r="Q831" s="66"/>
      <c r="R831" s="121"/>
      <c r="S831" s="133">
        <f>M812</f>
        <v>0</v>
      </c>
      <c r="T831" s="120"/>
      <c r="U831" s="121" t="s">
        <v>292</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292</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408</v>
      </c>
      <c r="P832" s="121"/>
      <c r="Q832" s="66"/>
      <c r="R832" s="121"/>
      <c r="S832" s="133">
        <f>M812</f>
        <v>0</v>
      </c>
      <c r="T832" s="120"/>
      <c r="U832" s="121" t="s">
        <v>362</v>
      </c>
      <c r="V832" s="133">
        <f t="shared" si="369"/>
        <v>0</v>
      </c>
      <c r="W832" s="133">
        <f>VLOOKUP(U832,Sheet1!$B$6:$C$45,2,FALSE)*V832</f>
        <v>0</v>
      </c>
      <c r="X832" s="141"/>
      <c r="Y832" s="121" t="s">
        <v>292</v>
      </c>
      <c r="Z832" s="146">
        <f>VLOOKUP(Takeoffs!Y832,Sheet1!$B$6:$C$124,2,FALSE)</f>
        <v>0</v>
      </c>
      <c r="AA832" s="146">
        <f t="shared" si="370"/>
        <v>0</v>
      </c>
      <c r="AB832" s="143">
        <f t="shared" si="371"/>
        <v>0</v>
      </c>
      <c r="AC832" s="133">
        <f t="shared" si="372"/>
        <v>0</v>
      </c>
      <c r="AD832" s="142">
        <v>1</v>
      </c>
      <c r="AE832" s="141"/>
      <c r="AF832" s="121" t="s">
        <v>292</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377</v>
      </c>
      <c r="L833" s="128" t="s">
        <v>378</v>
      </c>
      <c r="N833" s="129"/>
      <c r="O833" s="130" t="s">
        <v>357</v>
      </c>
      <c r="P833" s="131">
        <f>V833+AA833+AH833</f>
        <v>0</v>
      </c>
      <c r="Q833" s="131"/>
      <c r="R833" s="131"/>
      <c r="S833" s="130"/>
      <c r="T833" s="127"/>
      <c r="U833" s="126" t="s">
        <v>351</v>
      </c>
      <c r="V833" s="127">
        <f>W833*80</f>
        <v>0</v>
      </c>
      <c r="W833" s="147">
        <f>SUM(W812:W832)</f>
        <v>0</v>
      </c>
      <c r="X833" s="148"/>
      <c r="Y833" s="127" t="s">
        <v>352</v>
      </c>
      <c r="Z833" s="116"/>
      <c r="AA833" s="116">
        <f>SUM(AA812:AA832)</f>
        <v>0</v>
      </c>
      <c r="AB833" s="149"/>
      <c r="AC833" s="149"/>
      <c r="AD833" s="149"/>
      <c r="AE833" s="149"/>
      <c r="AF833" s="127" t="s">
        <v>356</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hidden="1" x14ac:dyDescent="0.8">
      <c r="A834" s="262">
        <f>ROW()</f>
        <v>834</v>
      </c>
      <c r="B834" s="234" t="s">
        <v>491</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367</v>
      </c>
      <c r="N834" s="160" t="str">
        <f>N812</f>
        <v>Small sized VSD fan with fire shutdown - from local power supply</v>
      </c>
      <c r="O834" s="160" t="s">
        <v>365</v>
      </c>
      <c r="P834" s="183" t="e">
        <f>P833/M812</f>
        <v>#DIV/0!</v>
      </c>
      <c r="Q834" s="191"/>
      <c r="R834" s="161"/>
      <c r="S834" s="160"/>
      <c r="T834" s="161"/>
      <c r="U834" s="571" t="s">
        <v>366</v>
      </c>
      <c r="V834" s="571"/>
      <c r="W834" s="162" t="e">
        <f>W833/M812</f>
        <v>#DIV/0!</v>
      </c>
      <c r="X834" s="163"/>
      <c r="Y834" s="570" t="s">
        <v>365</v>
      </c>
      <c r="Z834" s="570"/>
      <c r="AA834" s="164" t="e">
        <f>AA833/M812</f>
        <v>#DIV/0!</v>
      </c>
      <c r="AB834" s="161"/>
      <c r="AC834" s="161"/>
      <c r="AD834" s="161"/>
      <c r="AE834" s="161"/>
      <c r="AF834" s="570" t="s">
        <v>365</v>
      </c>
      <c r="AG834" s="570"/>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452</v>
      </c>
      <c r="M835" s="116" t="s">
        <v>107</v>
      </c>
      <c r="N835" s="116" t="s">
        <v>108</v>
      </c>
      <c r="O835" s="170" t="s">
        <v>386</v>
      </c>
      <c r="P835" s="573" t="s">
        <v>375</v>
      </c>
      <c r="Q835" s="573"/>
      <c r="R835" s="101" t="s">
        <v>452</v>
      </c>
      <c r="S835" s="116" t="s">
        <v>0</v>
      </c>
      <c r="T835" s="118"/>
      <c r="U835" s="116" t="s">
        <v>287</v>
      </c>
      <c r="V835" s="116" t="s">
        <v>288</v>
      </c>
      <c r="W835" s="116" t="s">
        <v>291</v>
      </c>
      <c r="X835" s="140"/>
      <c r="Y835" s="116" t="s">
        <v>289</v>
      </c>
      <c r="Z835" s="116" t="s">
        <v>354</v>
      </c>
      <c r="AA835" s="116" t="s">
        <v>355</v>
      </c>
      <c r="AB835" s="116" t="s">
        <v>317</v>
      </c>
      <c r="AC835" s="116" t="s">
        <v>318</v>
      </c>
      <c r="AD835" s="116" t="s">
        <v>316</v>
      </c>
      <c r="AE835" s="140"/>
      <c r="AF835" s="116" t="s">
        <v>293</v>
      </c>
      <c r="AG835" s="116" t="s">
        <v>354</v>
      </c>
      <c r="AH835" s="116" t="s">
        <v>355</v>
      </c>
      <c r="AI835" s="116" t="s">
        <v>296</v>
      </c>
      <c r="AJ835" s="116" t="s">
        <v>294</v>
      </c>
      <c r="AK835" s="116" t="s">
        <v>295</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548</v>
      </c>
      <c r="O836" s="121" t="s">
        <v>488</v>
      </c>
      <c r="P836" s="169" t="s">
        <v>379</v>
      </c>
      <c r="Q836" s="169" t="s">
        <v>375</v>
      </c>
      <c r="R836" s="169"/>
      <c r="S836" s="133">
        <f>M836</f>
        <v>0</v>
      </c>
      <c r="T836" s="119"/>
      <c r="U836" s="121" t="s">
        <v>292</v>
      </c>
      <c r="V836" s="133">
        <f>S836</f>
        <v>0</v>
      </c>
      <c r="W836" s="133">
        <f>VLOOKUP(U836,Sheet1!$B$6:$C$45,2,FALSE)*V836</f>
        <v>0</v>
      </c>
      <c r="X836" s="141"/>
      <c r="Y836" s="121" t="s">
        <v>292</v>
      </c>
      <c r="Z836" s="146">
        <f>VLOOKUP(Takeoffs!Y836,Sheet1!$B$6:$C$124,2,FALSE)</f>
        <v>0</v>
      </c>
      <c r="AA836" s="146">
        <f>Z836*AB836</f>
        <v>0</v>
      </c>
      <c r="AB836" s="143">
        <f>AD836*AC836</f>
        <v>0</v>
      </c>
      <c r="AC836" s="133">
        <f>S836</f>
        <v>0</v>
      </c>
      <c r="AD836" s="142">
        <v>1</v>
      </c>
      <c r="AE836" s="141"/>
      <c r="AF836" s="121" t="s">
        <v>292</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340</v>
      </c>
      <c r="P837" s="121"/>
      <c r="Q837" s="66"/>
      <c r="R837" s="121"/>
      <c r="S837" s="133">
        <f>M836</f>
        <v>0</v>
      </c>
      <c r="T837" s="120"/>
      <c r="U837" s="121" t="s">
        <v>292</v>
      </c>
      <c r="V837" s="133">
        <f t="shared" ref="V837:V856" si="378">S837</f>
        <v>0</v>
      </c>
      <c r="W837" s="133">
        <f>VLOOKUP(U837,Sheet1!$B$6:$C$45,2,FALSE)*V837</f>
        <v>0</v>
      </c>
      <c r="X837" s="141"/>
      <c r="Y837" s="121" t="s">
        <v>292</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292</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308</v>
      </c>
      <c r="P838" s="121"/>
      <c r="Q838" s="66"/>
      <c r="R838" s="121"/>
      <c r="S838" s="133">
        <f>M836</f>
        <v>0</v>
      </c>
      <c r="T838" s="120"/>
      <c r="U838" s="121" t="s">
        <v>292</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305</v>
      </c>
      <c r="P839" s="121"/>
      <c r="Q839" s="66"/>
      <c r="R839" s="121"/>
      <c r="S839" s="133">
        <f>M836</f>
        <v>0</v>
      </c>
      <c r="T839" s="120"/>
      <c r="U839" s="117" t="s">
        <v>478</v>
      </c>
      <c r="V839" s="133">
        <f t="shared" si="378"/>
        <v>0</v>
      </c>
      <c r="W839" s="133">
        <f>VLOOKUP(U839,Sheet1!$B$6:$C$45,2,FALSE)*V839</f>
        <v>0</v>
      </c>
      <c r="X839" s="141"/>
      <c r="Y839" s="121" t="s">
        <v>292</v>
      </c>
      <c r="Z839" s="146">
        <f>VLOOKUP(Takeoffs!Y839,Sheet1!$B$6:$C$124,2,FALSE)</f>
        <v>0</v>
      </c>
      <c r="AA839" s="146">
        <f t="shared" si="379"/>
        <v>0</v>
      </c>
      <c r="AB839" s="143">
        <f t="shared" si="380"/>
        <v>0</v>
      </c>
      <c r="AC839" s="133">
        <f t="shared" si="381"/>
        <v>0</v>
      </c>
      <c r="AD839" s="142">
        <v>1</v>
      </c>
      <c r="AE839" s="141"/>
      <c r="AF839" s="121" t="s">
        <v>292</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323</v>
      </c>
      <c r="P840" s="121"/>
      <c r="Q840" s="66"/>
      <c r="R840" s="121"/>
      <c r="S840" s="133">
        <f>M836</f>
        <v>0</v>
      </c>
      <c r="T840" s="120"/>
      <c r="U840" s="121" t="s">
        <v>235</v>
      </c>
      <c r="V840" s="133">
        <f t="shared" si="378"/>
        <v>0</v>
      </c>
      <c r="W840" s="133">
        <f>VLOOKUP(U840,Sheet1!$B$6:$C$45,2,FALSE)*V840</f>
        <v>0</v>
      </c>
      <c r="X840" s="141"/>
      <c r="Y840" s="135" t="s">
        <v>543</v>
      </c>
      <c r="Z840" s="146">
        <f>VLOOKUP(Takeoffs!Y840,Sheet1!$B$6:$C$124,2,FALSE)</f>
        <v>649.44000000000005</v>
      </c>
      <c r="AA840" s="146">
        <f t="shared" si="379"/>
        <v>0</v>
      </c>
      <c r="AB840" s="143">
        <f t="shared" si="380"/>
        <v>0</v>
      </c>
      <c r="AC840" s="133">
        <f t="shared" si="381"/>
        <v>0</v>
      </c>
      <c r="AD840" s="142">
        <v>1</v>
      </c>
      <c r="AE840" s="141"/>
      <c r="AF840" s="121" t="s">
        <v>292</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390</v>
      </c>
      <c r="P841" s="121"/>
      <c r="Q841" s="66"/>
      <c r="R841" s="121"/>
      <c r="S841" s="133">
        <f>M836</f>
        <v>0</v>
      </c>
      <c r="T841" s="120"/>
      <c r="U841" s="121" t="s">
        <v>292</v>
      </c>
      <c r="V841" s="133">
        <f t="shared" si="378"/>
        <v>0</v>
      </c>
      <c r="W841" s="133">
        <f>VLOOKUP(U841,Sheet1!$B$6:$C$45,2,FALSE)*V841</f>
        <v>0</v>
      </c>
      <c r="X841" s="141"/>
      <c r="Y841" s="121" t="s">
        <v>292</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309</v>
      </c>
      <c r="P842" s="121"/>
      <c r="Q842" s="66"/>
      <c r="R842" s="121"/>
      <c r="S842" s="133">
        <f>M836</f>
        <v>0</v>
      </c>
      <c r="T842" s="120"/>
      <c r="U842" s="121" t="s">
        <v>292</v>
      </c>
      <c r="V842" s="133">
        <f t="shared" si="378"/>
        <v>0</v>
      </c>
      <c r="W842" s="133">
        <f>VLOOKUP(U842,Sheet1!$B$6:$C$45,2,FALSE)*V842</f>
        <v>0</v>
      </c>
      <c r="X842" s="141"/>
      <c r="Y842" s="121" t="s">
        <v>292</v>
      </c>
      <c r="Z842" s="146">
        <f>VLOOKUP(Takeoffs!Y842,Sheet1!$B$6:$C$124,2,FALSE)</f>
        <v>0</v>
      </c>
      <c r="AA842" s="146">
        <f t="shared" si="379"/>
        <v>0</v>
      </c>
      <c r="AB842" s="143">
        <f t="shared" si="380"/>
        <v>0</v>
      </c>
      <c r="AC842" s="133">
        <f t="shared" si="381"/>
        <v>0</v>
      </c>
      <c r="AD842" s="142">
        <v>1</v>
      </c>
      <c r="AE842" s="141"/>
      <c r="AF842" s="121" t="s">
        <v>292</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292</v>
      </c>
      <c r="V843" s="133">
        <f t="shared" si="378"/>
        <v>0</v>
      </c>
      <c r="W843" s="133">
        <f>VLOOKUP(U843,Sheet1!$B$6:$C$45,2,FALSE)*V843</f>
        <v>0</v>
      </c>
      <c r="X843" s="141"/>
      <c r="Y843" s="121" t="s">
        <v>292</v>
      </c>
      <c r="Z843" s="146">
        <f>VLOOKUP(Takeoffs!Y843,Sheet1!$B$6:$C$124,2,FALSE)</f>
        <v>0</v>
      </c>
      <c r="AA843" s="146">
        <f t="shared" si="379"/>
        <v>0</v>
      </c>
      <c r="AB843" s="143">
        <f t="shared" si="380"/>
        <v>0</v>
      </c>
      <c r="AC843" s="133">
        <f t="shared" si="381"/>
        <v>0</v>
      </c>
      <c r="AD843" s="142">
        <v>1</v>
      </c>
      <c r="AE843" s="141"/>
      <c r="AF843" s="121" t="s">
        <v>292</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328</v>
      </c>
      <c r="P844" s="121"/>
      <c r="Q844" s="66"/>
      <c r="R844" s="121"/>
      <c r="S844" s="133">
        <f>M836</f>
        <v>0</v>
      </c>
      <c r="T844" s="120"/>
      <c r="U844" s="121" t="s">
        <v>364</v>
      </c>
      <c r="V844" s="133">
        <f t="shared" si="378"/>
        <v>0</v>
      </c>
      <c r="W844" s="133">
        <f>VLOOKUP(U844,Sheet1!$B$6:$C$45,2,FALSE)*V844</f>
        <v>0</v>
      </c>
      <c r="X844" s="141"/>
      <c r="Y844" s="121" t="s">
        <v>292</v>
      </c>
      <c r="Z844" s="146">
        <f>VLOOKUP(Takeoffs!Y844,Sheet1!$B$6:$C$124,2,FALSE)</f>
        <v>0</v>
      </c>
      <c r="AA844" s="146">
        <f t="shared" si="379"/>
        <v>0</v>
      </c>
      <c r="AB844" s="143">
        <f t="shared" si="380"/>
        <v>0</v>
      </c>
      <c r="AC844" s="133">
        <f t="shared" si="381"/>
        <v>0</v>
      </c>
      <c r="AD844" s="142">
        <v>1</v>
      </c>
      <c r="AE844" s="141"/>
      <c r="AF844" s="121" t="s">
        <v>292</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292</v>
      </c>
      <c r="V845" s="133">
        <f t="shared" si="378"/>
        <v>0</v>
      </c>
      <c r="W845" s="133">
        <f>VLOOKUP(U845,Sheet1!$B$6:$C$45,2,FALSE)*V845</f>
        <v>0</v>
      </c>
      <c r="X845" s="141"/>
      <c r="Y845" s="121" t="s">
        <v>292</v>
      </c>
      <c r="Z845" s="146">
        <f>VLOOKUP(Takeoffs!Y845,Sheet1!$B$6:$C$124,2,FALSE)</f>
        <v>0</v>
      </c>
      <c r="AA845" s="146">
        <f t="shared" si="379"/>
        <v>0</v>
      </c>
      <c r="AB845" s="143">
        <f t="shared" si="380"/>
        <v>0</v>
      </c>
      <c r="AC845" s="133">
        <f t="shared" si="381"/>
        <v>0</v>
      </c>
      <c r="AD845" s="142">
        <v>1</v>
      </c>
      <c r="AE845" s="141"/>
      <c r="AF845" s="121" t="s">
        <v>292</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292</v>
      </c>
      <c r="V846" s="133">
        <f t="shared" si="378"/>
        <v>0</v>
      </c>
      <c r="W846" s="133">
        <f>VLOOKUP(U846,Sheet1!$B$6:$C$45,2,FALSE)*V846</f>
        <v>0</v>
      </c>
      <c r="X846" s="141"/>
      <c r="Y846" s="121" t="s">
        <v>292</v>
      </c>
      <c r="Z846" s="146">
        <f>VLOOKUP(Takeoffs!Y846,Sheet1!$B$6:$C$124,2,FALSE)</f>
        <v>0</v>
      </c>
      <c r="AA846" s="146">
        <f t="shared" si="379"/>
        <v>0</v>
      </c>
      <c r="AB846" s="143">
        <f t="shared" si="380"/>
        <v>0</v>
      </c>
      <c r="AC846" s="133">
        <f t="shared" si="381"/>
        <v>0</v>
      </c>
      <c r="AD846" s="142">
        <v>1</v>
      </c>
      <c r="AE846" s="141"/>
      <c r="AF846" s="121" t="s">
        <v>292</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292</v>
      </c>
      <c r="V847" s="133">
        <f t="shared" si="378"/>
        <v>0</v>
      </c>
      <c r="W847" s="133">
        <f>VLOOKUP(U847,Sheet1!$B$6:$C$45,2,FALSE)*V847</f>
        <v>0</v>
      </c>
      <c r="X847" s="141"/>
      <c r="Y847" s="121" t="s">
        <v>292</v>
      </c>
      <c r="Z847" s="146">
        <f>VLOOKUP(Takeoffs!Y847,Sheet1!$B$6:$C$124,2,FALSE)</f>
        <v>0</v>
      </c>
      <c r="AA847" s="146">
        <f t="shared" si="379"/>
        <v>0</v>
      </c>
      <c r="AB847" s="143">
        <f t="shared" si="380"/>
        <v>0</v>
      </c>
      <c r="AC847" s="133">
        <f t="shared" si="381"/>
        <v>0</v>
      </c>
      <c r="AD847" s="142">
        <v>1</v>
      </c>
      <c r="AE847" s="141"/>
      <c r="AF847" s="121" t="s">
        <v>292</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292</v>
      </c>
      <c r="V848" s="133">
        <f t="shared" si="378"/>
        <v>0</v>
      </c>
      <c r="W848" s="133">
        <f>VLOOKUP(U848,Sheet1!$B$6:$C$45,2,FALSE)*V848</f>
        <v>0</v>
      </c>
      <c r="X848" s="141"/>
      <c r="Y848" s="121" t="s">
        <v>292</v>
      </c>
      <c r="Z848" s="146">
        <f>VLOOKUP(Takeoffs!Y848,Sheet1!$B$6:$C$124,2,FALSE)</f>
        <v>0</v>
      </c>
      <c r="AA848" s="146">
        <f t="shared" si="379"/>
        <v>0</v>
      </c>
      <c r="AB848" s="143">
        <f t="shared" si="380"/>
        <v>0</v>
      </c>
      <c r="AC848" s="133">
        <f t="shared" si="381"/>
        <v>0</v>
      </c>
      <c r="AD848" s="142">
        <v>1</v>
      </c>
      <c r="AE848" s="141"/>
      <c r="AF848" s="152" t="s">
        <v>418</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312</v>
      </c>
      <c r="P849" s="121"/>
      <c r="Q849" s="66"/>
      <c r="R849" s="121"/>
      <c r="S849" s="133">
        <f>M836</f>
        <v>0</v>
      </c>
      <c r="T849" s="120"/>
      <c r="U849" s="121" t="s">
        <v>232</v>
      </c>
      <c r="V849" s="133">
        <f t="shared" si="378"/>
        <v>0</v>
      </c>
      <c r="W849" s="133">
        <f>VLOOKUP(U849,Sheet1!$B$6:$C$45,2,FALSE)*V849</f>
        <v>0</v>
      </c>
      <c r="X849" s="141"/>
      <c r="Y849" s="122" t="s">
        <v>1344</v>
      </c>
      <c r="Z849" s="146">
        <f>VLOOKUP(Takeoffs!Y849,Sheet1!$B$6:$C$124,2,FALSE)</f>
        <v>109.25999999999999</v>
      </c>
      <c r="AA849" s="146">
        <f t="shared" si="379"/>
        <v>0</v>
      </c>
      <c r="AB849" s="143">
        <f t="shared" si="380"/>
        <v>0</v>
      </c>
      <c r="AC849" s="133">
        <f t="shared" si="381"/>
        <v>0</v>
      </c>
      <c r="AD849" s="142">
        <v>1</v>
      </c>
      <c r="AE849" s="141"/>
      <c r="AF849" s="121" t="s">
        <v>292</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345</v>
      </c>
      <c r="P850" s="121" t="s">
        <v>380</v>
      </c>
      <c r="Q850" s="66" t="s">
        <v>384</v>
      </c>
      <c r="R850" s="121"/>
      <c r="S850" s="133">
        <f>M836</f>
        <v>0</v>
      </c>
      <c r="T850" s="120"/>
      <c r="U850" s="121" t="s">
        <v>292</v>
      </c>
      <c r="V850" s="133">
        <f t="shared" si="378"/>
        <v>0</v>
      </c>
      <c r="W850" s="133">
        <f>VLOOKUP(U850,Sheet1!$B$6:$C$45,2,FALSE)*V850</f>
        <v>0</v>
      </c>
      <c r="X850" s="141"/>
      <c r="Y850" s="122" t="s">
        <v>326</v>
      </c>
      <c r="Z850" s="146">
        <f>VLOOKUP(Takeoffs!Y850,Sheet1!$B$6:$C$124,2,FALSE)</f>
        <v>29.04</v>
      </c>
      <c r="AA850" s="146">
        <f t="shared" si="379"/>
        <v>0</v>
      </c>
      <c r="AB850" s="143">
        <f t="shared" si="380"/>
        <v>0</v>
      </c>
      <c r="AC850" s="133">
        <f t="shared" si="381"/>
        <v>0</v>
      </c>
      <c r="AD850" s="142">
        <v>1</v>
      </c>
      <c r="AE850" s="141"/>
      <c r="AF850" s="121" t="s">
        <v>292</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337</v>
      </c>
      <c r="P851" s="121"/>
      <c r="Q851" s="66"/>
      <c r="R851" s="121" t="s">
        <v>331</v>
      </c>
      <c r="S851" s="133">
        <f>M836</f>
        <v>0</v>
      </c>
      <c r="T851" s="120"/>
      <c r="U851" s="121" t="s">
        <v>292</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292</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499</v>
      </c>
      <c r="P852" s="121"/>
      <c r="Q852" s="66"/>
      <c r="R852" s="121"/>
      <c r="S852" s="133">
        <f>M836</f>
        <v>0</v>
      </c>
      <c r="T852" s="120"/>
      <c r="U852" s="121" t="s">
        <v>292</v>
      </c>
      <c r="V852" s="133">
        <f t="shared" si="378"/>
        <v>0</v>
      </c>
      <c r="W852" s="133">
        <f>VLOOKUP(U852,Sheet1!$B$6:$C$45,2,FALSE)*V852</f>
        <v>0</v>
      </c>
      <c r="X852" s="141"/>
      <c r="Y852" s="135" t="s">
        <v>422</v>
      </c>
      <c r="Z852" s="146">
        <f>VLOOKUP(Takeoffs!Y852,Sheet1!$B$6:$C$124,2,FALSE)</f>
        <v>23.4</v>
      </c>
      <c r="AA852" s="146">
        <f t="shared" si="379"/>
        <v>0</v>
      </c>
      <c r="AB852" s="143">
        <f t="shared" si="380"/>
        <v>0</v>
      </c>
      <c r="AC852" s="133">
        <f t="shared" si="381"/>
        <v>0</v>
      </c>
      <c r="AD852" s="142">
        <v>1</v>
      </c>
      <c r="AE852" s="141"/>
      <c r="AF852" s="121" t="s">
        <v>292</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329</v>
      </c>
      <c r="P853" s="121"/>
      <c r="Q853" s="66"/>
      <c r="R853" s="121" t="s">
        <v>304</v>
      </c>
      <c r="S853" s="133">
        <f>M836</f>
        <v>0</v>
      </c>
      <c r="T853" s="120"/>
      <c r="U853" s="121" t="s">
        <v>292</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292</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500</v>
      </c>
      <c r="P854" s="121"/>
      <c r="Q854" s="66"/>
      <c r="R854" s="121"/>
      <c r="S854" s="133">
        <f>M836</f>
        <v>0</v>
      </c>
      <c r="T854" s="120"/>
      <c r="U854" s="121" t="s">
        <v>292</v>
      </c>
      <c r="V854" s="133">
        <f t="shared" si="378"/>
        <v>0</v>
      </c>
      <c r="W854" s="133">
        <f>VLOOKUP(U854,Sheet1!$B$6:$C$45,2,FALSE)*V854</f>
        <v>0</v>
      </c>
      <c r="X854" s="141"/>
      <c r="Y854" s="121" t="s">
        <v>292</v>
      </c>
      <c r="Z854" s="146">
        <f>VLOOKUP(Takeoffs!Y854,Sheet1!$B$6:$C$124,2,FALSE)</f>
        <v>0</v>
      </c>
      <c r="AA854" s="146">
        <f t="shared" si="379"/>
        <v>0</v>
      </c>
      <c r="AB854" s="143">
        <f t="shared" si="380"/>
        <v>0</v>
      </c>
      <c r="AC854" s="133">
        <f t="shared" si="381"/>
        <v>0</v>
      </c>
      <c r="AD854" s="142">
        <v>1</v>
      </c>
      <c r="AE854" s="141"/>
      <c r="AF854" s="121" t="s">
        <v>292</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407</v>
      </c>
      <c r="P855" s="121"/>
      <c r="Q855" s="66"/>
      <c r="R855" s="121"/>
      <c r="S855" s="133">
        <f>M836</f>
        <v>0</v>
      </c>
      <c r="T855" s="120"/>
      <c r="U855" s="121" t="s">
        <v>292</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292</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408</v>
      </c>
      <c r="P856" s="121"/>
      <c r="Q856" s="66"/>
      <c r="R856" s="121"/>
      <c r="S856" s="133">
        <f>M836</f>
        <v>0</v>
      </c>
      <c r="T856" s="120"/>
      <c r="U856" s="121" t="s">
        <v>362</v>
      </c>
      <c r="V856" s="133">
        <f t="shared" si="378"/>
        <v>0</v>
      </c>
      <c r="W856" s="133">
        <f>VLOOKUP(U856,Sheet1!$B$6:$C$45,2,FALSE)*V856</f>
        <v>0</v>
      </c>
      <c r="X856" s="141"/>
      <c r="Y856" s="121" t="s">
        <v>292</v>
      </c>
      <c r="Z856" s="146">
        <f>VLOOKUP(Takeoffs!Y856,Sheet1!$B$6:$C$124,2,FALSE)</f>
        <v>0</v>
      </c>
      <c r="AA856" s="146">
        <f t="shared" si="379"/>
        <v>0</v>
      </c>
      <c r="AB856" s="143">
        <f t="shared" si="380"/>
        <v>0</v>
      </c>
      <c r="AC856" s="133">
        <f t="shared" si="381"/>
        <v>0</v>
      </c>
      <c r="AD856" s="142">
        <v>1</v>
      </c>
      <c r="AE856" s="141"/>
      <c r="AF856" s="121" t="s">
        <v>292</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377</v>
      </c>
      <c r="L857" s="128" t="s">
        <v>378</v>
      </c>
      <c r="N857" s="129"/>
      <c r="O857" s="130" t="s">
        <v>357</v>
      </c>
      <c r="P857" s="131">
        <f>V857+AA857+AH857</f>
        <v>0</v>
      </c>
      <c r="Q857" s="131"/>
      <c r="R857" s="131"/>
      <c r="S857" s="130"/>
      <c r="T857" s="127"/>
      <c r="U857" s="126" t="s">
        <v>351</v>
      </c>
      <c r="V857" s="127">
        <f>W857*80</f>
        <v>0</v>
      </c>
      <c r="W857" s="147">
        <f>SUM(W836:W856)</f>
        <v>0</v>
      </c>
      <c r="X857" s="148"/>
      <c r="Y857" s="127" t="s">
        <v>352</v>
      </c>
      <c r="Z857" s="116"/>
      <c r="AA857" s="116">
        <f>SUM(AA836:AA856)</f>
        <v>0</v>
      </c>
      <c r="AB857" s="149"/>
      <c r="AC857" s="149"/>
      <c r="AD857" s="149"/>
      <c r="AE857" s="149"/>
      <c r="AF857" s="127" t="s">
        <v>356</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hidden="1" x14ac:dyDescent="0.8">
      <c r="A858" s="262">
        <f>ROW()</f>
        <v>858</v>
      </c>
      <c r="B858" s="234" t="s">
        <v>491</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367</v>
      </c>
      <c r="N858" s="160" t="str">
        <f>N836</f>
        <v>Small sized VSD fan with fire shutdown - from MSSB power supply and BMS interface provisions</v>
      </c>
      <c r="O858" s="160" t="s">
        <v>365</v>
      </c>
      <c r="P858" s="183" t="e">
        <f>P857/M836</f>
        <v>#DIV/0!</v>
      </c>
      <c r="Q858" s="191"/>
      <c r="R858" s="161"/>
      <c r="S858" s="160"/>
      <c r="T858" s="161"/>
      <c r="U858" s="571" t="s">
        <v>366</v>
      </c>
      <c r="V858" s="571"/>
      <c r="W858" s="162" t="e">
        <f>W857/M836</f>
        <v>#DIV/0!</v>
      </c>
      <c r="X858" s="163"/>
      <c r="Y858" s="570" t="s">
        <v>365</v>
      </c>
      <c r="Z858" s="570"/>
      <c r="AA858" s="164" t="e">
        <f>AA857/M836</f>
        <v>#DIV/0!</v>
      </c>
      <c r="AB858" s="161"/>
      <c r="AC858" s="161"/>
      <c r="AD858" s="161"/>
      <c r="AE858" s="161"/>
      <c r="AF858" s="570" t="s">
        <v>365</v>
      </c>
      <c r="AG858" s="570"/>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452</v>
      </c>
      <c r="M859" s="116" t="s">
        <v>107</v>
      </c>
      <c r="N859" s="116" t="s">
        <v>108</v>
      </c>
      <c r="O859" s="170" t="s">
        <v>386</v>
      </c>
      <c r="P859" s="573" t="s">
        <v>375</v>
      </c>
      <c r="Q859" s="573"/>
      <c r="R859" s="101" t="s">
        <v>452</v>
      </c>
      <c r="S859" s="116" t="s">
        <v>0</v>
      </c>
      <c r="T859" s="118"/>
      <c r="U859" s="116" t="s">
        <v>287</v>
      </c>
      <c r="V859" s="116" t="s">
        <v>288</v>
      </c>
      <c r="W859" s="116" t="s">
        <v>291</v>
      </c>
      <c r="X859" s="140"/>
      <c r="Y859" s="116" t="s">
        <v>289</v>
      </c>
      <c r="Z859" s="116" t="s">
        <v>354</v>
      </c>
      <c r="AA859" s="116" t="s">
        <v>355</v>
      </c>
      <c r="AB859" s="116" t="s">
        <v>317</v>
      </c>
      <c r="AC859" s="116" t="s">
        <v>318</v>
      </c>
      <c r="AD859" s="116" t="s">
        <v>316</v>
      </c>
      <c r="AE859" s="140"/>
      <c r="AF859" s="116" t="s">
        <v>293</v>
      </c>
      <c r="AG859" s="116" t="s">
        <v>354</v>
      </c>
      <c r="AH859" s="116" t="s">
        <v>355</v>
      </c>
      <c r="AI859" s="116" t="s">
        <v>296</v>
      </c>
      <c r="AJ859" s="116" t="s">
        <v>294</v>
      </c>
      <c r="AK859" s="116" t="s">
        <v>295</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547</v>
      </c>
      <c r="O860" s="121" t="s">
        <v>488</v>
      </c>
      <c r="P860" s="169" t="s">
        <v>379</v>
      </c>
      <c r="Q860" s="169" t="s">
        <v>375</v>
      </c>
      <c r="R860" s="169"/>
      <c r="S860" s="133">
        <f>M860</f>
        <v>0</v>
      </c>
      <c r="T860" s="119"/>
      <c r="U860" s="121" t="s">
        <v>292</v>
      </c>
      <c r="V860" s="133">
        <f>S860</f>
        <v>0</v>
      </c>
      <c r="W860" s="133">
        <f>VLOOKUP(U860,Sheet1!$B$6:$C$45,2,FALSE)*V860</f>
        <v>0</v>
      </c>
      <c r="X860" s="141"/>
      <c r="Y860" s="121" t="s">
        <v>292</v>
      </c>
      <c r="Z860" s="146">
        <f>VLOOKUP(Takeoffs!Y860,Sheet1!$B$6:$C$124,2,FALSE)</f>
        <v>0</v>
      </c>
      <c r="AA860" s="146">
        <f>Z860*AB860</f>
        <v>0</v>
      </c>
      <c r="AB860" s="143">
        <f>AD860*AC860</f>
        <v>0</v>
      </c>
      <c r="AC860" s="133">
        <f>S860</f>
        <v>0</v>
      </c>
      <c r="AD860" s="142">
        <v>1</v>
      </c>
      <c r="AE860" s="141"/>
      <c r="AF860" s="121" t="s">
        <v>292</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340</v>
      </c>
      <c r="P861" s="121"/>
      <c r="Q861" s="66"/>
      <c r="R861" s="121"/>
      <c r="S861" s="133">
        <f>M860</f>
        <v>0</v>
      </c>
      <c r="T861" s="120"/>
      <c r="U861" s="121" t="s">
        <v>292</v>
      </c>
      <c r="V861" s="133">
        <f t="shared" ref="V861:V880" si="392">S861</f>
        <v>0</v>
      </c>
      <c r="W861" s="133">
        <f>VLOOKUP(U861,Sheet1!$B$6:$C$45,2,FALSE)*V861</f>
        <v>0</v>
      </c>
      <c r="X861" s="141"/>
      <c r="Y861" s="121" t="s">
        <v>292</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292</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308</v>
      </c>
      <c r="P862" s="121"/>
      <c r="Q862" s="66"/>
      <c r="R862" s="121"/>
      <c r="S862" s="133">
        <f>M860</f>
        <v>0</v>
      </c>
      <c r="T862" s="120"/>
      <c r="U862" s="121" t="s">
        <v>292</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305</v>
      </c>
      <c r="P863" s="121"/>
      <c r="Q863" s="66"/>
      <c r="R863" s="121"/>
      <c r="S863" s="133">
        <f>M860</f>
        <v>0</v>
      </c>
      <c r="T863" s="120"/>
      <c r="U863" s="117" t="s">
        <v>478</v>
      </c>
      <c r="V863" s="133">
        <f t="shared" si="392"/>
        <v>0</v>
      </c>
      <c r="W863" s="133">
        <f>VLOOKUP(U863,Sheet1!$B$6:$C$45,2,FALSE)*V863</f>
        <v>0</v>
      </c>
      <c r="X863" s="141"/>
      <c r="Y863" s="121" t="s">
        <v>292</v>
      </c>
      <c r="Z863" s="146">
        <f>VLOOKUP(Takeoffs!Y863,Sheet1!$B$6:$C$124,2,FALSE)</f>
        <v>0</v>
      </c>
      <c r="AA863" s="146">
        <f t="shared" si="393"/>
        <v>0</v>
      </c>
      <c r="AB863" s="143">
        <f t="shared" si="394"/>
        <v>0</v>
      </c>
      <c r="AC863" s="133">
        <f t="shared" si="395"/>
        <v>0</v>
      </c>
      <c r="AD863" s="142">
        <v>1</v>
      </c>
      <c r="AE863" s="141"/>
      <c r="AF863" s="121" t="s">
        <v>292</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323</v>
      </c>
      <c r="P864" s="121"/>
      <c r="Q864" s="66"/>
      <c r="R864" s="121"/>
      <c r="S864" s="133">
        <f>M860</f>
        <v>0</v>
      </c>
      <c r="T864" s="120"/>
      <c r="U864" s="121" t="s">
        <v>235</v>
      </c>
      <c r="V864" s="133">
        <f t="shared" si="392"/>
        <v>0</v>
      </c>
      <c r="W864" s="133">
        <f>VLOOKUP(U864,Sheet1!$B$6:$C$45,2,FALSE)*V864</f>
        <v>0</v>
      </c>
      <c r="X864" s="141"/>
      <c r="Y864" s="135" t="s">
        <v>546</v>
      </c>
      <c r="Z864" s="146">
        <f>VLOOKUP(Takeoffs!Y864,Sheet1!$B$6:$C$124,2,FALSE)</f>
        <v>865.92</v>
      </c>
      <c r="AA864" s="146">
        <f t="shared" si="393"/>
        <v>0</v>
      </c>
      <c r="AB864" s="143">
        <f t="shared" si="394"/>
        <v>0</v>
      </c>
      <c r="AC864" s="133">
        <f t="shared" si="395"/>
        <v>0</v>
      </c>
      <c r="AD864" s="142">
        <v>1</v>
      </c>
      <c r="AE864" s="141"/>
      <c r="AF864" s="121" t="s">
        <v>292</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390</v>
      </c>
      <c r="P865" s="121"/>
      <c r="Q865" s="66"/>
      <c r="R865" s="121"/>
      <c r="S865" s="133">
        <f>M860</f>
        <v>0</v>
      </c>
      <c r="T865" s="120"/>
      <c r="U865" s="121" t="s">
        <v>292</v>
      </c>
      <c r="V865" s="133">
        <f t="shared" si="392"/>
        <v>0</v>
      </c>
      <c r="W865" s="133">
        <f>VLOOKUP(U865,Sheet1!$B$6:$C$45,2,FALSE)*V865</f>
        <v>0</v>
      </c>
      <c r="X865" s="141"/>
      <c r="Y865" s="121" t="s">
        <v>292</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309</v>
      </c>
      <c r="P866" s="121"/>
      <c r="Q866" s="66"/>
      <c r="R866" s="121"/>
      <c r="S866" s="133">
        <f>M860</f>
        <v>0</v>
      </c>
      <c r="T866" s="120"/>
      <c r="U866" s="121" t="s">
        <v>292</v>
      </c>
      <c r="V866" s="133">
        <f t="shared" si="392"/>
        <v>0</v>
      </c>
      <c r="W866" s="133">
        <f>VLOOKUP(U866,Sheet1!$B$6:$C$45,2,FALSE)*V866</f>
        <v>0</v>
      </c>
      <c r="X866" s="141"/>
      <c r="Y866" s="121" t="s">
        <v>292</v>
      </c>
      <c r="Z866" s="146">
        <f>VLOOKUP(Takeoffs!Y866,Sheet1!$B$6:$C$124,2,FALSE)</f>
        <v>0</v>
      </c>
      <c r="AA866" s="146">
        <f t="shared" si="393"/>
        <v>0</v>
      </c>
      <c r="AB866" s="143">
        <f t="shared" si="394"/>
        <v>0</v>
      </c>
      <c r="AC866" s="133">
        <f t="shared" si="395"/>
        <v>0</v>
      </c>
      <c r="AD866" s="142">
        <v>1</v>
      </c>
      <c r="AE866" s="141"/>
      <c r="AF866" s="121" t="s">
        <v>292</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292</v>
      </c>
      <c r="V867" s="133">
        <f t="shared" si="392"/>
        <v>0</v>
      </c>
      <c r="W867" s="133">
        <f>VLOOKUP(U867,Sheet1!$B$6:$C$45,2,FALSE)*V867</f>
        <v>0</v>
      </c>
      <c r="X867" s="141"/>
      <c r="Y867" s="121" t="s">
        <v>292</v>
      </c>
      <c r="Z867" s="146">
        <f>VLOOKUP(Takeoffs!Y867,Sheet1!$B$6:$C$124,2,FALSE)</f>
        <v>0</v>
      </c>
      <c r="AA867" s="146">
        <f t="shared" si="393"/>
        <v>0</v>
      </c>
      <c r="AB867" s="143">
        <f t="shared" si="394"/>
        <v>0</v>
      </c>
      <c r="AC867" s="133">
        <f t="shared" si="395"/>
        <v>0</v>
      </c>
      <c r="AD867" s="142">
        <v>1</v>
      </c>
      <c r="AE867" s="141"/>
      <c r="AF867" s="121" t="s">
        <v>292</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328</v>
      </c>
      <c r="P868" s="121"/>
      <c r="Q868" s="66"/>
      <c r="R868" s="121"/>
      <c r="S868" s="133">
        <f>M860</f>
        <v>0</v>
      </c>
      <c r="T868" s="120"/>
      <c r="U868" s="121" t="s">
        <v>364</v>
      </c>
      <c r="V868" s="133">
        <f t="shared" si="392"/>
        <v>0</v>
      </c>
      <c r="W868" s="133">
        <f>VLOOKUP(U868,Sheet1!$B$6:$C$45,2,FALSE)*V868</f>
        <v>0</v>
      </c>
      <c r="X868" s="141"/>
      <c r="Y868" s="121" t="s">
        <v>292</v>
      </c>
      <c r="Z868" s="146">
        <f>VLOOKUP(Takeoffs!Y868,Sheet1!$B$6:$C$124,2,FALSE)</f>
        <v>0</v>
      </c>
      <c r="AA868" s="146">
        <f t="shared" si="393"/>
        <v>0</v>
      </c>
      <c r="AB868" s="143">
        <f t="shared" si="394"/>
        <v>0</v>
      </c>
      <c r="AC868" s="133">
        <f t="shared" si="395"/>
        <v>0</v>
      </c>
      <c r="AD868" s="142">
        <v>1</v>
      </c>
      <c r="AE868" s="141"/>
      <c r="AF868" s="121" t="s">
        <v>292</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292</v>
      </c>
      <c r="V869" s="133">
        <f t="shared" si="392"/>
        <v>0</v>
      </c>
      <c r="W869" s="133">
        <f>VLOOKUP(U869,Sheet1!$B$6:$C$45,2,FALSE)*V869</f>
        <v>0</v>
      </c>
      <c r="X869" s="141"/>
      <c r="Y869" s="121" t="s">
        <v>292</v>
      </c>
      <c r="Z869" s="146">
        <f>VLOOKUP(Takeoffs!Y869,Sheet1!$B$6:$C$124,2,FALSE)</f>
        <v>0</v>
      </c>
      <c r="AA869" s="146">
        <f t="shared" si="393"/>
        <v>0</v>
      </c>
      <c r="AB869" s="143">
        <f t="shared" si="394"/>
        <v>0</v>
      </c>
      <c r="AC869" s="133">
        <f t="shared" si="395"/>
        <v>0</v>
      </c>
      <c r="AD869" s="142">
        <v>1</v>
      </c>
      <c r="AE869" s="141"/>
      <c r="AF869" s="121" t="s">
        <v>292</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292</v>
      </c>
      <c r="V870" s="133">
        <f t="shared" si="392"/>
        <v>0</v>
      </c>
      <c r="W870" s="133">
        <f>VLOOKUP(U870,Sheet1!$B$6:$C$45,2,FALSE)*V870</f>
        <v>0</v>
      </c>
      <c r="X870" s="141"/>
      <c r="Y870" s="121" t="s">
        <v>292</v>
      </c>
      <c r="Z870" s="146">
        <f>VLOOKUP(Takeoffs!Y870,Sheet1!$B$6:$C$124,2,FALSE)</f>
        <v>0</v>
      </c>
      <c r="AA870" s="146">
        <f t="shared" si="393"/>
        <v>0</v>
      </c>
      <c r="AB870" s="143">
        <f t="shared" si="394"/>
        <v>0</v>
      </c>
      <c r="AC870" s="133">
        <f t="shared" si="395"/>
        <v>0</v>
      </c>
      <c r="AD870" s="142">
        <v>1</v>
      </c>
      <c r="AE870" s="141"/>
      <c r="AF870" s="121" t="s">
        <v>292</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292</v>
      </c>
      <c r="V871" s="133">
        <f t="shared" si="392"/>
        <v>0</v>
      </c>
      <c r="W871" s="133">
        <f>VLOOKUP(U871,Sheet1!$B$6:$C$45,2,FALSE)*V871</f>
        <v>0</v>
      </c>
      <c r="X871" s="141"/>
      <c r="Y871" s="121" t="s">
        <v>292</v>
      </c>
      <c r="Z871" s="146">
        <f>VLOOKUP(Takeoffs!Y871,Sheet1!$B$6:$C$124,2,FALSE)</f>
        <v>0</v>
      </c>
      <c r="AA871" s="146">
        <f t="shared" si="393"/>
        <v>0</v>
      </c>
      <c r="AB871" s="143">
        <f t="shared" si="394"/>
        <v>0</v>
      </c>
      <c r="AC871" s="133">
        <f t="shared" si="395"/>
        <v>0</v>
      </c>
      <c r="AD871" s="142">
        <v>1</v>
      </c>
      <c r="AE871" s="141"/>
      <c r="AF871" s="121" t="s">
        <v>292</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292</v>
      </c>
      <c r="V872" s="133">
        <f t="shared" si="392"/>
        <v>0</v>
      </c>
      <c r="W872" s="133">
        <f>VLOOKUP(U872,Sheet1!$B$6:$C$45,2,FALSE)*V872</f>
        <v>0</v>
      </c>
      <c r="X872" s="141"/>
      <c r="Y872" s="121" t="s">
        <v>292</v>
      </c>
      <c r="Z872" s="146">
        <f>VLOOKUP(Takeoffs!Y872,Sheet1!$B$6:$C$124,2,FALSE)</f>
        <v>0</v>
      </c>
      <c r="AA872" s="146">
        <f t="shared" si="393"/>
        <v>0</v>
      </c>
      <c r="AB872" s="143">
        <f t="shared" si="394"/>
        <v>0</v>
      </c>
      <c r="AC872" s="133">
        <f t="shared" si="395"/>
        <v>0</v>
      </c>
      <c r="AD872" s="142">
        <v>1</v>
      </c>
      <c r="AE872" s="141"/>
      <c r="AF872" s="152" t="s">
        <v>418</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312</v>
      </c>
      <c r="P873" s="121"/>
      <c r="Q873" s="66"/>
      <c r="R873" s="121"/>
      <c r="S873" s="133">
        <f>M860</f>
        <v>0</v>
      </c>
      <c r="T873" s="120"/>
      <c r="U873" s="121" t="s">
        <v>232</v>
      </c>
      <c r="V873" s="133">
        <f t="shared" si="392"/>
        <v>0</v>
      </c>
      <c r="W873" s="133">
        <f>VLOOKUP(U873,Sheet1!$B$6:$C$45,2,FALSE)*V873</f>
        <v>0</v>
      </c>
      <c r="X873" s="141"/>
      <c r="Y873" s="122" t="s">
        <v>1344</v>
      </c>
      <c r="Z873" s="146">
        <f>VLOOKUP(Takeoffs!Y873,Sheet1!$B$6:$C$124,2,FALSE)</f>
        <v>109.25999999999999</v>
      </c>
      <c r="AA873" s="146">
        <f t="shared" si="393"/>
        <v>0</v>
      </c>
      <c r="AB873" s="143">
        <f t="shared" si="394"/>
        <v>0</v>
      </c>
      <c r="AC873" s="133">
        <f t="shared" si="395"/>
        <v>0</v>
      </c>
      <c r="AD873" s="142">
        <v>1</v>
      </c>
      <c r="AE873" s="141"/>
      <c r="AF873" s="121" t="s">
        <v>292</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345</v>
      </c>
      <c r="P874" s="121" t="s">
        <v>380</v>
      </c>
      <c r="Q874" s="66" t="s">
        <v>384</v>
      </c>
      <c r="R874" s="121"/>
      <c r="S874" s="133">
        <f>M860</f>
        <v>0</v>
      </c>
      <c r="T874" s="120"/>
      <c r="U874" s="121" t="s">
        <v>292</v>
      </c>
      <c r="V874" s="133">
        <f t="shared" si="392"/>
        <v>0</v>
      </c>
      <c r="W874" s="133">
        <f>VLOOKUP(U874,Sheet1!$B$6:$C$45,2,FALSE)*V874</f>
        <v>0</v>
      </c>
      <c r="X874" s="141"/>
      <c r="Y874" s="122" t="s">
        <v>326</v>
      </c>
      <c r="Z874" s="146">
        <f>VLOOKUP(Takeoffs!Y874,Sheet1!$B$6:$C$124,2,FALSE)</f>
        <v>29.04</v>
      </c>
      <c r="AA874" s="146">
        <f t="shared" si="393"/>
        <v>0</v>
      </c>
      <c r="AB874" s="143">
        <f t="shared" si="394"/>
        <v>0</v>
      </c>
      <c r="AC874" s="133">
        <f t="shared" si="395"/>
        <v>0</v>
      </c>
      <c r="AD874" s="142">
        <v>1</v>
      </c>
      <c r="AE874" s="141"/>
      <c r="AF874" s="121" t="s">
        <v>292</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337</v>
      </c>
      <c r="P875" s="121"/>
      <c r="Q875" s="66"/>
      <c r="R875" s="121" t="s">
        <v>331</v>
      </c>
      <c r="S875" s="133">
        <f>M860</f>
        <v>0</v>
      </c>
      <c r="T875" s="120"/>
      <c r="U875" s="121" t="s">
        <v>292</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292</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499</v>
      </c>
      <c r="P876" s="121"/>
      <c r="Q876" s="66"/>
      <c r="R876" s="121"/>
      <c r="S876" s="133">
        <f>M860</f>
        <v>0</v>
      </c>
      <c r="T876" s="120"/>
      <c r="U876" s="121" t="s">
        <v>292</v>
      </c>
      <c r="V876" s="133">
        <f t="shared" si="392"/>
        <v>0</v>
      </c>
      <c r="W876" s="133">
        <f>VLOOKUP(U876,Sheet1!$B$6:$C$45,2,FALSE)*V876</f>
        <v>0</v>
      </c>
      <c r="X876" s="141"/>
      <c r="Y876" s="135" t="s">
        <v>422</v>
      </c>
      <c r="Z876" s="146">
        <f>VLOOKUP(Takeoffs!Y876,Sheet1!$B$6:$C$124,2,FALSE)</f>
        <v>23.4</v>
      </c>
      <c r="AA876" s="146">
        <f t="shared" si="393"/>
        <v>0</v>
      </c>
      <c r="AB876" s="143">
        <f t="shared" si="394"/>
        <v>0</v>
      </c>
      <c r="AC876" s="133">
        <f t="shared" si="395"/>
        <v>0</v>
      </c>
      <c r="AD876" s="142">
        <v>1</v>
      </c>
      <c r="AE876" s="141"/>
      <c r="AF876" s="121" t="s">
        <v>292</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329</v>
      </c>
      <c r="P877" s="121"/>
      <c r="Q877" s="66"/>
      <c r="R877" s="121" t="s">
        <v>304</v>
      </c>
      <c r="S877" s="133">
        <f>M860</f>
        <v>0</v>
      </c>
      <c r="T877" s="120"/>
      <c r="U877" s="121" t="s">
        <v>292</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292</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500</v>
      </c>
      <c r="P878" s="121"/>
      <c r="Q878" s="66"/>
      <c r="R878" s="121"/>
      <c r="S878" s="133">
        <f>M860</f>
        <v>0</v>
      </c>
      <c r="T878" s="120"/>
      <c r="U878" s="121" t="s">
        <v>292</v>
      </c>
      <c r="V878" s="133">
        <f t="shared" si="392"/>
        <v>0</v>
      </c>
      <c r="W878" s="133">
        <f>VLOOKUP(U878,Sheet1!$B$6:$C$45,2,FALSE)*V878</f>
        <v>0</v>
      </c>
      <c r="X878" s="141"/>
      <c r="Y878" s="121" t="s">
        <v>292</v>
      </c>
      <c r="Z878" s="146">
        <f>VLOOKUP(Takeoffs!Y878,Sheet1!$B$6:$C$124,2,FALSE)</f>
        <v>0</v>
      </c>
      <c r="AA878" s="146">
        <f t="shared" si="393"/>
        <v>0</v>
      </c>
      <c r="AB878" s="143">
        <f t="shared" si="394"/>
        <v>0</v>
      </c>
      <c r="AC878" s="133">
        <f t="shared" si="395"/>
        <v>0</v>
      </c>
      <c r="AD878" s="142">
        <v>1</v>
      </c>
      <c r="AE878" s="141"/>
      <c r="AF878" s="121" t="s">
        <v>292</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407</v>
      </c>
      <c r="P879" s="121"/>
      <c r="Q879" s="66"/>
      <c r="R879" s="121"/>
      <c r="S879" s="133">
        <f>M860</f>
        <v>0</v>
      </c>
      <c r="T879" s="120"/>
      <c r="U879" s="121" t="s">
        <v>292</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292</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408</v>
      </c>
      <c r="P880" s="121"/>
      <c r="Q880" s="66"/>
      <c r="R880" s="121"/>
      <c r="S880" s="133">
        <f>M860</f>
        <v>0</v>
      </c>
      <c r="T880" s="120"/>
      <c r="U880" s="121" t="s">
        <v>362</v>
      </c>
      <c r="V880" s="133">
        <f t="shared" si="392"/>
        <v>0</v>
      </c>
      <c r="W880" s="133">
        <f>VLOOKUP(U880,Sheet1!$B$6:$C$45,2,FALSE)*V880</f>
        <v>0</v>
      </c>
      <c r="X880" s="141"/>
      <c r="Y880" s="121" t="s">
        <v>292</v>
      </c>
      <c r="Z880" s="146">
        <f>VLOOKUP(Takeoffs!Y880,Sheet1!$B$6:$C$124,2,FALSE)</f>
        <v>0</v>
      </c>
      <c r="AA880" s="146">
        <f t="shared" si="393"/>
        <v>0</v>
      </c>
      <c r="AB880" s="143">
        <f t="shared" si="394"/>
        <v>0</v>
      </c>
      <c r="AC880" s="133">
        <f t="shared" si="395"/>
        <v>0</v>
      </c>
      <c r="AD880" s="142">
        <v>1</v>
      </c>
      <c r="AE880" s="141"/>
      <c r="AF880" s="121" t="s">
        <v>292</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377</v>
      </c>
      <c r="L881" s="128" t="s">
        <v>378</v>
      </c>
      <c r="N881" s="129"/>
      <c r="O881" s="130" t="s">
        <v>357</v>
      </c>
      <c r="P881" s="131">
        <f>V881+AA881+AH881</f>
        <v>0</v>
      </c>
      <c r="Q881" s="131"/>
      <c r="R881" s="131"/>
      <c r="S881" s="130"/>
      <c r="T881" s="127"/>
      <c r="U881" s="126" t="s">
        <v>351</v>
      </c>
      <c r="V881" s="127">
        <f>W881*80</f>
        <v>0</v>
      </c>
      <c r="W881" s="147">
        <f>SUM(W860:W880)</f>
        <v>0</v>
      </c>
      <c r="X881" s="148"/>
      <c r="Y881" s="127" t="s">
        <v>352</v>
      </c>
      <c r="Z881" s="116"/>
      <c r="AA881" s="116">
        <f>SUM(AA860:AA880)</f>
        <v>0</v>
      </c>
      <c r="AB881" s="149"/>
      <c r="AC881" s="149"/>
      <c r="AD881" s="149"/>
      <c r="AE881" s="149"/>
      <c r="AF881" s="127" t="s">
        <v>356</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hidden="1" x14ac:dyDescent="0.8">
      <c r="A882" s="262">
        <f>ROW()</f>
        <v>882</v>
      </c>
      <c r="B882" s="234" t="s">
        <v>491</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367</v>
      </c>
      <c r="N882" s="160" t="str">
        <f>N860</f>
        <v>Medium sized VSD fan with fire shutdown - from MSSB power supply and BMS interface provisions</v>
      </c>
      <c r="O882" s="160" t="s">
        <v>365</v>
      </c>
      <c r="P882" s="183" t="e">
        <f>P881/M860</f>
        <v>#DIV/0!</v>
      </c>
      <c r="Q882" s="191"/>
      <c r="R882" s="161"/>
      <c r="S882" s="160"/>
      <c r="T882" s="161"/>
      <c r="U882" s="571" t="s">
        <v>366</v>
      </c>
      <c r="V882" s="571"/>
      <c r="W882" s="162" t="e">
        <f>W881/M860</f>
        <v>#DIV/0!</v>
      </c>
      <c r="X882" s="163"/>
      <c r="Y882" s="570" t="s">
        <v>365</v>
      </c>
      <c r="Z882" s="570"/>
      <c r="AA882" s="164" t="e">
        <f>AA881/M860</f>
        <v>#DIV/0!</v>
      </c>
      <c r="AB882" s="161"/>
      <c r="AC882" s="161"/>
      <c r="AD882" s="161"/>
      <c r="AE882" s="161"/>
      <c r="AF882" s="570" t="s">
        <v>365</v>
      </c>
      <c r="AG882" s="570"/>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452</v>
      </c>
      <c r="M883" s="116" t="s">
        <v>107</v>
      </c>
      <c r="N883" s="116" t="s">
        <v>108</v>
      </c>
      <c r="O883" s="170" t="s">
        <v>386</v>
      </c>
      <c r="P883" s="573" t="s">
        <v>375</v>
      </c>
      <c r="Q883" s="573"/>
      <c r="R883" s="101" t="s">
        <v>452</v>
      </c>
      <c r="S883" s="116" t="s">
        <v>0</v>
      </c>
      <c r="T883" s="118"/>
      <c r="U883" s="116" t="s">
        <v>287</v>
      </c>
      <c r="V883" s="116" t="s">
        <v>288</v>
      </c>
      <c r="W883" s="116" t="s">
        <v>291</v>
      </c>
      <c r="X883" s="140"/>
      <c r="Y883" s="116" t="s">
        <v>289</v>
      </c>
      <c r="Z883" s="116" t="s">
        <v>354</v>
      </c>
      <c r="AA883" s="116" t="s">
        <v>355</v>
      </c>
      <c r="AB883" s="116" t="s">
        <v>317</v>
      </c>
      <c r="AC883" s="116" t="s">
        <v>318</v>
      </c>
      <c r="AD883" s="116" t="s">
        <v>316</v>
      </c>
      <c r="AE883" s="140"/>
      <c r="AF883" s="116" t="s">
        <v>293</v>
      </c>
      <c r="AG883" s="116" t="s">
        <v>354</v>
      </c>
      <c r="AH883" s="116" t="s">
        <v>355</v>
      </c>
      <c r="AI883" s="116" t="s">
        <v>296</v>
      </c>
      <c r="AJ883" s="116" t="s">
        <v>294</v>
      </c>
      <c r="AK883" s="116" t="s">
        <v>295</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572</v>
      </c>
      <c r="O884" s="121" t="s">
        <v>488</v>
      </c>
      <c r="P884" s="169" t="s">
        <v>379</v>
      </c>
      <c r="Q884" s="169" t="s">
        <v>375</v>
      </c>
      <c r="R884" s="169"/>
      <c r="S884" s="133">
        <f>M884</f>
        <v>0</v>
      </c>
      <c r="T884" s="119"/>
      <c r="U884" s="121" t="s">
        <v>292</v>
      </c>
      <c r="V884" s="133">
        <f>S884</f>
        <v>0</v>
      </c>
      <c r="W884" s="133">
        <f>VLOOKUP(U884,Sheet1!$B$6:$C$45,2,FALSE)*V884</f>
        <v>0</v>
      </c>
      <c r="X884" s="141"/>
      <c r="Y884" s="121" t="s">
        <v>292</v>
      </c>
      <c r="Z884" s="146">
        <f>VLOOKUP(Takeoffs!Y884,Sheet1!$B$6:$C$124,2,FALSE)</f>
        <v>0</v>
      </c>
      <c r="AA884" s="146">
        <f>Z884*AB884</f>
        <v>0</v>
      </c>
      <c r="AB884" s="143">
        <f>AD884*AC884</f>
        <v>0</v>
      </c>
      <c r="AC884" s="133">
        <f>S884</f>
        <v>0</v>
      </c>
      <c r="AD884" s="142">
        <v>1</v>
      </c>
      <c r="AE884" s="141"/>
      <c r="AF884" s="121" t="s">
        <v>292</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340</v>
      </c>
      <c r="P885" s="121"/>
      <c r="Q885" s="66"/>
      <c r="R885" s="121"/>
      <c r="S885" s="133">
        <f>M884</f>
        <v>0</v>
      </c>
      <c r="T885" s="120"/>
      <c r="U885" s="121" t="s">
        <v>292</v>
      </c>
      <c r="V885" s="133">
        <f t="shared" ref="V885:V904" si="401">S885</f>
        <v>0</v>
      </c>
      <c r="W885" s="133">
        <f>VLOOKUP(U885,Sheet1!$B$6:$C$45,2,FALSE)*V885</f>
        <v>0</v>
      </c>
      <c r="X885" s="141"/>
      <c r="Y885" s="121" t="s">
        <v>292</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292</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308</v>
      </c>
      <c r="P886" s="121"/>
      <c r="Q886" s="66"/>
      <c r="R886" s="121"/>
      <c r="S886" s="133">
        <f>M884</f>
        <v>0</v>
      </c>
      <c r="T886" s="120"/>
      <c r="U886" s="121" t="s">
        <v>292</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305</v>
      </c>
      <c r="P887" s="121"/>
      <c r="Q887" s="66"/>
      <c r="R887" s="121"/>
      <c r="S887" s="133">
        <f>M884</f>
        <v>0</v>
      </c>
      <c r="T887" s="120"/>
      <c r="U887" s="117" t="s">
        <v>478</v>
      </c>
      <c r="V887" s="133">
        <f t="shared" si="401"/>
        <v>0</v>
      </c>
      <c r="W887" s="133">
        <f>VLOOKUP(U887,Sheet1!$B$6:$C$45,2,FALSE)*V887</f>
        <v>0</v>
      </c>
      <c r="X887" s="141"/>
      <c r="Y887" s="121" t="s">
        <v>292</v>
      </c>
      <c r="Z887" s="146">
        <f>VLOOKUP(Takeoffs!Y887,Sheet1!$B$6:$C$124,2,FALSE)</f>
        <v>0</v>
      </c>
      <c r="AA887" s="146">
        <f t="shared" si="402"/>
        <v>0</v>
      </c>
      <c r="AB887" s="143">
        <f t="shared" si="403"/>
        <v>0</v>
      </c>
      <c r="AC887" s="133">
        <f t="shared" si="404"/>
        <v>0</v>
      </c>
      <c r="AD887" s="142">
        <v>1</v>
      </c>
      <c r="AE887" s="141"/>
      <c r="AF887" s="121" t="s">
        <v>292</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323</v>
      </c>
      <c r="P888" s="121"/>
      <c r="Q888" s="66"/>
      <c r="R888" s="121"/>
      <c r="S888" s="133">
        <f>M884</f>
        <v>0</v>
      </c>
      <c r="T888" s="120"/>
      <c r="U888" s="121" t="s">
        <v>235</v>
      </c>
      <c r="V888" s="133">
        <f t="shared" si="401"/>
        <v>0</v>
      </c>
      <c r="W888" s="133">
        <f>VLOOKUP(U888,Sheet1!$B$6:$C$45,2,FALSE)*V888</f>
        <v>0</v>
      </c>
      <c r="X888" s="141"/>
      <c r="Y888" s="135" t="s">
        <v>490</v>
      </c>
      <c r="Z888" s="146">
        <f>VLOOKUP(Takeoffs!Y888,Sheet1!$B$6:$C$124,2,FALSE)</f>
        <v>1226.28</v>
      </c>
      <c r="AA888" s="146">
        <f t="shared" si="402"/>
        <v>0</v>
      </c>
      <c r="AB888" s="143">
        <f t="shared" si="403"/>
        <v>0</v>
      </c>
      <c r="AC888" s="133">
        <f t="shared" si="404"/>
        <v>0</v>
      </c>
      <c r="AD888" s="142">
        <v>1</v>
      </c>
      <c r="AE888" s="141"/>
      <c r="AF888" s="121" t="s">
        <v>292</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390</v>
      </c>
      <c r="P889" s="121"/>
      <c r="Q889" s="66"/>
      <c r="R889" s="121"/>
      <c r="S889" s="133">
        <f>M884</f>
        <v>0</v>
      </c>
      <c r="T889" s="120"/>
      <c r="U889" s="121" t="s">
        <v>292</v>
      </c>
      <c r="V889" s="133">
        <f t="shared" si="401"/>
        <v>0</v>
      </c>
      <c r="W889" s="133">
        <f>VLOOKUP(U889,Sheet1!$B$6:$C$45,2,FALSE)*V889</f>
        <v>0</v>
      </c>
      <c r="X889" s="141"/>
      <c r="Y889" s="121" t="s">
        <v>292</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309</v>
      </c>
      <c r="P890" s="121"/>
      <c r="Q890" s="66"/>
      <c r="R890" s="121"/>
      <c r="S890" s="133">
        <f>M884</f>
        <v>0</v>
      </c>
      <c r="T890" s="120"/>
      <c r="U890" s="121" t="s">
        <v>292</v>
      </c>
      <c r="V890" s="133">
        <f t="shared" si="401"/>
        <v>0</v>
      </c>
      <c r="W890" s="133">
        <f>VLOOKUP(U890,Sheet1!$B$6:$C$45,2,FALSE)*V890</f>
        <v>0</v>
      </c>
      <c r="X890" s="141"/>
      <c r="Y890" s="121" t="s">
        <v>292</v>
      </c>
      <c r="Z890" s="146">
        <f>VLOOKUP(Takeoffs!Y890,Sheet1!$B$6:$C$124,2,FALSE)</f>
        <v>0</v>
      </c>
      <c r="AA890" s="146">
        <f t="shared" si="402"/>
        <v>0</v>
      </c>
      <c r="AB890" s="143">
        <f t="shared" si="403"/>
        <v>0</v>
      </c>
      <c r="AC890" s="133">
        <f t="shared" si="404"/>
        <v>0</v>
      </c>
      <c r="AD890" s="142">
        <v>1</v>
      </c>
      <c r="AE890" s="141"/>
      <c r="AF890" s="121" t="s">
        <v>292</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292</v>
      </c>
      <c r="V891" s="133">
        <f t="shared" si="401"/>
        <v>0</v>
      </c>
      <c r="W891" s="133">
        <f>VLOOKUP(U891,Sheet1!$B$6:$C$45,2,FALSE)*V891</f>
        <v>0</v>
      </c>
      <c r="X891" s="141"/>
      <c r="Y891" s="121" t="s">
        <v>292</v>
      </c>
      <c r="Z891" s="146">
        <f>VLOOKUP(Takeoffs!Y891,Sheet1!$B$6:$C$124,2,FALSE)</f>
        <v>0</v>
      </c>
      <c r="AA891" s="146">
        <f t="shared" si="402"/>
        <v>0</v>
      </c>
      <c r="AB891" s="143">
        <f t="shared" si="403"/>
        <v>0</v>
      </c>
      <c r="AC891" s="133">
        <f t="shared" si="404"/>
        <v>0</v>
      </c>
      <c r="AD891" s="142">
        <v>1</v>
      </c>
      <c r="AE891" s="141"/>
      <c r="AF891" s="121" t="s">
        <v>292</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328</v>
      </c>
      <c r="P892" s="121"/>
      <c r="Q892" s="66"/>
      <c r="R892" s="121"/>
      <c r="S892" s="133">
        <f>M884</f>
        <v>0</v>
      </c>
      <c r="T892" s="120"/>
      <c r="U892" s="121" t="s">
        <v>364</v>
      </c>
      <c r="V892" s="133">
        <f t="shared" si="401"/>
        <v>0</v>
      </c>
      <c r="W892" s="133">
        <f>VLOOKUP(U892,Sheet1!$B$6:$C$45,2,FALSE)*V892</f>
        <v>0</v>
      </c>
      <c r="X892" s="141"/>
      <c r="Y892" s="121" t="s">
        <v>292</v>
      </c>
      <c r="Z892" s="146">
        <f>VLOOKUP(Takeoffs!Y892,Sheet1!$B$6:$C$124,2,FALSE)</f>
        <v>0</v>
      </c>
      <c r="AA892" s="146">
        <f t="shared" si="402"/>
        <v>0</v>
      </c>
      <c r="AB892" s="143">
        <f t="shared" si="403"/>
        <v>0</v>
      </c>
      <c r="AC892" s="133">
        <f t="shared" si="404"/>
        <v>0</v>
      </c>
      <c r="AD892" s="142">
        <v>1</v>
      </c>
      <c r="AE892" s="141"/>
      <c r="AF892" s="121" t="s">
        <v>292</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292</v>
      </c>
      <c r="V893" s="133">
        <f t="shared" si="401"/>
        <v>0</v>
      </c>
      <c r="W893" s="133">
        <f>VLOOKUP(U893,Sheet1!$B$6:$C$45,2,FALSE)*V893</f>
        <v>0</v>
      </c>
      <c r="X893" s="141"/>
      <c r="Y893" s="121" t="s">
        <v>292</v>
      </c>
      <c r="Z893" s="146">
        <f>VLOOKUP(Takeoffs!Y893,Sheet1!$B$6:$C$124,2,FALSE)</f>
        <v>0</v>
      </c>
      <c r="AA893" s="146">
        <f t="shared" si="402"/>
        <v>0</v>
      </c>
      <c r="AB893" s="143">
        <f t="shared" si="403"/>
        <v>0</v>
      </c>
      <c r="AC893" s="133">
        <f t="shared" si="404"/>
        <v>0</v>
      </c>
      <c r="AD893" s="142">
        <v>1</v>
      </c>
      <c r="AE893" s="141"/>
      <c r="AF893" s="121" t="s">
        <v>292</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292</v>
      </c>
      <c r="V894" s="133">
        <f t="shared" si="401"/>
        <v>0</v>
      </c>
      <c r="W894" s="133">
        <f>VLOOKUP(U894,Sheet1!$B$6:$C$45,2,FALSE)*V894</f>
        <v>0</v>
      </c>
      <c r="X894" s="141"/>
      <c r="Y894" s="121" t="s">
        <v>292</v>
      </c>
      <c r="Z894" s="146">
        <f>VLOOKUP(Takeoffs!Y894,Sheet1!$B$6:$C$124,2,FALSE)</f>
        <v>0</v>
      </c>
      <c r="AA894" s="146">
        <f t="shared" si="402"/>
        <v>0</v>
      </c>
      <c r="AB894" s="143">
        <f t="shared" si="403"/>
        <v>0</v>
      </c>
      <c r="AC894" s="133">
        <f t="shared" si="404"/>
        <v>0</v>
      </c>
      <c r="AD894" s="142">
        <v>1</v>
      </c>
      <c r="AE894" s="141"/>
      <c r="AF894" s="121" t="s">
        <v>292</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292</v>
      </c>
      <c r="V895" s="133">
        <f t="shared" si="401"/>
        <v>0</v>
      </c>
      <c r="W895" s="133">
        <f>VLOOKUP(U895,Sheet1!$B$6:$C$45,2,FALSE)*V895</f>
        <v>0</v>
      </c>
      <c r="X895" s="141"/>
      <c r="Y895" s="121" t="s">
        <v>292</v>
      </c>
      <c r="Z895" s="146">
        <f>VLOOKUP(Takeoffs!Y895,Sheet1!$B$6:$C$124,2,FALSE)</f>
        <v>0</v>
      </c>
      <c r="AA895" s="146">
        <f t="shared" si="402"/>
        <v>0</v>
      </c>
      <c r="AB895" s="143">
        <f t="shared" si="403"/>
        <v>0</v>
      </c>
      <c r="AC895" s="133">
        <f t="shared" si="404"/>
        <v>0</v>
      </c>
      <c r="AD895" s="142">
        <v>1</v>
      </c>
      <c r="AE895" s="141"/>
      <c r="AF895" s="121" t="s">
        <v>292</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292</v>
      </c>
      <c r="V896" s="133">
        <f t="shared" si="401"/>
        <v>0</v>
      </c>
      <c r="W896" s="133">
        <f>VLOOKUP(U896,Sheet1!$B$6:$C$45,2,FALSE)*V896</f>
        <v>0</v>
      </c>
      <c r="X896" s="141"/>
      <c r="Y896" s="121" t="s">
        <v>292</v>
      </c>
      <c r="Z896" s="146">
        <f>VLOOKUP(Takeoffs!Y896,Sheet1!$B$6:$C$124,2,FALSE)</f>
        <v>0</v>
      </c>
      <c r="AA896" s="146">
        <f t="shared" si="402"/>
        <v>0</v>
      </c>
      <c r="AB896" s="143">
        <f t="shared" si="403"/>
        <v>0</v>
      </c>
      <c r="AC896" s="133">
        <f t="shared" si="404"/>
        <v>0</v>
      </c>
      <c r="AD896" s="142">
        <v>1</v>
      </c>
      <c r="AE896" s="141"/>
      <c r="AF896" s="152" t="s">
        <v>418</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312</v>
      </c>
      <c r="P897" s="121"/>
      <c r="Q897" s="66"/>
      <c r="R897" s="121"/>
      <c r="S897" s="133">
        <f>M884</f>
        <v>0</v>
      </c>
      <c r="T897" s="120"/>
      <c r="U897" s="121" t="s">
        <v>232</v>
      </c>
      <c r="V897" s="133">
        <f t="shared" si="401"/>
        <v>0</v>
      </c>
      <c r="W897" s="133">
        <f>VLOOKUP(U897,Sheet1!$B$6:$C$45,2,FALSE)*V897</f>
        <v>0</v>
      </c>
      <c r="X897" s="141"/>
      <c r="Y897" s="122" t="s">
        <v>1344</v>
      </c>
      <c r="Z897" s="146">
        <f>VLOOKUP(Takeoffs!Y897,Sheet1!$B$6:$C$124,2,FALSE)</f>
        <v>109.25999999999999</v>
      </c>
      <c r="AA897" s="146">
        <f t="shared" si="402"/>
        <v>0</v>
      </c>
      <c r="AB897" s="143">
        <f t="shared" si="403"/>
        <v>0</v>
      </c>
      <c r="AC897" s="133">
        <f t="shared" si="404"/>
        <v>0</v>
      </c>
      <c r="AD897" s="142">
        <v>1</v>
      </c>
      <c r="AE897" s="141"/>
      <c r="AF897" s="121" t="s">
        <v>292</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345</v>
      </c>
      <c r="P898" s="121" t="s">
        <v>380</v>
      </c>
      <c r="Q898" s="66" t="s">
        <v>384</v>
      </c>
      <c r="R898" s="121"/>
      <c r="S898" s="133">
        <f>M884</f>
        <v>0</v>
      </c>
      <c r="T898" s="120"/>
      <c r="U898" s="121" t="s">
        <v>292</v>
      </c>
      <c r="V898" s="133">
        <f t="shared" si="401"/>
        <v>0</v>
      </c>
      <c r="W898" s="133">
        <f>VLOOKUP(U898,Sheet1!$B$6:$C$45,2,FALSE)*V898</f>
        <v>0</v>
      </c>
      <c r="X898" s="141"/>
      <c r="Y898" s="122" t="s">
        <v>326</v>
      </c>
      <c r="Z898" s="146">
        <f>VLOOKUP(Takeoffs!Y898,Sheet1!$B$6:$C$124,2,FALSE)</f>
        <v>29.04</v>
      </c>
      <c r="AA898" s="146">
        <f t="shared" si="402"/>
        <v>0</v>
      </c>
      <c r="AB898" s="143">
        <f t="shared" si="403"/>
        <v>0</v>
      </c>
      <c r="AC898" s="133">
        <f t="shared" si="404"/>
        <v>0</v>
      </c>
      <c r="AD898" s="142">
        <v>1</v>
      </c>
      <c r="AE898" s="141"/>
      <c r="AF898" s="121" t="s">
        <v>292</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337</v>
      </c>
      <c r="P899" s="121"/>
      <c r="Q899" s="66"/>
      <c r="R899" s="121" t="s">
        <v>331</v>
      </c>
      <c r="S899" s="133">
        <f>M884</f>
        <v>0</v>
      </c>
      <c r="T899" s="120"/>
      <c r="U899" s="121" t="s">
        <v>292</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292</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499</v>
      </c>
      <c r="P900" s="121"/>
      <c r="Q900" s="66"/>
      <c r="R900" s="121"/>
      <c r="S900" s="133">
        <f>M884</f>
        <v>0</v>
      </c>
      <c r="T900" s="120"/>
      <c r="U900" s="121" t="s">
        <v>292</v>
      </c>
      <c r="V900" s="133">
        <f t="shared" si="401"/>
        <v>0</v>
      </c>
      <c r="W900" s="133">
        <f>VLOOKUP(U900,Sheet1!$B$6:$C$45,2,FALSE)*V900</f>
        <v>0</v>
      </c>
      <c r="X900" s="141"/>
      <c r="Y900" s="135" t="s">
        <v>422</v>
      </c>
      <c r="Z900" s="146">
        <f>VLOOKUP(Takeoffs!Y900,Sheet1!$B$6:$C$124,2,FALSE)</f>
        <v>23.4</v>
      </c>
      <c r="AA900" s="146">
        <f t="shared" si="402"/>
        <v>0</v>
      </c>
      <c r="AB900" s="143">
        <f t="shared" si="403"/>
        <v>0</v>
      </c>
      <c r="AC900" s="133">
        <f t="shared" si="404"/>
        <v>0</v>
      </c>
      <c r="AD900" s="142">
        <v>1</v>
      </c>
      <c r="AE900" s="141"/>
      <c r="AF900" s="121" t="s">
        <v>292</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329</v>
      </c>
      <c r="P901" s="121"/>
      <c r="Q901" s="66"/>
      <c r="R901" s="121" t="s">
        <v>304</v>
      </c>
      <c r="S901" s="133">
        <f>M884</f>
        <v>0</v>
      </c>
      <c r="T901" s="120"/>
      <c r="U901" s="121" t="s">
        <v>292</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292</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500</v>
      </c>
      <c r="P902" s="121"/>
      <c r="Q902" s="66"/>
      <c r="R902" s="121"/>
      <c r="S902" s="133">
        <f>M884</f>
        <v>0</v>
      </c>
      <c r="T902" s="120"/>
      <c r="U902" s="121" t="s">
        <v>292</v>
      </c>
      <c r="V902" s="133">
        <f t="shared" si="401"/>
        <v>0</v>
      </c>
      <c r="W902" s="133">
        <f>VLOOKUP(U902,Sheet1!$B$6:$C$45,2,FALSE)*V902</f>
        <v>0</v>
      </c>
      <c r="X902" s="141"/>
      <c r="Y902" s="121" t="s">
        <v>292</v>
      </c>
      <c r="Z902" s="146">
        <f>VLOOKUP(Takeoffs!Y902,Sheet1!$B$6:$C$124,2,FALSE)</f>
        <v>0</v>
      </c>
      <c r="AA902" s="146">
        <f t="shared" si="402"/>
        <v>0</v>
      </c>
      <c r="AB902" s="143">
        <f t="shared" si="403"/>
        <v>0</v>
      </c>
      <c r="AC902" s="133">
        <f t="shared" si="404"/>
        <v>0</v>
      </c>
      <c r="AD902" s="142">
        <v>1</v>
      </c>
      <c r="AE902" s="141"/>
      <c r="AF902" s="121" t="s">
        <v>292</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407</v>
      </c>
      <c r="P903" s="121"/>
      <c r="Q903" s="66"/>
      <c r="R903" s="121"/>
      <c r="S903" s="133">
        <f>M884</f>
        <v>0</v>
      </c>
      <c r="T903" s="120"/>
      <c r="U903" s="121" t="s">
        <v>292</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292</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408</v>
      </c>
      <c r="P904" s="121"/>
      <c r="Q904" s="66"/>
      <c r="R904" s="121"/>
      <c r="S904" s="133">
        <f>M884</f>
        <v>0</v>
      </c>
      <c r="T904" s="120"/>
      <c r="U904" s="121" t="s">
        <v>362</v>
      </c>
      <c r="V904" s="133">
        <f t="shared" si="401"/>
        <v>0</v>
      </c>
      <c r="W904" s="133">
        <f>VLOOKUP(U904,Sheet1!$B$6:$C$45,2,FALSE)*V904</f>
        <v>0</v>
      </c>
      <c r="X904" s="141"/>
      <c r="Y904" s="121" t="s">
        <v>292</v>
      </c>
      <c r="Z904" s="146">
        <f>VLOOKUP(Takeoffs!Y904,Sheet1!$B$6:$C$124,2,FALSE)</f>
        <v>0</v>
      </c>
      <c r="AA904" s="146">
        <f t="shared" si="402"/>
        <v>0</v>
      </c>
      <c r="AB904" s="143">
        <f t="shared" si="403"/>
        <v>0</v>
      </c>
      <c r="AC904" s="133">
        <f t="shared" si="404"/>
        <v>0</v>
      </c>
      <c r="AD904" s="142">
        <v>1</v>
      </c>
      <c r="AE904" s="141"/>
      <c r="AF904" s="121" t="s">
        <v>292</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377</v>
      </c>
      <c r="L905" s="128" t="s">
        <v>378</v>
      </c>
      <c r="N905" s="129"/>
      <c r="O905" s="130" t="s">
        <v>357</v>
      </c>
      <c r="P905" s="131">
        <f>V905+AA905+AH905</f>
        <v>0</v>
      </c>
      <c r="Q905" s="131"/>
      <c r="R905" s="131"/>
      <c r="S905" s="130"/>
      <c r="T905" s="127"/>
      <c r="U905" s="126" t="s">
        <v>351</v>
      </c>
      <c r="V905" s="127">
        <f>W905*80</f>
        <v>0</v>
      </c>
      <c r="W905" s="147">
        <f>SUM(W884:W904)</f>
        <v>0</v>
      </c>
      <c r="X905" s="148"/>
      <c r="Y905" s="127" t="s">
        <v>352</v>
      </c>
      <c r="Z905" s="116"/>
      <c r="AA905" s="116">
        <f>SUM(AA884:AA904)</f>
        <v>0</v>
      </c>
      <c r="AB905" s="149"/>
      <c r="AC905" s="149"/>
      <c r="AD905" s="149"/>
      <c r="AE905" s="149"/>
      <c r="AF905" s="127" t="s">
        <v>356</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hidden="1" x14ac:dyDescent="0.8">
      <c r="A906" s="262">
        <f>ROW()</f>
        <v>906</v>
      </c>
      <c r="B906" s="234" t="s">
        <v>491</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367</v>
      </c>
      <c r="N906" s="160" t="str">
        <f>N884</f>
        <v>large sized VSD fan with fire shutdown - from MSSB power supply and BMS interface provisions</v>
      </c>
      <c r="O906" s="160" t="s">
        <v>365</v>
      </c>
      <c r="P906" s="183" t="e">
        <f>P905/M884</f>
        <v>#DIV/0!</v>
      </c>
      <c r="Q906" s="191"/>
      <c r="R906" s="161"/>
      <c r="S906" s="160"/>
      <c r="T906" s="161"/>
      <c r="U906" s="571" t="s">
        <v>366</v>
      </c>
      <c r="V906" s="571"/>
      <c r="W906" s="162" t="e">
        <f>W905/M884</f>
        <v>#DIV/0!</v>
      </c>
      <c r="X906" s="163"/>
      <c r="Y906" s="570" t="s">
        <v>365</v>
      </c>
      <c r="Z906" s="570"/>
      <c r="AA906" s="164" t="e">
        <f>AA905/M884</f>
        <v>#DIV/0!</v>
      </c>
      <c r="AB906" s="161"/>
      <c r="AC906" s="161"/>
      <c r="AD906" s="161"/>
      <c r="AE906" s="161"/>
      <c r="AF906" s="570" t="s">
        <v>365</v>
      </c>
      <c r="AG906" s="570"/>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452</v>
      </c>
      <c r="M907" s="116" t="s">
        <v>107</v>
      </c>
      <c r="N907" s="116" t="s">
        <v>108</v>
      </c>
      <c r="O907" s="170" t="s">
        <v>386</v>
      </c>
      <c r="P907" s="573" t="s">
        <v>375</v>
      </c>
      <c r="Q907" s="573"/>
      <c r="R907" s="101" t="s">
        <v>452</v>
      </c>
      <c r="S907" s="116" t="s">
        <v>0</v>
      </c>
      <c r="T907" s="118"/>
      <c r="U907" s="116" t="s">
        <v>287</v>
      </c>
      <c r="V907" s="116" t="s">
        <v>288</v>
      </c>
      <c r="W907" s="116" t="s">
        <v>291</v>
      </c>
      <c r="X907" s="140"/>
      <c r="Y907" s="116" t="s">
        <v>289</v>
      </c>
      <c r="Z907" s="116" t="s">
        <v>354</v>
      </c>
      <c r="AA907" s="116" t="s">
        <v>355</v>
      </c>
      <c r="AB907" s="116" t="s">
        <v>317</v>
      </c>
      <c r="AC907" s="116" t="s">
        <v>318</v>
      </c>
      <c r="AD907" s="116" t="s">
        <v>316</v>
      </c>
      <c r="AE907" s="140"/>
      <c r="AF907" s="116" t="s">
        <v>293</v>
      </c>
      <c r="AG907" s="116" t="s">
        <v>354</v>
      </c>
      <c r="AH907" s="116" t="s">
        <v>355</v>
      </c>
      <c r="AI907" s="116" t="s">
        <v>296</v>
      </c>
      <c r="AJ907" s="116" t="s">
        <v>294</v>
      </c>
      <c r="AK907" s="116" t="s">
        <v>295</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571</v>
      </c>
      <c r="O908" s="121" t="s">
        <v>488</v>
      </c>
      <c r="P908" s="169" t="s">
        <v>379</v>
      </c>
      <c r="Q908" s="169" t="s">
        <v>375</v>
      </c>
      <c r="R908" s="169"/>
      <c r="S908" s="133">
        <f>M908</f>
        <v>0</v>
      </c>
      <c r="T908" s="119"/>
      <c r="U908" s="121" t="s">
        <v>292</v>
      </c>
      <c r="V908" s="133">
        <f>S908</f>
        <v>0</v>
      </c>
      <c r="W908" s="133">
        <f>VLOOKUP(U908,Sheet1!$B$6:$C$45,2,FALSE)*V908</f>
        <v>0</v>
      </c>
      <c r="X908" s="141"/>
      <c r="Y908" s="121" t="s">
        <v>292</v>
      </c>
      <c r="Z908" s="146">
        <f>VLOOKUP(Takeoffs!Y908,Sheet1!$B$6:$C$124,2,FALSE)</f>
        <v>0</v>
      </c>
      <c r="AA908" s="146">
        <f>Z908*AB908</f>
        <v>0</v>
      </c>
      <c r="AB908" s="143">
        <f>AD908*AC908</f>
        <v>0</v>
      </c>
      <c r="AC908" s="133">
        <f>S908</f>
        <v>0</v>
      </c>
      <c r="AD908" s="142">
        <v>1</v>
      </c>
      <c r="AE908" s="141"/>
      <c r="AF908" s="121" t="s">
        <v>292</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340</v>
      </c>
      <c r="P909" s="121"/>
      <c r="Q909" s="66"/>
      <c r="R909" s="121"/>
      <c r="S909" s="133">
        <f>M908</f>
        <v>0</v>
      </c>
      <c r="T909" s="120"/>
      <c r="U909" s="121" t="s">
        <v>292</v>
      </c>
      <c r="V909" s="133">
        <f t="shared" ref="V909:V928" si="410">S909</f>
        <v>0</v>
      </c>
      <c r="W909" s="133">
        <f>VLOOKUP(U909,Sheet1!$B$6:$C$45,2,FALSE)*V909</f>
        <v>0</v>
      </c>
      <c r="X909" s="141"/>
      <c r="Y909" s="121" t="s">
        <v>292</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292</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308</v>
      </c>
      <c r="P910" s="121"/>
      <c r="Q910" s="66"/>
      <c r="R910" s="121"/>
      <c r="S910" s="133">
        <f>M908</f>
        <v>0</v>
      </c>
      <c r="T910" s="120"/>
      <c r="U910" s="121" t="s">
        <v>292</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305</v>
      </c>
      <c r="P911" s="121"/>
      <c r="Q911" s="66"/>
      <c r="R911" s="121"/>
      <c r="S911" s="133">
        <f>M908</f>
        <v>0</v>
      </c>
      <c r="T911" s="120"/>
      <c r="U911" s="117" t="s">
        <v>478</v>
      </c>
      <c r="V911" s="133">
        <f t="shared" si="410"/>
        <v>0</v>
      </c>
      <c r="W911" s="133">
        <f>VLOOKUP(U911,Sheet1!$B$6:$C$45,2,FALSE)*V911</f>
        <v>0</v>
      </c>
      <c r="X911" s="141"/>
      <c r="Y911" s="121" t="s">
        <v>292</v>
      </c>
      <c r="Z911" s="146">
        <f>VLOOKUP(Takeoffs!Y911,Sheet1!$B$6:$C$124,2,FALSE)</f>
        <v>0</v>
      </c>
      <c r="AA911" s="146">
        <f t="shared" si="411"/>
        <v>0</v>
      </c>
      <c r="AB911" s="143">
        <f t="shared" si="412"/>
        <v>0</v>
      </c>
      <c r="AC911" s="133">
        <f t="shared" si="413"/>
        <v>0</v>
      </c>
      <c r="AD911" s="142">
        <v>1</v>
      </c>
      <c r="AE911" s="141"/>
      <c r="AF911" s="121" t="s">
        <v>292</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323</v>
      </c>
      <c r="P912" s="121"/>
      <c r="Q912" s="66"/>
      <c r="R912" s="121"/>
      <c r="S912" s="133">
        <f>M908</f>
        <v>0</v>
      </c>
      <c r="T912" s="120"/>
      <c r="U912" s="121" t="s">
        <v>235</v>
      </c>
      <c r="V912" s="133">
        <f t="shared" si="410"/>
        <v>0</v>
      </c>
      <c r="W912" s="133">
        <f>VLOOKUP(U912,Sheet1!$B$6:$C$45,2,FALSE)*V912</f>
        <v>0</v>
      </c>
      <c r="X912" s="141"/>
      <c r="Y912" s="135" t="s">
        <v>490</v>
      </c>
      <c r="Z912" s="146">
        <f>VLOOKUP(Takeoffs!Y912,Sheet1!$B$6:$C$124,2,FALSE)</f>
        <v>1226.28</v>
      </c>
      <c r="AA912" s="146">
        <f t="shared" si="411"/>
        <v>0</v>
      </c>
      <c r="AB912" s="143">
        <f t="shared" si="412"/>
        <v>0</v>
      </c>
      <c r="AC912" s="133">
        <f t="shared" si="413"/>
        <v>0</v>
      </c>
      <c r="AD912" s="142">
        <v>1</v>
      </c>
      <c r="AE912" s="141"/>
      <c r="AF912" s="121" t="s">
        <v>292</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390</v>
      </c>
      <c r="P913" s="121"/>
      <c r="Q913" s="66"/>
      <c r="R913" s="121"/>
      <c r="S913" s="133">
        <f>M908</f>
        <v>0</v>
      </c>
      <c r="T913" s="120"/>
      <c r="U913" s="121" t="s">
        <v>292</v>
      </c>
      <c r="V913" s="133">
        <f t="shared" si="410"/>
        <v>0</v>
      </c>
      <c r="W913" s="133">
        <f>VLOOKUP(U913,Sheet1!$B$6:$C$45,2,FALSE)*V913</f>
        <v>0</v>
      </c>
      <c r="X913" s="141"/>
      <c r="Y913" s="121" t="s">
        <v>292</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309</v>
      </c>
      <c r="P914" s="121"/>
      <c r="Q914" s="66"/>
      <c r="R914" s="121"/>
      <c r="S914" s="133">
        <f>M908</f>
        <v>0</v>
      </c>
      <c r="T914" s="120"/>
      <c r="U914" s="121" t="s">
        <v>292</v>
      </c>
      <c r="V914" s="133">
        <f t="shared" si="410"/>
        <v>0</v>
      </c>
      <c r="W914" s="133">
        <f>VLOOKUP(U914,Sheet1!$B$6:$C$45,2,FALSE)*V914</f>
        <v>0</v>
      </c>
      <c r="X914" s="141"/>
      <c r="Y914" s="121" t="s">
        <v>292</v>
      </c>
      <c r="Z914" s="146">
        <f>VLOOKUP(Takeoffs!Y914,Sheet1!$B$6:$C$124,2,FALSE)</f>
        <v>0</v>
      </c>
      <c r="AA914" s="146">
        <f t="shared" si="411"/>
        <v>0</v>
      </c>
      <c r="AB914" s="143">
        <f t="shared" si="412"/>
        <v>0</v>
      </c>
      <c r="AC914" s="133">
        <f t="shared" si="413"/>
        <v>0</v>
      </c>
      <c r="AD914" s="142">
        <v>1</v>
      </c>
      <c r="AE914" s="141"/>
      <c r="AF914" s="121" t="s">
        <v>292</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292</v>
      </c>
      <c r="V915" s="133">
        <f t="shared" si="410"/>
        <v>0</v>
      </c>
      <c r="W915" s="133">
        <f>VLOOKUP(U915,Sheet1!$B$6:$C$45,2,FALSE)*V915</f>
        <v>0</v>
      </c>
      <c r="X915" s="141"/>
      <c r="Y915" s="121" t="s">
        <v>292</v>
      </c>
      <c r="Z915" s="146">
        <f>VLOOKUP(Takeoffs!Y915,Sheet1!$B$6:$C$124,2,FALSE)</f>
        <v>0</v>
      </c>
      <c r="AA915" s="146">
        <f t="shared" si="411"/>
        <v>0</v>
      </c>
      <c r="AB915" s="143">
        <f t="shared" si="412"/>
        <v>0</v>
      </c>
      <c r="AC915" s="133">
        <f t="shared" si="413"/>
        <v>0</v>
      </c>
      <c r="AD915" s="142">
        <v>1</v>
      </c>
      <c r="AE915" s="141"/>
      <c r="AF915" s="121" t="s">
        <v>292</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328</v>
      </c>
      <c r="P916" s="121"/>
      <c r="Q916" s="66"/>
      <c r="R916" s="121"/>
      <c r="S916" s="133">
        <f>M908</f>
        <v>0</v>
      </c>
      <c r="T916" s="120"/>
      <c r="U916" s="121" t="s">
        <v>364</v>
      </c>
      <c r="V916" s="133">
        <f t="shared" si="410"/>
        <v>0</v>
      </c>
      <c r="W916" s="133">
        <f>VLOOKUP(U916,Sheet1!$B$6:$C$45,2,FALSE)*V916</f>
        <v>0</v>
      </c>
      <c r="X916" s="141"/>
      <c r="Y916" s="121" t="s">
        <v>292</v>
      </c>
      <c r="Z916" s="146">
        <f>VLOOKUP(Takeoffs!Y916,Sheet1!$B$6:$C$124,2,FALSE)</f>
        <v>0</v>
      </c>
      <c r="AA916" s="146">
        <f t="shared" si="411"/>
        <v>0</v>
      </c>
      <c r="AB916" s="143">
        <f t="shared" si="412"/>
        <v>0</v>
      </c>
      <c r="AC916" s="133">
        <f t="shared" si="413"/>
        <v>0</v>
      </c>
      <c r="AD916" s="142">
        <v>1</v>
      </c>
      <c r="AE916" s="141"/>
      <c r="AF916" s="121" t="s">
        <v>292</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292</v>
      </c>
      <c r="V917" s="133">
        <f t="shared" si="410"/>
        <v>0</v>
      </c>
      <c r="W917" s="133">
        <f>VLOOKUP(U917,Sheet1!$B$6:$C$45,2,FALSE)*V917</f>
        <v>0</v>
      </c>
      <c r="X917" s="141"/>
      <c r="Y917" s="121" t="s">
        <v>292</v>
      </c>
      <c r="Z917" s="146">
        <f>VLOOKUP(Takeoffs!Y917,Sheet1!$B$6:$C$124,2,FALSE)</f>
        <v>0</v>
      </c>
      <c r="AA917" s="146">
        <f t="shared" si="411"/>
        <v>0</v>
      </c>
      <c r="AB917" s="143">
        <f t="shared" si="412"/>
        <v>0</v>
      </c>
      <c r="AC917" s="133">
        <f t="shared" si="413"/>
        <v>0</v>
      </c>
      <c r="AD917" s="142">
        <v>1</v>
      </c>
      <c r="AE917" s="141"/>
      <c r="AF917" s="121" t="s">
        <v>292</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292</v>
      </c>
      <c r="V918" s="133">
        <f t="shared" si="410"/>
        <v>0</v>
      </c>
      <c r="W918" s="133">
        <f>VLOOKUP(U918,Sheet1!$B$6:$C$45,2,FALSE)*V918</f>
        <v>0</v>
      </c>
      <c r="X918" s="141"/>
      <c r="Y918" s="121" t="s">
        <v>292</v>
      </c>
      <c r="Z918" s="146">
        <f>VLOOKUP(Takeoffs!Y918,Sheet1!$B$6:$C$124,2,FALSE)</f>
        <v>0</v>
      </c>
      <c r="AA918" s="146">
        <f t="shared" si="411"/>
        <v>0</v>
      </c>
      <c r="AB918" s="143">
        <f t="shared" si="412"/>
        <v>0</v>
      </c>
      <c r="AC918" s="133">
        <f t="shared" si="413"/>
        <v>0</v>
      </c>
      <c r="AD918" s="142">
        <v>1</v>
      </c>
      <c r="AE918" s="141"/>
      <c r="AF918" s="121" t="s">
        <v>292</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292</v>
      </c>
      <c r="V919" s="133">
        <f t="shared" si="410"/>
        <v>0</v>
      </c>
      <c r="W919" s="133">
        <f>VLOOKUP(U919,Sheet1!$B$6:$C$45,2,FALSE)*V919</f>
        <v>0</v>
      </c>
      <c r="X919" s="141"/>
      <c r="Y919" s="121" t="s">
        <v>292</v>
      </c>
      <c r="Z919" s="146">
        <f>VLOOKUP(Takeoffs!Y919,Sheet1!$B$6:$C$124,2,FALSE)</f>
        <v>0</v>
      </c>
      <c r="AA919" s="146">
        <f t="shared" si="411"/>
        <v>0</v>
      </c>
      <c r="AB919" s="143">
        <f t="shared" si="412"/>
        <v>0</v>
      </c>
      <c r="AC919" s="133">
        <f t="shared" si="413"/>
        <v>0</v>
      </c>
      <c r="AD919" s="142">
        <v>1</v>
      </c>
      <c r="AE919" s="141"/>
      <c r="AF919" s="121" t="s">
        <v>292</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292</v>
      </c>
      <c r="V920" s="133">
        <f t="shared" si="410"/>
        <v>0</v>
      </c>
      <c r="W920" s="133">
        <f>VLOOKUP(U920,Sheet1!$B$6:$C$45,2,FALSE)*V920</f>
        <v>0</v>
      </c>
      <c r="X920" s="141"/>
      <c r="Y920" s="121" t="s">
        <v>292</v>
      </c>
      <c r="Z920" s="146">
        <f>VLOOKUP(Takeoffs!Y920,Sheet1!$B$6:$C$124,2,FALSE)</f>
        <v>0</v>
      </c>
      <c r="AA920" s="146">
        <f t="shared" si="411"/>
        <v>0</v>
      </c>
      <c r="AB920" s="143">
        <f t="shared" si="412"/>
        <v>0</v>
      </c>
      <c r="AC920" s="133">
        <f t="shared" si="413"/>
        <v>0</v>
      </c>
      <c r="AD920" s="142">
        <v>1</v>
      </c>
      <c r="AE920" s="141"/>
      <c r="AF920" s="152" t="s">
        <v>418</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312</v>
      </c>
      <c r="P921" s="121"/>
      <c r="Q921" s="66"/>
      <c r="R921" s="121"/>
      <c r="S921" s="133">
        <f>M908</f>
        <v>0</v>
      </c>
      <c r="T921" s="120"/>
      <c r="U921" s="121" t="s">
        <v>232</v>
      </c>
      <c r="V921" s="133">
        <f t="shared" si="410"/>
        <v>0</v>
      </c>
      <c r="W921" s="133">
        <f>VLOOKUP(U921,Sheet1!$B$6:$C$45,2,FALSE)*V921</f>
        <v>0</v>
      </c>
      <c r="X921" s="141"/>
      <c r="Y921" s="122" t="s">
        <v>1344</v>
      </c>
      <c r="Z921" s="146">
        <f>VLOOKUP(Takeoffs!Y921,Sheet1!$B$6:$C$124,2,FALSE)</f>
        <v>109.25999999999999</v>
      </c>
      <c r="AA921" s="146">
        <f t="shared" si="411"/>
        <v>0</v>
      </c>
      <c r="AB921" s="143">
        <f t="shared" si="412"/>
        <v>0</v>
      </c>
      <c r="AC921" s="133">
        <f t="shared" si="413"/>
        <v>0</v>
      </c>
      <c r="AD921" s="142">
        <v>1</v>
      </c>
      <c r="AE921" s="141"/>
      <c r="AF921" s="121" t="s">
        <v>292</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292</v>
      </c>
      <c r="V922" s="133">
        <f t="shared" si="410"/>
        <v>0</v>
      </c>
      <c r="W922" s="133">
        <f>VLOOKUP(U922,Sheet1!$B$6:$C$45,2,FALSE)*V922</f>
        <v>0</v>
      </c>
      <c r="X922" s="141"/>
      <c r="Y922" s="121" t="s">
        <v>292</v>
      </c>
      <c r="Z922" s="146">
        <f>VLOOKUP(Takeoffs!Y922,Sheet1!$B$6:$C$124,2,FALSE)</f>
        <v>0</v>
      </c>
      <c r="AA922" s="146">
        <f t="shared" si="411"/>
        <v>0</v>
      </c>
      <c r="AB922" s="143">
        <f t="shared" si="412"/>
        <v>0</v>
      </c>
      <c r="AC922" s="133">
        <f t="shared" si="413"/>
        <v>0</v>
      </c>
      <c r="AD922" s="142">
        <v>1</v>
      </c>
      <c r="AE922" s="141"/>
      <c r="AF922" s="121" t="s">
        <v>292</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337</v>
      </c>
      <c r="P923" s="121"/>
      <c r="Q923" s="66"/>
      <c r="R923" s="121" t="s">
        <v>331</v>
      </c>
      <c r="S923" s="133">
        <f>M908</f>
        <v>0</v>
      </c>
      <c r="T923" s="120"/>
      <c r="U923" s="121" t="s">
        <v>292</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292</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499</v>
      </c>
      <c r="P924" s="121"/>
      <c r="Q924" s="66"/>
      <c r="R924" s="121"/>
      <c r="S924" s="133">
        <f>M908</f>
        <v>0</v>
      </c>
      <c r="T924" s="120"/>
      <c r="U924" s="121" t="s">
        <v>292</v>
      </c>
      <c r="V924" s="133">
        <f t="shared" si="410"/>
        <v>0</v>
      </c>
      <c r="W924" s="133">
        <f>VLOOKUP(U924,Sheet1!$B$6:$C$45,2,FALSE)*V924</f>
        <v>0</v>
      </c>
      <c r="X924" s="141"/>
      <c r="Y924" s="135" t="s">
        <v>422</v>
      </c>
      <c r="Z924" s="146">
        <f>VLOOKUP(Takeoffs!Y924,Sheet1!$B$6:$C$124,2,FALSE)</f>
        <v>23.4</v>
      </c>
      <c r="AA924" s="146">
        <f t="shared" si="411"/>
        <v>0</v>
      </c>
      <c r="AB924" s="143">
        <f t="shared" si="412"/>
        <v>0</v>
      </c>
      <c r="AC924" s="133">
        <f t="shared" si="413"/>
        <v>0</v>
      </c>
      <c r="AD924" s="142">
        <v>1</v>
      </c>
      <c r="AE924" s="141"/>
      <c r="AF924" s="121" t="s">
        <v>292</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329</v>
      </c>
      <c r="P925" s="121"/>
      <c r="Q925" s="66"/>
      <c r="R925" s="121" t="s">
        <v>304</v>
      </c>
      <c r="S925" s="133">
        <f>M908</f>
        <v>0</v>
      </c>
      <c r="T925" s="120"/>
      <c r="U925" s="121" t="s">
        <v>292</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292</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500</v>
      </c>
      <c r="P926" s="121"/>
      <c r="Q926" s="66"/>
      <c r="R926" s="121"/>
      <c r="S926" s="133">
        <f>M908</f>
        <v>0</v>
      </c>
      <c r="T926" s="120"/>
      <c r="U926" s="121" t="s">
        <v>292</v>
      </c>
      <c r="V926" s="133">
        <f t="shared" si="410"/>
        <v>0</v>
      </c>
      <c r="W926" s="133">
        <f>VLOOKUP(U926,Sheet1!$B$6:$C$45,2,FALSE)*V926</f>
        <v>0</v>
      </c>
      <c r="X926" s="141"/>
      <c r="Y926" s="121" t="s">
        <v>292</v>
      </c>
      <c r="Z926" s="146">
        <f>VLOOKUP(Takeoffs!Y926,Sheet1!$B$6:$C$124,2,FALSE)</f>
        <v>0</v>
      </c>
      <c r="AA926" s="146">
        <f t="shared" si="411"/>
        <v>0</v>
      </c>
      <c r="AB926" s="143">
        <f t="shared" si="412"/>
        <v>0</v>
      </c>
      <c r="AC926" s="133">
        <f t="shared" si="413"/>
        <v>0</v>
      </c>
      <c r="AD926" s="142">
        <v>1</v>
      </c>
      <c r="AE926" s="141"/>
      <c r="AF926" s="121" t="s">
        <v>292</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407</v>
      </c>
      <c r="P927" s="121"/>
      <c r="Q927" s="66"/>
      <c r="R927" s="121"/>
      <c r="S927" s="133">
        <f>M908</f>
        <v>0</v>
      </c>
      <c r="T927" s="120"/>
      <c r="U927" s="121" t="s">
        <v>292</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292</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408</v>
      </c>
      <c r="P928" s="121"/>
      <c r="Q928" s="66"/>
      <c r="R928" s="121"/>
      <c r="S928" s="133">
        <f>M908</f>
        <v>0</v>
      </c>
      <c r="T928" s="120"/>
      <c r="U928" s="121" t="s">
        <v>362</v>
      </c>
      <c r="V928" s="133">
        <f t="shared" si="410"/>
        <v>0</v>
      </c>
      <c r="W928" s="133">
        <f>VLOOKUP(U928,Sheet1!$B$6:$C$45,2,FALSE)*V928</f>
        <v>0</v>
      </c>
      <c r="X928" s="141"/>
      <c r="Y928" s="121" t="s">
        <v>292</v>
      </c>
      <c r="Z928" s="146">
        <f>VLOOKUP(Takeoffs!Y928,Sheet1!$B$6:$C$124,2,FALSE)</f>
        <v>0</v>
      </c>
      <c r="AA928" s="146">
        <f t="shared" si="411"/>
        <v>0</v>
      </c>
      <c r="AB928" s="143">
        <f t="shared" si="412"/>
        <v>0</v>
      </c>
      <c r="AC928" s="133">
        <f t="shared" si="413"/>
        <v>0</v>
      </c>
      <c r="AD928" s="142">
        <v>1</v>
      </c>
      <c r="AE928" s="141"/>
      <c r="AF928" s="121" t="s">
        <v>292</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377</v>
      </c>
      <c r="L929" s="128" t="s">
        <v>378</v>
      </c>
      <c r="N929" s="129"/>
      <c r="O929" s="130" t="s">
        <v>357</v>
      </c>
      <c r="P929" s="131">
        <f>V929+AA929+AH929</f>
        <v>0</v>
      </c>
      <c r="Q929" s="131"/>
      <c r="R929" s="131"/>
      <c r="S929" s="130"/>
      <c r="T929" s="127"/>
      <c r="U929" s="126" t="s">
        <v>351</v>
      </c>
      <c r="V929" s="127">
        <f>W929*80</f>
        <v>0</v>
      </c>
      <c r="W929" s="147">
        <f>SUM(W908:W928)</f>
        <v>0</v>
      </c>
      <c r="X929" s="148"/>
      <c r="Y929" s="127" t="s">
        <v>352</v>
      </c>
      <c r="Z929" s="116"/>
      <c r="AA929" s="116">
        <f>SUM(AA908:AA928)</f>
        <v>0</v>
      </c>
      <c r="AB929" s="149"/>
      <c r="AC929" s="149"/>
      <c r="AD929" s="149"/>
      <c r="AE929" s="149"/>
      <c r="AF929" s="127" t="s">
        <v>356</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hidden="1" x14ac:dyDescent="0.8">
      <c r="A930" s="262">
        <f>ROW()</f>
        <v>930</v>
      </c>
      <c r="B930" s="234" t="s">
        <v>491</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367</v>
      </c>
      <c r="N930" s="160" t="str">
        <f>N908</f>
        <v>Cooling tower fan wirh VSD - from MSSB power supply and BMS interface provisions</v>
      </c>
      <c r="O930" s="160" t="s">
        <v>365</v>
      </c>
      <c r="P930" s="183" t="e">
        <f>P929/M908</f>
        <v>#DIV/0!</v>
      </c>
      <c r="Q930" s="191"/>
      <c r="R930" s="161"/>
      <c r="S930" s="160"/>
      <c r="T930" s="161"/>
      <c r="U930" s="571" t="s">
        <v>366</v>
      </c>
      <c r="V930" s="571"/>
      <c r="W930" s="162" t="e">
        <f>W929/M908</f>
        <v>#DIV/0!</v>
      </c>
      <c r="X930" s="163"/>
      <c r="Y930" s="570" t="s">
        <v>365</v>
      </c>
      <c r="Z930" s="570"/>
      <c r="AA930" s="164" t="e">
        <f>AA929/M908</f>
        <v>#DIV/0!</v>
      </c>
      <c r="AB930" s="161"/>
      <c r="AC930" s="161"/>
      <c r="AD930" s="161"/>
      <c r="AE930" s="161"/>
      <c r="AF930" s="570" t="s">
        <v>365</v>
      </c>
      <c r="AG930" s="570"/>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452</v>
      </c>
      <c r="M931" s="116" t="s">
        <v>107</v>
      </c>
      <c r="N931" s="116" t="s">
        <v>108</v>
      </c>
      <c r="O931" s="170" t="s">
        <v>386</v>
      </c>
      <c r="P931" s="573" t="s">
        <v>375</v>
      </c>
      <c r="Q931" s="573"/>
      <c r="R931" s="101" t="s">
        <v>452</v>
      </c>
      <c r="S931" s="116" t="s">
        <v>0</v>
      </c>
      <c r="T931" s="118"/>
      <c r="U931" s="116" t="s">
        <v>287</v>
      </c>
      <c r="V931" s="116" t="s">
        <v>288</v>
      </c>
      <c r="W931" s="116" t="s">
        <v>291</v>
      </c>
      <c r="X931" s="140"/>
      <c r="Y931" s="116" t="s">
        <v>289</v>
      </c>
      <c r="Z931" s="116" t="s">
        <v>354</v>
      </c>
      <c r="AA931" s="116" t="s">
        <v>355</v>
      </c>
      <c r="AB931" s="116" t="s">
        <v>317</v>
      </c>
      <c r="AC931" s="116" t="s">
        <v>318</v>
      </c>
      <c r="AD931" s="116" t="s">
        <v>316</v>
      </c>
      <c r="AE931" s="140"/>
      <c r="AF931" s="116" t="s">
        <v>293</v>
      </c>
      <c r="AG931" s="116" t="s">
        <v>354</v>
      </c>
      <c r="AH931" s="116" t="s">
        <v>355</v>
      </c>
      <c r="AI931" s="116" t="s">
        <v>296</v>
      </c>
      <c r="AJ931" s="116" t="s">
        <v>294</v>
      </c>
      <c r="AK931" s="116" t="s">
        <v>295</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569</v>
      </c>
      <c r="O932" s="121" t="s">
        <v>488</v>
      </c>
      <c r="P932" s="169" t="s">
        <v>379</v>
      </c>
      <c r="Q932" s="169" t="s">
        <v>375</v>
      </c>
      <c r="R932" s="169"/>
      <c r="S932" s="133">
        <f>M932</f>
        <v>0</v>
      </c>
      <c r="T932" s="119"/>
      <c r="U932" s="121" t="s">
        <v>292</v>
      </c>
      <c r="V932" s="133">
        <f>S932</f>
        <v>0</v>
      </c>
      <c r="W932" s="133">
        <f>VLOOKUP(U932,Sheet1!$B$6:$C$45,2,FALSE)*V932</f>
        <v>0</v>
      </c>
      <c r="X932" s="141"/>
      <c r="Y932" s="121" t="s">
        <v>292</v>
      </c>
      <c r="Z932" s="146">
        <f>VLOOKUP(Takeoffs!Y932,Sheet1!$B$6:$C$124,2,FALSE)</f>
        <v>0</v>
      </c>
      <c r="AA932" s="146">
        <f>Z932*AB932</f>
        <v>0</v>
      </c>
      <c r="AB932" s="143">
        <f>AD932*AC932</f>
        <v>0</v>
      </c>
      <c r="AC932" s="133">
        <f>S932</f>
        <v>0</v>
      </c>
      <c r="AD932" s="142">
        <v>1</v>
      </c>
      <c r="AE932" s="141"/>
      <c r="AF932" s="121" t="s">
        <v>292</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340</v>
      </c>
      <c r="P933" s="121"/>
      <c r="Q933" s="66"/>
      <c r="R933" s="121"/>
      <c r="S933" s="133">
        <f>M932</f>
        <v>0</v>
      </c>
      <c r="T933" s="120"/>
      <c r="U933" s="121" t="s">
        <v>292</v>
      </c>
      <c r="V933" s="133">
        <f t="shared" ref="V933:V952" si="424">S933</f>
        <v>0</v>
      </c>
      <c r="W933" s="133">
        <f>VLOOKUP(U933,Sheet1!$B$6:$C$45,2,FALSE)*V933</f>
        <v>0</v>
      </c>
      <c r="X933" s="141"/>
      <c r="Y933" s="121" t="s">
        <v>292</v>
      </c>
      <c r="Z933" s="146">
        <f>VLOOKUP(Takeoffs!Y933,Sheet1!$B$6:$C$124,2,FALSE)</f>
        <v>0</v>
      </c>
      <c r="AA933" s="146">
        <f t="shared" ref="AA933:AA952" si="425">Z933*AB933</f>
        <v>0</v>
      </c>
      <c r="AB933" s="143">
        <f t="shared" ref="AB933:AB952" si="426">AD933*AC933</f>
        <v>0</v>
      </c>
      <c r="AC933" s="133">
        <f>S933</f>
        <v>0</v>
      </c>
      <c r="AD933" s="142">
        <v>1</v>
      </c>
      <c r="AE933" s="141"/>
      <c r="AF933" s="121" t="s">
        <v>292</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308</v>
      </c>
      <c r="P934" s="121"/>
      <c r="Q934" s="66"/>
      <c r="R934" s="121"/>
      <c r="S934" s="133">
        <f>M932</f>
        <v>0</v>
      </c>
      <c r="T934" s="120"/>
      <c r="U934" s="121" t="s">
        <v>292</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305</v>
      </c>
      <c r="P935" s="121"/>
      <c r="Q935" s="66"/>
      <c r="R935" s="121"/>
      <c r="S935" s="133">
        <f>M932</f>
        <v>0</v>
      </c>
      <c r="T935" s="120"/>
      <c r="U935" s="117" t="s">
        <v>478</v>
      </c>
      <c r="V935" s="133">
        <f t="shared" si="424"/>
        <v>0</v>
      </c>
      <c r="W935" s="133">
        <f>VLOOKUP(U935,Sheet1!$B$6:$C$45,2,FALSE)*V935</f>
        <v>0</v>
      </c>
      <c r="X935" s="141"/>
      <c r="Y935" s="121" t="s">
        <v>292</v>
      </c>
      <c r="Z935" s="146">
        <f>VLOOKUP(Takeoffs!Y935,Sheet1!$B$6:$C$124,2,FALSE)</f>
        <v>0</v>
      </c>
      <c r="AA935" s="146">
        <f t="shared" si="425"/>
        <v>0</v>
      </c>
      <c r="AB935" s="143">
        <f t="shared" si="426"/>
        <v>0</v>
      </c>
      <c r="AC935" s="133">
        <f t="shared" ref="AC935:AC952" si="431">S935</f>
        <v>0</v>
      </c>
      <c r="AD935" s="142">
        <v>1</v>
      </c>
      <c r="AE935" s="141"/>
      <c r="AF935" s="121" t="s">
        <v>292</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323</v>
      </c>
      <c r="P936" s="121"/>
      <c r="Q936" s="66"/>
      <c r="R936" s="121"/>
      <c r="S936" s="133">
        <f>M932</f>
        <v>0</v>
      </c>
      <c r="T936" s="120"/>
      <c r="U936" s="121" t="s">
        <v>235</v>
      </c>
      <c r="V936" s="133">
        <f t="shared" si="424"/>
        <v>0</v>
      </c>
      <c r="W936" s="133">
        <f>VLOOKUP(U936,Sheet1!$B$6:$C$45,2,FALSE)*V936</f>
        <v>0</v>
      </c>
      <c r="X936" s="141"/>
      <c r="Y936" s="135" t="s">
        <v>490</v>
      </c>
      <c r="Z936" s="146">
        <f>VLOOKUP(Takeoffs!Y936,Sheet1!$B$6:$C$124,2,FALSE)</f>
        <v>1226.28</v>
      </c>
      <c r="AA936" s="146">
        <f t="shared" si="425"/>
        <v>0</v>
      </c>
      <c r="AB936" s="143">
        <f t="shared" si="426"/>
        <v>0</v>
      </c>
      <c r="AC936" s="133">
        <f t="shared" si="431"/>
        <v>0</v>
      </c>
      <c r="AD936" s="142">
        <v>1</v>
      </c>
      <c r="AE936" s="141"/>
      <c r="AF936" s="121" t="s">
        <v>292</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390</v>
      </c>
      <c r="P937" s="121"/>
      <c r="Q937" s="66"/>
      <c r="R937" s="121"/>
      <c r="S937" s="133">
        <f>M932</f>
        <v>0</v>
      </c>
      <c r="T937" s="120"/>
      <c r="U937" s="121" t="s">
        <v>292</v>
      </c>
      <c r="V937" s="133">
        <f t="shared" si="424"/>
        <v>0</v>
      </c>
      <c r="W937" s="133">
        <f>VLOOKUP(U937,Sheet1!$B$6:$C$45,2,FALSE)*V937</f>
        <v>0</v>
      </c>
      <c r="X937" s="141"/>
      <c r="Y937" s="121" t="s">
        <v>292</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309</v>
      </c>
      <c r="P938" s="121"/>
      <c r="Q938" s="66"/>
      <c r="R938" s="121"/>
      <c r="S938" s="133">
        <f>M932</f>
        <v>0</v>
      </c>
      <c r="T938" s="120"/>
      <c r="U938" s="121" t="s">
        <v>292</v>
      </c>
      <c r="V938" s="133">
        <f t="shared" si="424"/>
        <v>0</v>
      </c>
      <c r="W938" s="133">
        <f>VLOOKUP(U938,Sheet1!$B$6:$C$45,2,FALSE)*V938</f>
        <v>0</v>
      </c>
      <c r="X938" s="141"/>
      <c r="Y938" s="121" t="s">
        <v>292</v>
      </c>
      <c r="Z938" s="146">
        <f>VLOOKUP(Takeoffs!Y938,Sheet1!$B$6:$C$124,2,FALSE)</f>
        <v>0</v>
      </c>
      <c r="AA938" s="146">
        <f t="shared" si="425"/>
        <v>0</v>
      </c>
      <c r="AB938" s="143">
        <f t="shared" si="426"/>
        <v>0</v>
      </c>
      <c r="AC938" s="133">
        <f t="shared" si="431"/>
        <v>0</v>
      </c>
      <c r="AD938" s="142">
        <v>1</v>
      </c>
      <c r="AE938" s="141"/>
      <c r="AF938" s="121" t="s">
        <v>292</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292</v>
      </c>
      <c r="V939" s="133">
        <f t="shared" si="424"/>
        <v>0</v>
      </c>
      <c r="W939" s="133">
        <f>VLOOKUP(U939,Sheet1!$B$6:$C$45,2,FALSE)*V939</f>
        <v>0</v>
      </c>
      <c r="X939" s="141"/>
      <c r="Y939" s="121" t="s">
        <v>292</v>
      </c>
      <c r="Z939" s="146">
        <f>VLOOKUP(Takeoffs!Y939,Sheet1!$B$6:$C$124,2,FALSE)</f>
        <v>0</v>
      </c>
      <c r="AA939" s="146">
        <f t="shared" si="425"/>
        <v>0</v>
      </c>
      <c r="AB939" s="143">
        <f t="shared" si="426"/>
        <v>0</v>
      </c>
      <c r="AC939" s="133">
        <f t="shared" si="431"/>
        <v>0</v>
      </c>
      <c r="AD939" s="142">
        <v>1</v>
      </c>
      <c r="AE939" s="141"/>
      <c r="AF939" s="121" t="s">
        <v>292</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328</v>
      </c>
      <c r="P940" s="121"/>
      <c r="Q940" s="66"/>
      <c r="R940" s="121"/>
      <c r="S940" s="133">
        <f>M932</f>
        <v>0</v>
      </c>
      <c r="T940" s="120"/>
      <c r="U940" s="121" t="s">
        <v>364</v>
      </c>
      <c r="V940" s="133">
        <f t="shared" si="424"/>
        <v>0</v>
      </c>
      <c r="W940" s="133">
        <f>VLOOKUP(U940,Sheet1!$B$6:$C$45,2,FALSE)*V940</f>
        <v>0</v>
      </c>
      <c r="X940" s="141"/>
      <c r="Y940" s="121" t="s">
        <v>292</v>
      </c>
      <c r="Z940" s="146">
        <f>VLOOKUP(Takeoffs!Y940,Sheet1!$B$6:$C$124,2,FALSE)</f>
        <v>0</v>
      </c>
      <c r="AA940" s="146">
        <f t="shared" si="425"/>
        <v>0</v>
      </c>
      <c r="AB940" s="143">
        <f t="shared" si="426"/>
        <v>0</v>
      </c>
      <c r="AC940" s="133">
        <f t="shared" si="431"/>
        <v>0</v>
      </c>
      <c r="AD940" s="142">
        <v>1</v>
      </c>
      <c r="AE940" s="141"/>
      <c r="AF940" s="121" t="s">
        <v>292</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292</v>
      </c>
      <c r="V941" s="133">
        <f t="shared" si="424"/>
        <v>0</v>
      </c>
      <c r="W941" s="133">
        <f>VLOOKUP(U941,Sheet1!$B$6:$C$45,2,FALSE)*V941</f>
        <v>0</v>
      </c>
      <c r="X941" s="141"/>
      <c r="Y941" s="121" t="s">
        <v>292</v>
      </c>
      <c r="Z941" s="146">
        <f>VLOOKUP(Takeoffs!Y941,Sheet1!$B$6:$C$124,2,FALSE)</f>
        <v>0</v>
      </c>
      <c r="AA941" s="146">
        <f t="shared" si="425"/>
        <v>0</v>
      </c>
      <c r="AB941" s="143">
        <f t="shared" si="426"/>
        <v>0</v>
      </c>
      <c r="AC941" s="133">
        <f t="shared" si="431"/>
        <v>0</v>
      </c>
      <c r="AD941" s="142">
        <v>1</v>
      </c>
      <c r="AE941" s="141"/>
      <c r="AF941" s="121" t="s">
        <v>292</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292</v>
      </c>
      <c r="V942" s="133">
        <f t="shared" si="424"/>
        <v>0</v>
      </c>
      <c r="W942" s="133">
        <f>VLOOKUP(U942,Sheet1!$B$6:$C$45,2,FALSE)*V942</f>
        <v>0</v>
      </c>
      <c r="X942" s="141"/>
      <c r="Y942" s="121" t="s">
        <v>292</v>
      </c>
      <c r="Z942" s="146">
        <f>VLOOKUP(Takeoffs!Y942,Sheet1!$B$6:$C$124,2,FALSE)</f>
        <v>0</v>
      </c>
      <c r="AA942" s="146">
        <f t="shared" si="425"/>
        <v>0</v>
      </c>
      <c r="AB942" s="143">
        <f t="shared" si="426"/>
        <v>0</v>
      </c>
      <c r="AC942" s="133">
        <f t="shared" si="431"/>
        <v>0</v>
      </c>
      <c r="AD942" s="142">
        <v>1</v>
      </c>
      <c r="AE942" s="141"/>
      <c r="AF942" s="121" t="s">
        <v>292</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292</v>
      </c>
      <c r="V943" s="133">
        <f t="shared" si="424"/>
        <v>0</v>
      </c>
      <c r="W943" s="133">
        <f>VLOOKUP(U943,Sheet1!$B$6:$C$45,2,FALSE)*V943</f>
        <v>0</v>
      </c>
      <c r="X943" s="141"/>
      <c r="Y943" s="121" t="s">
        <v>292</v>
      </c>
      <c r="Z943" s="146">
        <f>VLOOKUP(Takeoffs!Y943,Sheet1!$B$6:$C$124,2,FALSE)</f>
        <v>0</v>
      </c>
      <c r="AA943" s="146">
        <f t="shared" si="425"/>
        <v>0</v>
      </c>
      <c r="AB943" s="143">
        <f t="shared" si="426"/>
        <v>0</v>
      </c>
      <c r="AC943" s="133">
        <f t="shared" si="431"/>
        <v>0</v>
      </c>
      <c r="AD943" s="142">
        <v>1</v>
      </c>
      <c r="AE943" s="141"/>
      <c r="AF943" s="121" t="s">
        <v>292</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292</v>
      </c>
      <c r="V944" s="133">
        <f t="shared" si="424"/>
        <v>0</v>
      </c>
      <c r="W944" s="133">
        <f>VLOOKUP(U944,Sheet1!$B$6:$C$45,2,FALSE)*V944</f>
        <v>0</v>
      </c>
      <c r="X944" s="141"/>
      <c r="Y944" s="121" t="s">
        <v>292</v>
      </c>
      <c r="Z944" s="146">
        <f>VLOOKUP(Takeoffs!Y944,Sheet1!$B$6:$C$124,2,FALSE)</f>
        <v>0</v>
      </c>
      <c r="AA944" s="146">
        <f t="shared" si="425"/>
        <v>0</v>
      </c>
      <c r="AB944" s="143">
        <f t="shared" si="426"/>
        <v>0</v>
      </c>
      <c r="AC944" s="133">
        <f t="shared" si="431"/>
        <v>0</v>
      </c>
      <c r="AD944" s="142">
        <v>1</v>
      </c>
      <c r="AE944" s="141"/>
      <c r="AF944" s="152" t="s">
        <v>418</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312</v>
      </c>
      <c r="P945" s="121"/>
      <c r="Q945" s="66"/>
      <c r="R945" s="121"/>
      <c r="S945" s="133">
        <f>M932</f>
        <v>0</v>
      </c>
      <c r="T945" s="120"/>
      <c r="U945" s="121" t="s">
        <v>232</v>
      </c>
      <c r="V945" s="133">
        <f t="shared" si="424"/>
        <v>0</v>
      </c>
      <c r="W945" s="133">
        <f>VLOOKUP(U945,Sheet1!$B$6:$C$45,2,FALSE)*V945</f>
        <v>0</v>
      </c>
      <c r="X945" s="141"/>
      <c r="Y945" s="122" t="s">
        <v>1344</v>
      </c>
      <c r="Z945" s="146">
        <f>VLOOKUP(Takeoffs!Y945,Sheet1!$B$6:$C$124,2,FALSE)</f>
        <v>109.25999999999999</v>
      </c>
      <c r="AA945" s="146">
        <f t="shared" si="425"/>
        <v>0</v>
      </c>
      <c r="AB945" s="143">
        <f t="shared" si="426"/>
        <v>0</v>
      </c>
      <c r="AC945" s="133">
        <f t="shared" si="431"/>
        <v>0</v>
      </c>
      <c r="AD945" s="142">
        <v>1</v>
      </c>
      <c r="AE945" s="141"/>
      <c r="AF945" s="121" t="s">
        <v>292</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345</v>
      </c>
      <c r="P946" s="121" t="s">
        <v>380</v>
      </c>
      <c r="Q946" s="66" t="s">
        <v>384</v>
      </c>
      <c r="R946" s="121"/>
      <c r="S946" s="133">
        <f>M932</f>
        <v>0</v>
      </c>
      <c r="T946" s="120"/>
      <c r="U946" s="121" t="s">
        <v>292</v>
      </c>
      <c r="V946" s="133">
        <f t="shared" si="424"/>
        <v>0</v>
      </c>
      <c r="W946" s="133">
        <f>VLOOKUP(U946,Sheet1!$B$6:$C$45,2,FALSE)*V946</f>
        <v>0</v>
      </c>
      <c r="X946" s="141"/>
      <c r="Y946" s="122" t="s">
        <v>326</v>
      </c>
      <c r="Z946" s="146">
        <f>VLOOKUP(Takeoffs!Y946,Sheet1!$B$6:$C$124,2,FALSE)</f>
        <v>29.04</v>
      </c>
      <c r="AA946" s="146">
        <f t="shared" si="425"/>
        <v>0</v>
      </c>
      <c r="AB946" s="143">
        <f t="shared" si="426"/>
        <v>0</v>
      </c>
      <c r="AC946" s="133">
        <f t="shared" si="431"/>
        <v>0</v>
      </c>
      <c r="AD946" s="142">
        <v>1</v>
      </c>
      <c r="AE946" s="141"/>
      <c r="AF946" s="121" t="s">
        <v>292</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337</v>
      </c>
      <c r="P947" s="121"/>
      <c r="Q947" s="66"/>
      <c r="R947" s="121" t="s">
        <v>331</v>
      </c>
      <c r="S947" s="133">
        <f>M932</f>
        <v>0</v>
      </c>
      <c r="T947" s="120"/>
      <c r="U947" s="121" t="s">
        <v>292</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292</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499</v>
      </c>
      <c r="P948" s="121"/>
      <c r="Q948" s="66"/>
      <c r="R948" s="121"/>
      <c r="S948" s="133">
        <f>M932</f>
        <v>0</v>
      </c>
      <c r="T948" s="120"/>
      <c r="U948" s="121" t="s">
        <v>292</v>
      </c>
      <c r="V948" s="133">
        <f t="shared" si="424"/>
        <v>0</v>
      </c>
      <c r="W948" s="133">
        <f>VLOOKUP(U948,Sheet1!$B$6:$C$45,2,FALSE)*V948</f>
        <v>0</v>
      </c>
      <c r="X948" s="141"/>
      <c r="Y948" s="135" t="s">
        <v>422</v>
      </c>
      <c r="Z948" s="146">
        <f>VLOOKUP(Takeoffs!Y948,Sheet1!$B$6:$C$124,2,FALSE)</f>
        <v>23.4</v>
      </c>
      <c r="AA948" s="146">
        <f t="shared" si="425"/>
        <v>0</v>
      </c>
      <c r="AB948" s="143">
        <f t="shared" si="426"/>
        <v>0</v>
      </c>
      <c r="AC948" s="133">
        <f t="shared" si="431"/>
        <v>0</v>
      </c>
      <c r="AD948" s="142">
        <v>1</v>
      </c>
      <c r="AE948" s="141"/>
      <c r="AF948" s="121" t="s">
        <v>292</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329</v>
      </c>
      <c r="P949" s="121"/>
      <c r="Q949" s="66"/>
      <c r="R949" s="121" t="s">
        <v>304</v>
      </c>
      <c r="S949" s="133">
        <f>M932</f>
        <v>0</v>
      </c>
      <c r="T949" s="120"/>
      <c r="U949" s="121" t="s">
        <v>292</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292</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500</v>
      </c>
      <c r="P950" s="121"/>
      <c r="Q950" s="66"/>
      <c r="R950" s="121"/>
      <c r="S950" s="133">
        <f>M932</f>
        <v>0</v>
      </c>
      <c r="T950" s="120"/>
      <c r="U950" s="121" t="s">
        <v>292</v>
      </c>
      <c r="V950" s="133">
        <f t="shared" si="424"/>
        <v>0</v>
      </c>
      <c r="W950" s="133">
        <f>VLOOKUP(U950,Sheet1!$B$6:$C$45,2,FALSE)*V950</f>
        <v>0</v>
      </c>
      <c r="X950" s="141"/>
      <c r="Y950" s="121" t="s">
        <v>292</v>
      </c>
      <c r="Z950" s="146">
        <f>VLOOKUP(Takeoffs!Y950,Sheet1!$B$6:$C$124,2,FALSE)</f>
        <v>0</v>
      </c>
      <c r="AA950" s="146">
        <f t="shared" si="425"/>
        <v>0</v>
      </c>
      <c r="AB950" s="143">
        <f t="shared" si="426"/>
        <v>0</v>
      </c>
      <c r="AC950" s="133">
        <f t="shared" si="431"/>
        <v>0</v>
      </c>
      <c r="AD950" s="142">
        <v>1</v>
      </c>
      <c r="AE950" s="141"/>
      <c r="AF950" s="121" t="s">
        <v>292</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407</v>
      </c>
      <c r="P951" s="121"/>
      <c r="Q951" s="66"/>
      <c r="R951" s="121"/>
      <c r="S951" s="133">
        <f>M932</f>
        <v>0</v>
      </c>
      <c r="T951" s="120"/>
      <c r="U951" s="121" t="s">
        <v>292</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292</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408</v>
      </c>
      <c r="P952" s="121"/>
      <c r="Q952" s="66"/>
      <c r="R952" s="121"/>
      <c r="S952" s="133">
        <f>M932</f>
        <v>0</v>
      </c>
      <c r="T952" s="120"/>
      <c r="U952" s="121" t="s">
        <v>362</v>
      </c>
      <c r="V952" s="133">
        <f t="shared" si="424"/>
        <v>0</v>
      </c>
      <c r="W952" s="133">
        <f>VLOOKUP(U952,Sheet1!$B$6:$C$45,2,FALSE)*V952</f>
        <v>0</v>
      </c>
      <c r="X952" s="141"/>
      <c r="Y952" s="121" t="s">
        <v>292</v>
      </c>
      <c r="Z952" s="146">
        <f>VLOOKUP(Takeoffs!Y952,Sheet1!$B$6:$C$124,2,FALSE)</f>
        <v>0</v>
      </c>
      <c r="AA952" s="146">
        <f t="shared" si="425"/>
        <v>0</v>
      </c>
      <c r="AB952" s="143">
        <f t="shared" si="426"/>
        <v>0</v>
      </c>
      <c r="AC952" s="133">
        <f t="shared" si="431"/>
        <v>0</v>
      </c>
      <c r="AD952" s="142">
        <v>1</v>
      </c>
      <c r="AE952" s="141"/>
      <c r="AF952" s="121" t="s">
        <v>292</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377</v>
      </c>
      <c r="L953" s="128" t="s">
        <v>378</v>
      </c>
      <c r="N953" s="129"/>
      <c r="O953" s="130" t="s">
        <v>357</v>
      </c>
      <c r="P953" s="131">
        <f>V953+AA953+AH953</f>
        <v>0</v>
      </c>
      <c r="Q953" s="131"/>
      <c r="R953" s="131"/>
      <c r="S953" s="130"/>
      <c r="T953" s="127"/>
      <c r="U953" s="126" t="s">
        <v>351</v>
      </c>
      <c r="V953" s="127">
        <f>W953*80</f>
        <v>0</v>
      </c>
      <c r="W953" s="147">
        <f>SUM(W932:W952)</f>
        <v>0</v>
      </c>
      <c r="X953" s="148"/>
      <c r="Y953" s="127" t="s">
        <v>352</v>
      </c>
      <c r="Z953" s="116"/>
      <c r="AA953" s="116">
        <f>SUM(AA932:AA952)</f>
        <v>0</v>
      </c>
      <c r="AB953" s="149"/>
      <c r="AC953" s="149"/>
      <c r="AD953" s="149"/>
      <c r="AE953" s="149"/>
      <c r="AF953" s="127" t="s">
        <v>356</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216" hidden="1" x14ac:dyDescent="0.8">
      <c r="A954" s="262">
        <f>ROW()</f>
        <v>954</v>
      </c>
      <c r="B954" s="234" t="s">
        <v>491</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367</v>
      </c>
      <c r="N954" s="160" t="str">
        <f>N932</f>
        <v>Large sized VSD fan with fire shutdown - from MSSB power supply and BMS interface provisions</v>
      </c>
      <c r="O954" s="160" t="s">
        <v>365</v>
      </c>
      <c r="P954" s="183" t="e">
        <f>P953/M932</f>
        <v>#DIV/0!</v>
      </c>
      <c r="Q954" s="191"/>
      <c r="R954" s="161"/>
      <c r="S954" s="160"/>
      <c r="T954" s="161"/>
      <c r="U954" s="571" t="s">
        <v>366</v>
      </c>
      <c r="V954" s="571"/>
      <c r="W954" s="162" t="e">
        <f>W953/M932</f>
        <v>#DIV/0!</v>
      </c>
      <c r="X954" s="163"/>
      <c r="Y954" s="570" t="s">
        <v>365</v>
      </c>
      <c r="Z954" s="570"/>
      <c r="AA954" s="164" t="e">
        <f>AA953/M932</f>
        <v>#DIV/0!</v>
      </c>
      <c r="AB954" s="161"/>
      <c r="AC954" s="161"/>
      <c r="AD954" s="161"/>
      <c r="AE954" s="161"/>
      <c r="AF954" s="570" t="s">
        <v>365</v>
      </c>
      <c r="AG954" s="570"/>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hidden="1" x14ac:dyDescent="1.2">
      <c r="A955" s="262">
        <f>ROW()</f>
        <v>955</v>
      </c>
      <c r="B955" s="261" t="s">
        <v>491</v>
      </c>
      <c r="D955" s="261" t="str">
        <f>IF(B955="Shopping List",IF(ISNUMBER(SEARCH("MSSB",C955)),"MSSB",IF(ISNUMBER(SEARCH("local",C955)),"LOCAL","")))</f>
        <v/>
      </c>
      <c r="I955" s="269">
        <f>SUM(I979:I1171)</f>
        <v>0</v>
      </c>
      <c r="J955" s="261" t="s">
        <v>591</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452</v>
      </c>
      <c r="M956" s="116" t="s">
        <v>107</v>
      </c>
      <c r="N956" s="116" t="s">
        <v>108</v>
      </c>
      <c r="O956" s="170" t="s">
        <v>386</v>
      </c>
      <c r="P956" s="573" t="s">
        <v>375</v>
      </c>
      <c r="Q956" s="573"/>
      <c r="R956" s="101" t="s">
        <v>452</v>
      </c>
      <c r="S956" s="116" t="s">
        <v>0</v>
      </c>
      <c r="T956" s="118"/>
      <c r="U956" s="116" t="s">
        <v>287</v>
      </c>
      <c r="V956" s="116" t="s">
        <v>288</v>
      </c>
      <c r="W956" s="116" t="s">
        <v>291</v>
      </c>
      <c r="X956" s="140"/>
      <c r="Y956" s="116" t="s">
        <v>289</v>
      </c>
      <c r="Z956" s="116" t="s">
        <v>354</v>
      </c>
      <c r="AA956" s="116" t="s">
        <v>355</v>
      </c>
      <c r="AB956" s="116" t="s">
        <v>317</v>
      </c>
      <c r="AC956" s="116" t="s">
        <v>318</v>
      </c>
      <c r="AD956" s="116" t="s">
        <v>316</v>
      </c>
      <c r="AE956" s="140"/>
      <c r="AF956" s="116" t="s">
        <v>293</v>
      </c>
      <c r="AG956" s="116" t="s">
        <v>354</v>
      </c>
      <c r="AH956" s="116" t="s">
        <v>355</v>
      </c>
      <c r="AI956" s="116" t="s">
        <v>296</v>
      </c>
      <c r="AJ956" s="116" t="s">
        <v>294</v>
      </c>
      <c r="AK956" s="116" t="s">
        <v>295</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480</v>
      </c>
      <c r="O957" s="121" t="s">
        <v>347</v>
      </c>
      <c r="P957" s="169" t="s">
        <v>379</v>
      </c>
      <c r="Q957" s="169" t="s">
        <v>375</v>
      </c>
      <c r="R957" s="169"/>
      <c r="S957" s="133">
        <f>M957</f>
        <v>0</v>
      </c>
      <c r="T957" s="119"/>
      <c r="U957" s="153" t="s">
        <v>292</v>
      </c>
      <c r="V957" s="133">
        <f>S957</f>
        <v>0</v>
      </c>
      <c r="W957" s="133">
        <f>VLOOKUP(U957,Sheet1!$B$6:$C$45,2,FALSE)*V957</f>
        <v>0</v>
      </c>
      <c r="X957" s="141"/>
      <c r="Y957" s="121" t="s">
        <v>292</v>
      </c>
      <c r="Z957" s="146">
        <f>VLOOKUP(Takeoffs!Y957,Sheet1!$B$6:$C$124,2,FALSE)</f>
        <v>0</v>
      </c>
      <c r="AA957" s="146">
        <f>Z957*AB957</f>
        <v>0</v>
      </c>
      <c r="AB957" s="143">
        <f>AD957*AC957</f>
        <v>0</v>
      </c>
      <c r="AC957" s="133">
        <f>S957</f>
        <v>0</v>
      </c>
      <c r="AD957" s="142">
        <v>1</v>
      </c>
      <c r="AE957" s="141"/>
      <c r="AF957" s="121" t="s">
        <v>292</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hidden="1"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292</v>
      </c>
      <c r="V958" s="133">
        <f t="shared" ref="V958:V977" si="434">S958</f>
        <v>0</v>
      </c>
      <c r="W958" s="133">
        <f>VLOOKUP(U958,Sheet1!$B$6:$C$45,2,FALSE)*V958</f>
        <v>0</v>
      </c>
      <c r="X958" s="141"/>
      <c r="Y958" s="121" t="s">
        <v>292</v>
      </c>
      <c r="Z958" s="146">
        <f>VLOOKUP(Takeoffs!Y958,Sheet1!$B$6:$C$124,2,FALSE)</f>
        <v>0</v>
      </c>
      <c r="AA958" s="146">
        <f t="shared" ref="AA958:AA977" si="435">Z958*AB958</f>
        <v>0</v>
      </c>
      <c r="AB958" s="143">
        <f t="shared" ref="AB958:AB977" si="436">AD958*AC958</f>
        <v>0</v>
      </c>
      <c r="AC958" s="133">
        <f>S958</f>
        <v>0</v>
      </c>
      <c r="AD958" s="142">
        <v>1</v>
      </c>
      <c r="AE958" s="141"/>
      <c r="AF958" s="121" t="s">
        <v>292</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hidden="1"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308</v>
      </c>
      <c r="P959" s="121"/>
      <c r="Q959" s="66"/>
      <c r="R959" s="121"/>
      <c r="S959" s="133">
        <f>M957</f>
        <v>0</v>
      </c>
      <c r="T959" s="120"/>
      <c r="U959" s="121" t="s">
        <v>292</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292</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hidden="1"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468</v>
      </c>
      <c r="P960" s="121"/>
      <c r="Q960" s="66"/>
      <c r="R960" s="121"/>
      <c r="S960" s="133">
        <f>M957</f>
        <v>0</v>
      </c>
      <c r="T960" s="120"/>
      <c r="U960" s="117" t="s">
        <v>478</v>
      </c>
      <c r="V960" s="133">
        <f t="shared" si="434"/>
        <v>0</v>
      </c>
      <c r="W960" s="133">
        <f>VLOOKUP(U960,Sheet1!$B$6:$C$45,2,FALSE)*V960</f>
        <v>0</v>
      </c>
      <c r="X960" s="141"/>
      <c r="Y960" s="121" t="s">
        <v>292</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hidden="1"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292</v>
      </c>
      <c r="V961" s="133">
        <f t="shared" si="434"/>
        <v>0</v>
      </c>
      <c r="W961" s="133">
        <f>VLOOKUP(U961,Sheet1!$B$6:$C$45,2,FALSE)*V961</f>
        <v>0</v>
      </c>
      <c r="X961" s="141"/>
      <c r="Y961" s="121" t="s">
        <v>292</v>
      </c>
      <c r="Z961" s="146">
        <f>VLOOKUP(Takeoffs!Y961,Sheet1!$B$6:$C$124,2,FALSE)</f>
        <v>0</v>
      </c>
      <c r="AA961" s="146">
        <f t="shared" si="435"/>
        <v>0</v>
      </c>
      <c r="AB961" s="143">
        <f t="shared" si="436"/>
        <v>0</v>
      </c>
      <c r="AC961" s="133">
        <f t="shared" si="441"/>
        <v>0</v>
      </c>
      <c r="AD961" s="142">
        <v>1</v>
      </c>
      <c r="AE961" s="141"/>
      <c r="AF961" s="121" t="s">
        <v>292</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hidden="1"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292</v>
      </c>
      <c r="V962" s="133">
        <f t="shared" si="434"/>
        <v>0</v>
      </c>
      <c r="W962" s="133">
        <f>VLOOKUP(U962,Sheet1!$B$6:$C$45,2,FALSE)*V962</f>
        <v>0</v>
      </c>
      <c r="X962" s="141"/>
      <c r="Y962" s="121" t="s">
        <v>292</v>
      </c>
      <c r="Z962" s="146">
        <f>VLOOKUP(Takeoffs!Y962,Sheet1!$B$6:$C$124,2,FALSE)</f>
        <v>0</v>
      </c>
      <c r="AA962" s="146">
        <f t="shared" si="435"/>
        <v>0</v>
      </c>
      <c r="AB962" s="143">
        <f t="shared" si="436"/>
        <v>0</v>
      </c>
      <c r="AC962" s="133">
        <f t="shared" si="441"/>
        <v>0</v>
      </c>
      <c r="AD962" s="142">
        <v>1</v>
      </c>
      <c r="AE962" s="141"/>
      <c r="AF962" s="121" t="s">
        <v>292</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hidden="1"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309</v>
      </c>
      <c r="P963" s="121"/>
      <c r="Q963" s="66"/>
      <c r="R963" s="121"/>
      <c r="S963" s="133">
        <f>M957</f>
        <v>0</v>
      </c>
      <c r="T963" s="120"/>
      <c r="U963" s="121" t="s">
        <v>292</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292</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hidden="1"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292</v>
      </c>
      <c r="V964" s="133">
        <f t="shared" si="434"/>
        <v>0</v>
      </c>
      <c r="W964" s="133">
        <f>VLOOKUP(U964,Sheet1!$B$6:$C$45,2,FALSE)*V964</f>
        <v>0</v>
      </c>
      <c r="X964" s="141"/>
      <c r="Y964" s="121" t="s">
        <v>292</v>
      </c>
      <c r="Z964" s="146">
        <f>VLOOKUP(Takeoffs!Y964,Sheet1!$B$6:$C$124,2,FALSE)</f>
        <v>0</v>
      </c>
      <c r="AA964" s="146">
        <f t="shared" si="435"/>
        <v>0</v>
      </c>
      <c r="AB964" s="143">
        <f t="shared" si="436"/>
        <v>0</v>
      </c>
      <c r="AC964" s="133">
        <f t="shared" si="441"/>
        <v>0</v>
      </c>
      <c r="AD964" s="142">
        <v>1</v>
      </c>
      <c r="AE964" s="141"/>
      <c r="AF964" s="121" t="s">
        <v>292</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hidden="1" x14ac:dyDescent="0.8">
      <c r="A965" s="262">
        <f>ROW()</f>
        <v>965</v>
      </c>
      <c r="C965" s="208"/>
      <c r="D965" s="208"/>
      <c r="E965" s="208"/>
      <c r="F965" s="208"/>
      <c r="G965" s="208"/>
      <c r="H965" s="208"/>
      <c r="J965" s="114" t="str">
        <f t="shared" si="440"/>
        <v/>
      </c>
      <c r="K965" s="114" t="str">
        <f>IF(COUNTBLANK(R965)&gt;0,"",CONCATENATE(R965," for ",N957))</f>
        <v/>
      </c>
      <c r="N965" s="123" t="s">
        <v>120</v>
      </c>
      <c r="O965" s="66" t="s">
        <v>469</v>
      </c>
      <c r="P965" s="121"/>
      <c r="Q965" s="66"/>
      <c r="R965" s="121"/>
      <c r="S965" s="133">
        <f>M957</f>
        <v>0</v>
      </c>
      <c r="T965" s="120"/>
      <c r="U965" s="121" t="s">
        <v>292</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292</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hidden="1" x14ac:dyDescent="0.8">
      <c r="A966" s="262">
        <f>ROW()</f>
        <v>966</v>
      </c>
      <c r="C966" s="208"/>
      <c r="D966" s="208"/>
      <c r="E966" s="208"/>
      <c r="F966" s="208"/>
      <c r="G966" s="208"/>
      <c r="H966" s="208"/>
      <c r="J966" s="114" t="str">
        <f t="shared" si="440"/>
        <v/>
      </c>
      <c r="K966" s="114" t="str">
        <f>IF(COUNTBLANK(R966)&gt;0,"",CONCATENATE(R966," for ",N957))</f>
        <v/>
      </c>
      <c r="N966" s="123" t="s">
        <v>121</v>
      </c>
      <c r="O966" s="66" t="s">
        <v>307</v>
      </c>
      <c r="P966" s="121"/>
      <c r="Q966" s="66"/>
      <c r="R966" s="121"/>
      <c r="S966" s="133">
        <f>M957</f>
        <v>0</v>
      </c>
      <c r="T966" s="120"/>
      <c r="U966" s="117" t="s">
        <v>364</v>
      </c>
      <c r="V966" s="133">
        <f t="shared" si="434"/>
        <v>0</v>
      </c>
      <c r="W966" s="133">
        <f>VLOOKUP(U966,Sheet1!$B$6:$C$45,2,FALSE)*V966</f>
        <v>0</v>
      </c>
      <c r="X966" s="141"/>
      <c r="Y966" s="121" t="s">
        <v>292</v>
      </c>
      <c r="Z966" s="146">
        <f>VLOOKUP(Takeoffs!Y966,Sheet1!$B$6:$C$124,2,FALSE)</f>
        <v>0</v>
      </c>
      <c r="AA966" s="146">
        <f t="shared" si="435"/>
        <v>0</v>
      </c>
      <c r="AB966" s="143">
        <f t="shared" si="436"/>
        <v>0</v>
      </c>
      <c r="AC966" s="133">
        <f t="shared" si="441"/>
        <v>0</v>
      </c>
      <c r="AD966" s="142">
        <v>1</v>
      </c>
      <c r="AE966" s="141"/>
      <c r="AF966" s="121" t="s">
        <v>292</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hidden="1"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501</v>
      </c>
      <c r="P967" s="121" t="s">
        <v>471</v>
      </c>
      <c r="Q967" s="66" t="s">
        <v>472</v>
      </c>
      <c r="R967" s="121"/>
      <c r="S967" s="133">
        <f>M957</f>
        <v>0</v>
      </c>
      <c r="T967" s="120"/>
      <c r="U967" s="121" t="s">
        <v>292</v>
      </c>
      <c r="V967" s="133">
        <f t="shared" si="434"/>
        <v>0</v>
      </c>
      <c r="W967" s="133">
        <f>VLOOKUP(U967,Sheet1!$B$6:$C$45,2,FALSE)*V967</f>
        <v>0</v>
      </c>
      <c r="X967" s="141"/>
      <c r="Y967" s="135" t="s">
        <v>475</v>
      </c>
      <c r="Z967" s="146">
        <f>VLOOKUP(Takeoffs!Y967,Sheet1!$B$6:$C$124,2,FALSE)</f>
        <v>60</v>
      </c>
      <c r="AA967" s="146">
        <f t="shared" si="435"/>
        <v>0</v>
      </c>
      <c r="AB967" s="143">
        <f t="shared" si="436"/>
        <v>0</v>
      </c>
      <c r="AC967" s="133">
        <f t="shared" si="441"/>
        <v>0</v>
      </c>
      <c r="AD967" s="142">
        <v>3</v>
      </c>
      <c r="AE967" s="141"/>
      <c r="AF967" s="121" t="s">
        <v>292</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hidden="1" x14ac:dyDescent="0.8">
      <c r="A968" s="262">
        <f>ROW()</f>
        <v>968</v>
      </c>
      <c r="C968" s="208"/>
      <c r="D968" s="208"/>
      <c r="E968" s="208"/>
      <c r="F968" s="208"/>
      <c r="G968" s="208"/>
      <c r="H968" s="208"/>
      <c r="J968" s="114" t="str">
        <f t="shared" si="440"/>
        <v/>
      </c>
      <c r="K968" s="114" t="str">
        <f>IF(COUNTBLANK(R968)&gt;0,"",CONCATENATE(R968," for ",N957))</f>
        <v/>
      </c>
      <c r="N968" s="123" t="s">
        <v>123</v>
      </c>
      <c r="O968" s="66" t="s">
        <v>502</v>
      </c>
      <c r="P968" s="121"/>
      <c r="Q968" s="66"/>
      <c r="R968" s="121"/>
      <c r="S968" s="133">
        <f>M957</f>
        <v>0</v>
      </c>
      <c r="T968" s="120"/>
      <c r="U968" s="117" t="s">
        <v>363</v>
      </c>
      <c r="V968" s="133">
        <f t="shared" si="434"/>
        <v>0</v>
      </c>
      <c r="W968" s="133">
        <f>VLOOKUP(U968,Sheet1!$B$6:$C$45,2,FALSE)*V968</f>
        <v>0</v>
      </c>
      <c r="X968" s="141"/>
      <c r="Y968" s="135" t="s">
        <v>477</v>
      </c>
      <c r="Z968" s="146">
        <f>VLOOKUP(Takeoffs!Y968,Sheet1!$B$6:$C$124,2,FALSE)</f>
        <v>180</v>
      </c>
      <c r="AA968" s="146">
        <f t="shared" si="435"/>
        <v>0</v>
      </c>
      <c r="AB968" s="143">
        <f t="shared" si="436"/>
        <v>0</v>
      </c>
      <c r="AC968" s="133">
        <f t="shared" si="441"/>
        <v>0</v>
      </c>
      <c r="AD968" s="142">
        <v>1</v>
      </c>
      <c r="AE968" s="141"/>
      <c r="AF968" s="121" t="s">
        <v>292</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hidden="1"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292</v>
      </c>
      <c r="V969" s="133">
        <f t="shared" si="434"/>
        <v>0</v>
      </c>
      <c r="W969" s="133">
        <f>VLOOKUP(U969,Sheet1!$B$6:$C$45,2,FALSE)*V969</f>
        <v>0</v>
      </c>
      <c r="X969" s="141"/>
      <c r="Y969" s="121" t="s">
        <v>292</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hidden="1" x14ac:dyDescent="0.8">
      <c r="A970" s="262">
        <f>ROW()</f>
        <v>970</v>
      </c>
      <c r="C970" s="208"/>
      <c r="D970" s="208"/>
      <c r="E970" s="208"/>
      <c r="F970" s="208"/>
      <c r="G970" s="208"/>
      <c r="H970" s="208"/>
      <c r="J970" s="114" t="str">
        <f t="shared" si="440"/>
        <v/>
      </c>
      <c r="K970" s="114" t="str">
        <f>IF(COUNTBLANK(R970)&gt;0,"",CONCATENATE(R970," for ",N957))</f>
        <v/>
      </c>
      <c r="N970" s="123" t="s">
        <v>125</v>
      </c>
      <c r="O970" s="66" t="s">
        <v>473</v>
      </c>
      <c r="P970" s="121"/>
      <c r="Q970" s="66"/>
      <c r="R970" s="121"/>
      <c r="S970" s="133">
        <f>M957</f>
        <v>0</v>
      </c>
      <c r="T970" s="120"/>
      <c r="U970" s="135" t="s">
        <v>232</v>
      </c>
      <c r="V970" s="133">
        <f t="shared" si="434"/>
        <v>0</v>
      </c>
      <c r="W970" s="133">
        <f>VLOOKUP(U970,Sheet1!$B$6:$C$45,2,FALSE)*V970</f>
        <v>0</v>
      </c>
      <c r="X970" s="141"/>
      <c r="Y970" s="122" t="s">
        <v>1344</v>
      </c>
      <c r="Z970" s="146">
        <f>VLOOKUP(Takeoffs!Y970,Sheet1!$B$6:$C$124,2,FALSE)</f>
        <v>109.25999999999999</v>
      </c>
      <c r="AA970" s="146">
        <f t="shared" si="435"/>
        <v>0</v>
      </c>
      <c r="AB970" s="143">
        <f t="shared" si="436"/>
        <v>0</v>
      </c>
      <c r="AC970" s="133">
        <f t="shared" si="441"/>
        <v>0</v>
      </c>
      <c r="AD970" s="142">
        <v>1</v>
      </c>
      <c r="AE970" s="141"/>
      <c r="AF970" s="121" t="s">
        <v>292</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hidden="1" x14ac:dyDescent="0.8">
      <c r="A971" s="262">
        <f>ROW()</f>
        <v>971</v>
      </c>
      <c r="C971" s="208"/>
      <c r="D971" s="208"/>
      <c r="E971" s="208"/>
      <c r="F971" s="208"/>
      <c r="G971" s="208"/>
      <c r="H971" s="208"/>
      <c r="J971" s="114" t="str">
        <f t="shared" si="440"/>
        <v/>
      </c>
      <c r="K971" s="114" t="str">
        <f>IF(COUNTBLANK(R971)&gt;0,"",CONCATENATE(R971," for ",N957))</f>
        <v/>
      </c>
      <c r="N971" s="123" t="s">
        <v>126</v>
      </c>
      <c r="O971" s="66" t="s">
        <v>470</v>
      </c>
      <c r="P971" s="121"/>
      <c r="Q971" s="66"/>
      <c r="R971" s="121"/>
      <c r="S971" s="133">
        <f>M957</f>
        <v>0</v>
      </c>
      <c r="T971" s="120"/>
      <c r="U971" s="121" t="s">
        <v>292</v>
      </c>
      <c r="V971" s="133">
        <f t="shared" si="434"/>
        <v>0</v>
      </c>
      <c r="W971" s="133">
        <f>VLOOKUP(U971,Sheet1!$B$6:$C$45,2,FALSE)*V971</f>
        <v>0</v>
      </c>
      <c r="X971" s="141"/>
      <c r="Y971" s="121" t="s">
        <v>292</v>
      </c>
      <c r="Z971" s="146">
        <f>VLOOKUP(Takeoffs!Y971,Sheet1!$B$6:$C$124,2,FALSE)</f>
        <v>0</v>
      </c>
      <c r="AA971" s="146">
        <f t="shared" si="435"/>
        <v>0</v>
      </c>
      <c r="AB971" s="143">
        <f t="shared" si="436"/>
        <v>0</v>
      </c>
      <c r="AC971" s="133">
        <f t="shared" si="441"/>
        <v>0</v>
      </c>
      <c r="AD971" s="142">
        <v>1</v>
      </c>
      <c r="AE971" s="141"/>
      <c r="AF971" s="121" t="s">
        <v>292</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hidden="1"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292</v>
      </c>
      <c r="V972" s="133">
        <f t="shared" si="434"/>
        <v>0</v>
      </c>
      <c r="W972" s="133">
        <f>VLOOKUP(U972,Sheet1!$B$6:$C$45,2,FALSE)*V972</f>
        <v>0</v>
      </c>
      <c r="X972" s="141"/>
      <c r="Y972" s="121" t="s">
        <v>292</v>
      </c>
      <c r="Z972" s="146">
        <f>VLOOKUP(Takeoffs!Y972,Sheet1!$B$6:$C$124,2,FALSE)</f>
        <v>0</v>
      </c>
      <c r="AA972" s="146">
        <f t="shared" si="435"/>
        <v>0</v>
      </c>
      <c r="AB972" s="143">
        <f t="shared" si="436"/>
        <v>0</v>
      </c>
      <c r="AC972" s="133">
        <f t="shared" si="441"/>
        <v>0</v>
      </c>
      <c r="AD972" s="142">
        <v>1</v>
      </c>
      <c r="AE972" s="141"/>
      <c r="AF972" s="121" t="s">
        <v>292</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hidden="1" x14ac:dyDescent="0.8">
      <c r="A973" s="262">
        <f>ROW()</f>
        <v>973</v>
      </c>
      <c r="C973" s="208"/>
      <c r="D973" s="208"/>
      <c r="E973" s="208"/>
      <c r="F973" s="208"/>
      <c r="G973" s="208"/>
      <c r="H973" s="208"/>
      <c r="J973" s="114" t="str">
        <f t="shared" si="440"/>
        <v/>
      </c>
      <c r="K973" s="114" t="str">
        <f>IF(COUNTBLANK(R973)&gt;0,"",CONCATENATE(R973," for ",N957))</f>
        <v/>
      </c>
      <c r="N973" s="123" t="s">
        <v>128</v>
      </c>
      <c r="O973" s="66" t="s">
        <v>474</v>
      </c>
      <c r="P973" s="121"/>
      <c r="Q973" s="66"/>
      <c r="R973" s="121"/>
      <c r="S973" s="133">
        <f>M957</f>
        <v>0</v>
      </c>
      <c r="T973" s="120"/>
      <c r="U973" s="121" t="s">
        <v>292</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292</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hidden="1"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503</v>
      </c>
      <c r="P974" s="121" t="s">
        <v>471</v>
      </c>
      <c r="Q974" s="66" t="s">
        <v>472</v>
      </c>
      <c r="R974" s="121"/>
      <c r="S974" s="133">
        <f>M957</f>
        <v>0</v>
      </c>
      <c r="T974" s="120"/>
      <c r="U974" s="121" t="s">
        <v>292</v>
      </c>
      <c r="V974" s="133">
        <f t="shared" si="434"/>
        <v>0</v>
      </c>
      <c r="W974" s="133">
        <f>VLOOKUP(U974,Sheet1!$B$6:$C$45,2,FALSE)*V974</f>
        <v>0</v>
      </c>
      <c r="X974" s="141"/>
      <c r="Y974" s="121" t="s">
        <v>292</v>
      </c>
      <c r="Z974" s="146">
        <f>VLOOKUP(Takeoffs!Y974,Sheet1!$B$6:$C$124,2,FALSE)</f>
        <v>0</v>
      </c>
      <c r="AA974" s="146">
        <f t="shared" si="435"/>
        <v>0</v>
      </c>
      <c r="AB974" s="143">
        <f t="shared" si="436"/>
        <v>0</v>
      </c>
      <c r="AC974" s="133">
        <f t="shared" si="441"/>
        <v>0</v>
      </c>
      <c r="AD974" s="142">
        <v>1</v>
      </c>
      <c r="AE974" s="141"/>
      <c r="AF974" s="121" t="s">
        <v>292</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hidden="1"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292</v>
      </c>
      <c r="V975" s="133">
        <f t="shared" si="434"/>
        <v>0</v>
      </c>
      <c r="W975" s="133">
        <f>VLOOKUP(U975,Sheet1!$B$6:$C$45,2,FALSE)*V975</f>
        <v>0</v>
      </c>
      <c r="X975" s="141"/>
      <c r="Y975" s="121" t="s">
        <v>292</v>
      </c>
      <c r="Z975" s="146">
        <f>VLOOKUP(Takeoffs!Y975,Sheet1!$B$6:$C$124,2,FALSE)</f>
        <v>0</v>
      </c>
      <c r="AA975" s="146">
        <f t="shared" si="435"/>
        <v>0</v>
      </c>
      <c r="AB975" s="143">
        <f t="shared" si="436"/>
        <v>0</v>
      </c>
      <c r="AC975" s="133">
        <f t="shared" si="441"/>
        <v>0</v>
      </c>
      <c r="AD975" s="142">
        <v>1</v>
      </c>
      <c r="AE975" s="141"/>
      <c r="AF975" s="121" t="s">
        <v>292</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hidden="1"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412</v>
      </c>
      <c r="P976" s="121" t="s">
        <v>380</v>
      </c>
      <c r="Q976" s="66" t="s">
        <v>384</v>
      </c>
      <c r="R976" s="121"/>
      <c r="S976" s="133">
        <f>M957</f>
        <v>0</v>
      </c>
      <c r="T976" s="120"/>
      <c r="U976" s="121" t="s">
        <v>292</v>
      </c>
      <c r="V976" s="133">
        <f t="shared" si="434"/>
        <v>0</v>
      </c>
      <c r="W976" s="133">
        <f>VLOOKUP(U976,Sheet1!$B$6:$C$45,2,FALSE)*V976</f>
        <v>0</v>
      </c>
      <c r="X976" s="141"/>
      <c r="Y976" s="122" t="s">
        <v>322</v>
      </c>
      <c r="Z976" s="146">
        <f>VLOOKUP(Takeoffs!Y976,Sheet1!$B$6:$C$124,2,FALSE)</f>
        <v>48</v>
      </c>
      <c r="AA976" s="146">
        <f t="shared" si="435"/>
        <v>0</v>
      </c>
      <c r="AB976" s="143">
        <f t="shared" si="436"/>
        <v>0</v>
      </c>
      <c r="AC976" s="133">
        <f t="shared" si="441"/>
        <v>0</v>
      </c>
      <c r="AD976" s="142">
        <v>1</v>
      </c>
      <c r="AE976" s="141"/>
      <c r="AF976" s="121" t="s">
        <v>292</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hidden="1" x14ac:dyDescent="0.8">
      <c r="A977" s="262">
        <f>ROW()</f>
        <v>977</v>
      </c>
      <c r="C977" s="208"/>
      <c r="D977" s="208"/>
      <c r="E977" s="208"/>
      <c r="F977" s="208"/>
      <c r="G977" s="208"/>
      <c r="H977" s="208"/>
      <c r="J977" s="114" t="str">
        <f t="shared" si="440"/>
        <v/>
      </c>
      <c r="K977" s="114" t="str">
        <f>IF(COUNTBLANK(R977)&gt;0,"",CONCATENATE(R977," for ",N957))</f>
        <v/>
      </c>
      <c r="N977" s="123" t="s">
        <v>132</v>
      </c>
      <c r="O977" s="66" t="s">
        <v>408</v>
      </c>
      <c r="P977" s="121"/>
      <c r="Q977" s="66"/>
      <c r="R977" s="121"/>
      <c r="S977" s="133">
        <f>M957</f>
        <v>0</v>
      </c>
      <c r="T977" s="120"/>
      <c r="U977" s="121" t="s">
        <v>292</v>
      </c>
      <c r="V977" s="133">
        <f t="shared" si="434"/>
        <v>0</v>
      </c>
      <c r="W977" s="133">
        <f>VLOOKUP(U977,Sheet1!$B$6:$C$45,2,FALSE)*V977</f>
        <v>0</v>
      </c>
      <c r="X977" s="141"/>
      <c r="Y977" s="121" t="s">
        <v>292</v>
      </c>
      <c r="Z977" s="146">
        <f>VLOOKUP(Takeoffs!Y977,Sheet1!$B$6:$C$124,2,FALSE)</f>
        <v>0</v>
      </c>
      <c r="AA977" s="146">
        <f t="shared" si="435"/>
        <v>0</v>
      </c>
      <c r="AB977" s="143">
        <f t="shared" si="436"/>
        <v>0</v>
      </c>
      <c r="AC977" s="133">
        <f t="shared" si="441"/>
        <v>0</v>
      </c>
      <c r="AD977" s="142">
        <v>1</v>
      </c>
      <c r="AE977" s="141"/>
      <c r="AF977" s="121" t="s">
        <v>292</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377</v>
      </c>
      <c r="L978" s="128" t="s">
        <v>378</v>
      </c>
      <c r="N978" s="129"/>
      <c r="O978" s="130" t="s">
        <v>357</v>
      </c>
      <c r="P978" s="155">
        <f>V978+AA978+AH978</f>
        <v>0</v>
      </c>
      <c r="Q978" s="155"/>
      <c r="R978" s="131"/>
      <c r="S978" s="130"/>
      <c r="T978" s="127"/>
      <c r="U978" s="126" t="s">
        <v>351</v>
      </c>
      <c r="V978" s="127">
        <f>W978*80</f>
        <v>0</v>
      </c>
      <c r="W978" s="147">
        <f>SUM(W957:W977)</f>
        <v>0</v>
      </c>
      <c r="X978" s="148"/>
      <c r="Y978" s="127" t="s">
        <v>352</v>
      </c>
      <c r="Z978" s="116"/>
      <c r="AA978" s="116">
        <f>SUM(AA957:AA977)</f>
        <v>0</v>
      </c>
      <c r="AB978" s="149"/>
      <c r="AC978" s="149"/>
      <c r="AD978" s="149"/>
      <c r="AE978" s="149"/>
      <c r="AF978" s="127" t="s">
        <v>356</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hidden="1" thickBot="1" x14ac:dyDescent="1.25">
      <c r="A979" s="262">
        <f>ROW()</f>
        <v>979</v>
      </c>
      <c r="B979" s="234" t="s">
        <v>491</v>
      </c>
      <c r="C979" s="217" t="str">
        <f>N957</f>
        <v>Electric Duct Heater ( 3 phase with SSR's)</v>
      </c>
      <c r="D979" s="260" t="s">
        <v>678</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367</v>
      </c>
      <c r="N979" s="160" t="str">
        <f>N957</f>
        <v>Electric Duct Heater ( 3 phase with SSR's)</v>
      </c>
      <c r="O979" s="185" t="s">
        <v>365</v>
      </c>
      <c r="P979" s="203" t="e">
        <f>P978/M957</f>
        <v>#DIV/0!</v>
      </c>
      <c r="Q979" s="195"/>
      <c r="R979" s="188"/>
      <c r="S979" s="160"/>
      <c r="T979" s="161"/>
      <c r="U979" s="571" t="s">
        <v>366</v>
      </c>
      <c r="V979" s="571"/>
      <c r="W979" s="162" t="e">
        <f>W978/M957</f>
        <v>#DIV/0!</v>
      </c>
      <c r="X979" s="163"/>
      <c r="Y979" s="570" t="s">
        <v>365</v>
      </c>
      <c r="Z979" s="570"/>
      <c r="AA979" s="164" t="e">
        <f>AA978/M957</f>
        <v>#DIV/0!</v>
      </c>
      <c r="AB979" s="161"/>
      <c r="AC979" s="161"/>
      <c r="AD979" s="161"/>
      <c r="AE979" s="161"/>
      <c r="AF979" s="570" t="s">
        <v>365</v>
      </c>
      <c r="AG979" s="570"/>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452</v>
      </c>
      <c r="M980" s="116" t="s">
        <v>107</v>
      </c>
      <c r="N980" s="116" t="s">
        <v>108</v>
      </c>
      <c r="O980" s="170" t="s">
        <v>386</v>
      </c>
      <c r="P980" s="573" t="s">
        <v>375</v>
      </c>
      <c r="Q980" s="573"/>
      <c r="R980" s="101" t="s">
        <v>452</v>
      </c>
      <c r="S980" s="116" t="s">
        <v>0</v>
      </c>
      <c r="T980" s="118"/>
      <c r="U980" s="116" t="s">
        <v>287</v>
      </c>
      <c r="V980" s="116" t="s">
        <v>288</v>
      </c>
      <c r="W980" s="116" t="s">
        <v>291</v>
      </c>
      <c r="X980" s="140"/>
      <c r="Y980" s="116" t="s">
        <v>289</v>
      </c>
      <c r="Z980" s="116" t="s">
        <v>354</v>
      </c>
      <c r="AA980" s="116" t="s">
        <v>355</v>
      </c>
      <c r="AB980" s="116" t="s">
        <v>317</v>
      </c>
      <c r="AC980" s="116" t="s">
        <v>318</v>
      </c>
      <c r="AD980" s="116" t="s">
        <v>316</v>
      </c>
      <c r="AE980" s="140"/>
      <c r="AF980" s="116" t="s">
        <v>293</v>
      </c>
      <c r="AG980" s="116" t="s">
        <v>354</v>
      </c>
      <c r="AH980" s="116" t="s">
        <v>355</v>
      </c>
      <c r="AI980" s="116" t="s">
        <v>296</v>
      </c>
      <c r="AJ980" s="116" t="s">
        <v>294</v>
      </c>
      <c r="AK980" s="116" t="s">
        <v>295</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551</v>
      </c>
      <c r="O981" s="121" t="s">
        <v>347</v>
      </c>
      <c r="P981" s="169" t="s">
        <v>379</v>
      </c>
      <c r="Q981" s="169" t="s">
        <v>375</v>
      </c>
      <c r="R981" s="169"/>
      <c r="S981" s="133">
        <f>M981</f>
        <v>0</v>
      </c>
      <c r="T981" s="119"/>
      <c r="U981" s="153" t="s">
        <v>292</v>
      </c>
      <c r="V981" s="133">
        <f>S981</f>
        <v>0</v>
      </c>
      <c r="W981" s="133">
        <f>VLOOKUP(U981,Sheet1!$B$6:$C$45,2,FALSE)*V981</f>
        <v>0</v>
      </c>
      <c r="X981" s="141"/>
      <c r="Y981" s="121" t="s">
        <v>292</v>
      </c>
      <c r="Z981" s="146">
        <f>VLOOKUP(Takeoffs!Y981,Sheet1!$B$6:$C$124,2,FALSE)</f>
        <v>0</v>
      </c>
      <c r="AA981" s="146">
        <f>Z981*AB981</f>
        <v>0</v>
      </c>
      <c r="AB981" s="143">
        <f>AD981*AC981</f>
        <v>0</v>
      </c>
      <c r="AC981" s="133">
        <f>S981</f>
        <v>0</v>
      </c>
      <c r="AD981" s="142">
        <v>1</v>
      </c>
      <c r="AE981" s="141"/>
      <c r="AF981" s="121" t="s">
        <v>292</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411</v>
      </c>
      <c r="P982" s="121"/>
      <c r="Q982" s="121"/>
      <c r="R982" s="121"/>
      <c r="S982" s="133">
        <f>M981</f>
        <v>0</v>
      </c>
      <c r="T982" s="120"/>
      <c r="U982" s="121" t="s">
        <v>235</v>
      </c>
      <c r="V982" s="133">
        <f t="shared" ref="V982:V1001" si="448">S982</f>
        <v>0</v>
      </c>
      <c r="W982" s="133">
        <f>VLOOKUP(U982,Sheet1!$B$6:$C$45,2,FALSE)*V982</f>
        <v>0</v>
      </c>
      <c r="X982" s="141"/>
      <c r="Y982" s="121" t="s">
        <v>292</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292</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552</v>
      </c>
      <c r="P983" s="121"/>
      <c r="Q983" s="121"/>
      <c r="R983" s="121"/>
      <c r="S983" s="133">
        <f>M981*2</f>
        <v>0</v>
      </c>
      <c r="T983" s="120"/>
      <c r="U983" s="121" t="s">
        <v>292</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292</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553</v>
      </c>
      <c r="P984" s="121"/>
      <c r="Q984" s="121"/>
      <c r="R984" s="121"/>
      <c r="S984" s="133">
        <f>M981*2</f>
        <v>0</v>
      </c>
      <c r="T984" s="120"/>
      <c r="U984" s="117" t="s">
        <v>478</v>
      </c>
      <c r="V984" s="133">
        <f t="shared" si="448"/>
        <v>0</v>
      </c>
      <c r="W984" s="133">
        <f>VLOOKUP(U984,Sheet1!$B$6:$C$45,2,FALSE)*V984</f>
        <v>0</v>
      </c>
      <c r="X984" s="141"/>
      <c r="Y984" s="121" t="s">
        <v>292</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554</v>
      </c>
      <c r="P985" s="121"/>
      <c r="Q985" s="121"/>
      <c r="R985" s="121"/>
      <c r="S985" s="133">
        <f>M981*2</f>
        <v>0</v>
      </c>
      <c r="T985" s="120"/>
      <c r="U985" s="121" t="s">
        <v>292</v>
      </c>
      <c r="V985" s="133">
        <f t="shared" si="448"/>
        <v>0</v>
      </c>
      <c r="W985" s="133">
        <f>VLOOKUP(U985,Sheet1!$B$6:$C$45,2,FALSE)*V985</f>
        <v>0</v>
      </c>
      <c r="X985" s="141"/>
      <c r="Y985" s="135" t="s">
        <v>546</v>
      </c>
      <c r="Z985" s="146">
        <f>VLOOKUP(Takeoffs!Y985,Sheet1!$B$6:$C$124,2,FALSE)</f>
        <v>865.92</v>
      </c>
      <c r="AA985" s="146">
        <f t="shared" si="449"/>
        <v>0</v>
      </c>
      <c r="AB985" s="143">
        <f t="shared" si="450"/>
        <v>0</v>
      </c>
      <c r="AC985" s="133">
        <f t="shared" si="451"/>
        <v>0</v>
      </c>
      <c r="AD985" s="142">
        <v>1</v>
      </c>
      <c r="AE985" s="141"/>
      <c r="AF985" s="121" t="s">
        <v>292</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555</v>
      </c>
      <c r="P986" s="121"/>
      <c r="Q986" s="121"/>
      <c r="R986" s="121"/>
      <c r="S986" s="133">
        <f>M981*2</f>
        <v>0</v>
      </c>
      <c r="T986" s="120"/>
      <c r="U986" s="121" t="s">
        <v>292</v>
      </c>
      <c r="V986" s="133">
        <f t="shared" si="448"/>
        <v>0</v>
      </c>
      <c r="W986" s="133">
        <f>VLOOKUP(U986,Sheet1!$B$6:$C$45,2,FALSE)*V986</f>
        <v>0</v>
      </c>
      <c r="X986" s="141"/>
      <c r="Y986" s="121" t="s">
        <v>292</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556</v>
      </c>
      <c r="P987" s="121"/>
      <c r="Q987" s="121"/>
      <c r="R987" s="121"/>
      <c r="S987" s="133">
        <f>M981*2</f>
        <v>0</v>
      </c>
      <c r="T987" s="120"/>
      <c r="U987" s="121" t="s">
        <v>292</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292</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292</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292</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557</v>
      </c>
      <c r="P989" s="121"/>
      <c r="Q989" s="121"/>
      <c r="R989" s="121"/>
      <c r="S989" s="133">
        <f>M981*2</f>
        <v>0</v>
      </c>
      <c r="T989" s="120"/>
      <c r="U989" s="121" t="s">
        <v>292</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292</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307</v>
      </c>
      <c r="P990" s="121"/>
      <c r="Q990" s="121"/>
      <c r="R990" s="121"/>
      <c r="S990" s="133">
        <f>M981</f>
        <v>0</v>
      </c>
      <c r="T990" s="120"/>
      <c r="U990" s="121" t="s">
        <v>364</v>
      </c>
      <c r="V990" s="133">
        <f t="shared" si="448"/>
        <v>0</v>
      </c>
      <c r="W990" s="133">
        <f>VLOOKUP(U990,Sheet1!$B$6:$C$45,2,FALSE)*V990</f>
        <v>0</v>
      </c>
      <c r="X990" s="141"/>
      <c r="Y990" s="121" t="s">
        <v>292</v>
      </c>
      <c r="Z990" s="146">
        <f>VLOOKUP(Takeoffs!Y990,Sheet1!$B$6:$C$124,2,FALSE)</f>
        <v>0</v>
      </c>
      <c r="AA990" s="146">
        <f t="shared" si="449"/>
        <v>0</v>
      </c>
      <c r="AB990" s="143">
        <f t="shared" si="450"/>
        <v>0</v>
      </c>
      <c r="AC990" s="133">
        <f t="shared" si="451"/>
        <v>0</v>
      </c>
      <c r="AD990" s="142">
        <v>1</v>
      </c>
      <c r="AE990" s="141"/>
      <c r="AF990" s="121" t="s">
        <v>292</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292</v>
      </c>
      <c r="V991" s="133">
        <f t="shared" si="448"/>
        <v>0</v>
      </c>
      <c r="W991" s="133">
        <f>VLOOKUP(U991,Sheet1!$B$6:$C$45,2,FALSE)*V991</f>
        <v>0</v>
      </c>
      <c r="X991" s="141"/>
      <c r="Y991" s="121" t="s">
        <v>292</v>
      </c>
      <c r="Z991" s="146">
        <f>VLOOKUP(Takeoffs!Y991,Sheet1!$B$6:$C$124,2,FALSE)</f>
        <v>0</v>
      </c>
      <c r="AA991" s="146">
        <f t="shared" si="449"/>
        <v>0</v>
      </c>
      <c r="AB991" s="143">
        <f t="shared" si="450"/>
        <v>0</v>
      </c>
      <c r="AC991" s="133">
        <f t="shared" si="451"/>
        <v>0</v>
      </c>
      <c r="AD991" s="142">
        <v>1</v>
      </c>
      <c r="AE991" s="141"/>
      <c r="AF991" s="121" t="s">
        <v>292</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292</v>
      </c>
      <c r="V992" s="133">
        <f t="shared" si="448"/>
        <v>0</v>
      </c>
      <c r="W992" s="133">
        <f>VLOOKUP(U992,Sheet1!$B$6:$C$45,2,FALSE)*V992</f>
        <v>0</v>
      </c>
      <c r="X992" s="141"/>
      <c r="Y992" s="121" t="s">
        <v>292</v>
      </c>
      <c r="Z992" s="146">
        <f>VLOOKUP(Takeoffs!Y992,Sheet1!$B$6:$C$124,2,FALSE)</f>
        <v>0</v>
      </c>
      <c r="AA992" s="146">
        <f t="shared" si="449"/>
        <v>0</v>
      </c>
      <c r="AB992" s="143">
        <f t="shared" si="450"/>
        <v>0</v>
      </c>
      <c r="AC992" s="133">
        <f t="shared" si="451"/>
        <v>0</v>
      </c>
      <c r="AD992" s="142">
        <v>1</v>
      </c>
      <c r="AE992" s="141"/>
      <c r="AF992" s="121" t="s">
        <v>292</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363</v>
      </c>
      <c r="V993" s="133">
        <f t="shared" si="448"/>
        <v>0</v>
      </c>
      <c r="W993" s="133">
        <f>VLOOKUP(U993,Sheet1!$B$6:$C$45,2,FALSE)*V993</f>
        <v>0</v>
      </c>
      <c r="X993" s="141"/>
      <c r="Y993" s="121" t="s">
        <v>292</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312</v>
      </c>
      <c r="P994" s="121"/>
      <c r="Q994" s="121"/>
      <c r="R994" s="121"/>
      <c r="S994" s="133">
        <f>M981*2</f>
        <v>0</v>
      </c>
      <c r="T994" s="120"/>
      <c r="U994" s="121" t="s">
        <v>232</v>
      </c>
      <c r="V994" s="133">
        <f t="shared" si="448"/>
        <v>0</v>
      </c>
      <c r="W994" s="133">
        <f>VLOOKUP(U994,Sheet1!$B$6:$C$45,2,FALSE)*V994</f>
        <v>0</v>
      </c>
      <c r="X994" s="141"/>
      <c r="Y994" s="122" t="s">
        <v>1344</v>
      </c>
      <c r="Z994" s="146">
        <f>VLOOKUP(Takeoffs!Y994,Sheet1!$B$6:$C$124,2,FALSE)</f>
        <v>109.25999999999999</v>
      </c>
      <c r="AA994" s="146">
        <f t="shared" si="449"/>
        <v>0</v>
      </c>
      <c r="AB994" s="143">
        <f t="shared" si="450"/>
        <v>0</v>
      </c>
      <c r="AC994" s="133">
        <f t="shared" si="451"/>
        <v>0</v>
      </c>
      <c r="AD994" s="142">
        <v>1</v>
      </c>
      <c r="AE994" s="141"/>
      <c r="AF994" s="121" t="s">
        <v>292</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313</v>
      </c>
      <c r="P995" s="121"/>
      <c r="Q995" s="121"/>
      <c r="R995" s="121"/>
      <c r="S995" s="133">
        <f>M981</f>
        <v>0</v>
      </c>
      <c r="T995" s="120"/>
      <c r="U995" s="121" t="s">
        <v>363</v>
      </c>
      <c r="V995" s="133">
        <f t="shared" si="448"/>
        <v>0</v>
      </c>
      <c r="W995" s="133">
        <f>VLOOKUP(U995,Sheet1!$B$6:$C$45,2,FALSE)*V995</f>
        <v>0</v>
      </c>
      <c r="X995" s="141"/>
      <c r="Y995" s="122" t="s">
        <v>321</v>
      </c>
      <c r="Z995" s="146">
        <f>VLOOKUP(Takeoffs!Y995,Sheet1!$B$6:$C$124,2,FALSE)</f>
        <v>60</v>
      </c>
      <c r="AA995" s="146">
        <f t="shared" si="449"/>
        <v>0</v>
      </c>
      <c r="AB995" s="143">
        <f t="shared" si="450"/>
        <v>0</v>
      </c>
      <c r="AC995" s="133">
        <f t="shared" si="451"/>
        <v>0</v>
      </c>
      <c r="AD995" s="142">
        <v>1</v>
      </c>
      <c r="AE995" s="141"/>
      <c r="AF995" s="121" t="s">
        <v>292</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314</v>
      </c>
      <c r="P996" s="121"/>
      <c r="Q996" s="121"/>
      <c r="R996" s="121" t="s">
        <v>455</v>
      </c>
      <c r="S996" s="133">
        <f>M981</f>
        <v>0</v>
      </c>
      <c r="T996" s="120"/>
      <c r="U996" s="121" t="s">
        <v>292</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292</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315</v>
      </c>
      <c r="P997" s="121"/>
      <c r="Q997" s="121"/>
      <c r="R997" s="121"/>
      <c r="S997" s="133">
        <f>M981</f>
        <v>0</v>
      </c>
      <c r="T997" s="120"/>
      <c r="U997" s="121" t="s">
        <v>292</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292</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329</v>
      </c>
      <c r="P998" s="121"/>
      <c r="Q998" s="121"/>
      <c r="R998" s="121" t="s">
        <v>304</v>
      </c>
      <c r="S998" s="133">
        <f>M981</f>
        <v>0</v>
      </c>
      <c r="T998" s="120"/>
      <c r="U998" s="121" t="s">
        <v>292</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292</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292</v>
      </c>
      <c r="V999" s="133">
        <f t="shared" si="448"/>
        <v>0</v>
      </c>
      <c r="W999" s="133">
        <f>VLOOKUP(U999,Sheet1!$B$6:$C$45,2,FALSE)*V999</f>
        <v>0</v>
      </c>
      <c r="X999" s="141"/>
      <c r="Y999" s="121" t="s">
        <v>292</v>
      </c>
      <c r="Z999" s="146">
        <f>VLOOKUP(Takeoffs!Y999,Sheet1!$B$6:$C$124,2,FALSE)</f>
        <v>0</v>
      </c>
      <c r="AA999" s="146">
        <f t="shared" si="449"/>
        <v>0</v>
      </c>
      <c r="AB999" s="143">
        <f t="shared" si="450"/>
        <v>0</v>
      </c>
      <c r="AC999" s="133">
        <f t="shared" si="451"/>
        <v>0</v>
      </c>
      <c r="AD999" s="142">
        <v>1</v>
      </c>
      <c r="AE999" s="141"/>
      <c r="AF999" s="121" t="s">
        <v>292</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412</v>
      </c>
      <c r="P1000" s="121" t="s">
        <v>380</v>
      </c>
      <c r="Q1000" s="121" t="s">
        <v>384</v>
      </c>
      <c r="R1000" s="121"/>
      <c r="S1000" s="133">
        <f>M981</f>
        <v>0</v>
      </c>
      <c r="T1000" s="120"/>
      <c r="U1000" s="121" t="s">
        <v>292</v>
      </c>
      <c r="V1000" s="133">
        <f t="shared" si="448"/>
        <v>0</v>
      </c>
      <c r="W1000" s="133">
        <f>VLOOKUP(U1000,Sheet1!$B$6:$C$45,2,FALSE)*V1000</f>
        <v>0</v>
      </c>
      <c r="X1000" s="141"/>
      <c r="Y1000" s="122" t="s">
        <v>322</v>
      </c>
      <c r="Z1000" s="146">
        <f>VLOOKUP(Takeoffs!Y1000,Sheet1!$B$6:$C$124,2,FALSE)</f>
        <v>48</v>
      </c>
      <c r="AA1000" s="146">
        <f t="shared" si="449"/>
        <v>0</v>
      </c>
      <c r="AB1000" s="143">
        <f t="shared" si="450"/>
        <v>0</v>
      </c>
      <c r="AC1000" s="133">
        <f t="shared" si="451"/>
        <v>0</v>
      </c>
      <c r="AD1000" s="142">
        <v>1</v>
      </c>
      <c r="AE1000" s="141"/>
      <c r="AF1000" s="121" t="s">
        <v>292</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408</v>
      </c>
      <c r="P1001" s="121"/>
      <c r="Q1001" s="121"/>
      <c r="R1001" s="121"/>
      <c r="S1001" s="133">
        <f>M981</f>
        <v>0</v>
      </c>
      <c r="T1001" s="120"/>
      <c r="U1001" s="121" t="s">
        <v>364</v>
      </c>
      <c r="V1001" s="133">
        <f t="shared" si="448"/>
        <v>0</v>
      </c>
      <c r="W1001" s="133">
        <f>VLOOKUP(U1001,Sheet1!$B$6:$C$45,2,FALSE)*V1001</f>
        <v>0</v>
      </c>
      <c r="X1001" s="141"/>
      <c r="Y1001" s="121" t="s">
        <v>292</v>
      </c>
      <c r="Z1001" s="146">
        <f>VLOOKUP(Takeoffs!Y1001,Sheet1!$B$6:$C$124,2,FALSE)</f>
        <v>0</v>
      </c>
      <c r="AA1001" s="146">
        <f t="shared" si="449"/>
        <v>0</v>
      </c>
      <c r="AB1001" s="143">
        <f t="shared" si="450"/>
        <v>0</v>
      </c>
      <c r="AC1001" s="133">
        <f t="shared" si="451"/>
        <v>0</v>
      </c>
      <c r="AD1001" s="142">
        <v>1</v>
      </c>
      <c r="AE1001" s="141"/>
      <c r="AF1001" s="121" t="s">
        <v>292</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377</v>
      </c>
      <c r="L1002" s="128" t="s">
        <v>378</v>
      </c>
      <c r="N1002" s="129"/>
      <c r="O1002" s="130" t="s">
        <v>357</v>
      </c>
      <c r="P1002" s="131">
        <f>V1002+AA1002+AH1002</f>
        <v>0</v>
      </c>
      <c r="Q1002" s="131"/>
      <c r="R1002" s="131"/>
      <c r="S1002" s="130"/>
      <c r="T1002" s="127"/>
      <c r="U1002" s="126" t="s">
        <v>351</v>
      </c>
      <c r="V1002" s="127">
        <f>W1002*80</f>
        <v>0</v>
      </c>
      <c r="W1002" s="147">
        <f>SUM(W981:W1001)</f>
        <v>0</v>
      </c>
      <c r="X1002" s="148"/>
      <c r="Y1002" s="127" t="s">
        <v>352</v>
      </c>
      <c r="Z1002" s="116"/>
      <c r="AA1002" s="116">
        <f>SUM(AA981:AA1001)</f>
        <v>0</v>
      </c>
      <c r="AB1002" s="149"/>
      <c r="AC1002" s="149"/>
      <c r="AD1002" s="149"/>
      <c r="AE1002" s="149"/>
      <c r="AF1002" s="127" t="s">
        <v>356</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hidden="1" x14ac:dyDescent="0.8">
      <c r="A1003" s="262">
        <f>ROW()</f>
        <v>1003</v>
      </c>
      <c r="B1003" s="234" t="s">
        <v>491</v>
      </c>
      <c r="C1003" s="217" t="str">
        <f>N981</f>
        <v>Chilled Water AHU with 2 x medium VSD ( Dual fan)</v>
      </c>
      <c r="D1003" s="260" t="s">
        <v>678</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367</v>
      </c>
      <c r="N1003" s="160" t="str">
        <f>N981</f>
        <v>Chilled Water AHU with 2 x medium VSD ( Dual fan)</v>
      </c>
      <c r="O1003" s="160" t="s">
        <v>365</v>
      </c>
      <c r="P1003" s="64" t="e">
        <f>P1002/M981</f>
        <v>#DIV/0!</v>
      </c>
      <c r="Q1003" s="161"/>
      <c r="R1003" s="161"/>
      <c r="S1003" s="160"/>
      <c r="T1003" s="161"/>
      <c r="U1003" s="571" t="s">
        <v>366</v>
      </c>
      <c r="V1003" s="571"/>
      <c r="W1003" s="162" t="e">
        <f>W1002/M981</f>
        <v>#DIV/0!</v>
      </c>
      <c r="X1003" s="163"/>
      <c r="Y1003" s="570" t="s">
        <v>365</v>
      </c>
      <c r="Z1003" s="570"/>
      <c r="AA1003" s="164" t="e">
        <f>AA1002/M981</f>
        <v>#DIV/0!</v>
      </c>
      <c r="AB1003" s="161"/>
      <c r="AC1003" s="161"/>
      <c r="AD1003" s="161"/>
      <c r="AE1003" s="161"/>
      <c r="AF1003" s="570" t="s">
        <v>365</v>
      </c>
      <c r="AG1003" s="570"/>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452</v>
      </c>
      <c r="M1004" s="116" t="s">
        <v>107</v>
      </c>
      <c r="N1004" s="116" t="s">
        <v>108</v>
      </c>
      <c r="O1004" s="170" t="s">
        <v>386</v>
      </c>
      <c r="P1004" s="573" t="s">
        <v>375</v>
      </c>
      <c r="Q1004" s="573"/>
      <c r="R1004" s="101" t="s">
        <v>452</v>
      </c>
      <c r="S1004" s="116" t="s">
        <v>0</v>
      </c>
      <c r="T1004" s="118"/>
      <c r="U1004" s="116" t="s">
        <v>287</v>
      </c>
      <c r="V1004" s="116" t="s">
        <v>288</v>
      </c>
      <c r="W1004" s="116" t="s">
        <v>291</v>
      </c>
      <c r="X1004" s="140"/>
      <c r="Y1004" s="116" t="s">
        <v>289</v>
      </c>
      <c r="Z1004" s="116" t="s">
        <v>354</v>
      </c>
      <c r="AA1004" s="116" t="s">
        <v>355</v>
      </c>
      <c r="AB1004" s="116" t="s">
        <v>317</v>
      </c>
      <c r="AC1004" s="116" t="s">
        <v>318</v>
      </c>
      <c r="AD1004" s="116" t="s">
        <v>316</v>
      </c>
      <c r="AE1004" s="140"/>
      <c r="AF1004" s="116" t="s">
        <v>293</v>
      </c>
      <c r="AG1004" s="116" t="s">
        <v>354</v>
      </c>
      <c r="AH1004" s="116" t="s">
        <v>355</v>
      </c>
      <c r="AI1004" s="116" t="s">
        <v>296</v>
      </c>
      <c r="AJ1004" s="116" t="s">
        <v>294</v>
      </c>
      <c r="AK1004" s="116" t="s">
        <v>295</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550</v>
      </c>
      <c r="O1005" s="121" t="s">
        <v>347</v>
      </c>
      <c r="P1005" s="169" t="s">
        <v>379</v>
      </c>
      <c r="Q1005" s="169" t="s">
        <v>375</v>
      </c>
      <c r="R1005" s="169"/>
      <c r="S1005" s="133">
        <f>M1005</f>
        <v>0</v>
      </c>
      <c r="T1005" s="119"/>
      <c r="U1005" s="153" t="s">
        <v>292</v>
      </c>
      <c r="V1005" s="133">
        <f>S1005</f>
        <v>0</v>
      </c>
      <c r="W1005" s="133">
        <f>VLOOKUP(U1005,Sheet1!$B$6:$C$45,2,FALSE)*V1005</f>
        <v>0</v>
      </c>
      <c r="X1005" s="141"/>
      <c r="Y1005" s="121" t="s">
        <v>292</v>
      </c>
      <c r="Z1005" s="146">
        <f>VLOOKUP(Takeoffs!Y1005,Sheet1!$B$6:$C$124,2,FALSE)</f>
        <v>0</v>
      </c>
      <c r="AA1005" s="146">
        <f>Z1005*AB1005</f>
        <v>0</v>
      </c>
      <c r="AB1005" s="143">
        <f>AD1005*AC1005</f>
        <v>0</v>
      </c>
      <c r="AC1005" s="133">
        <f>S1005</f>
        <v>0</v>
      </c>
      <c r="AD1005" s="142">
        <v>1</v>
      </c>
      <c r="AE1005" s="141"/>
      <c r="AF1005" s="121" t="s">
        <v>292</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411</v>
      </c>
      <c r="P1006" s="121"/>
      <c r="Q1006" s="121"/>
      <c r="R1006" s="121"/>
      <c r="S1006" s="133">
        <f>M1005</f>
        <v>0</v>
      </c>
      <c r="T1006" s="120"/>
      <c r="U1006" s="121" t="s">
        <v>235</v>
      </c>
      <c r="V1006" s="133">
        <f t="shared" ref="V1006:V1025" si="458">S1006</f>
        <v>0</v>
      </c>
      <c r="W1006" s="133">
        <f>VLOOKUP(U1006,Sheet1!$B$6:$C$45,2,FALSE)*V1006</f>
        <v>0</v>
      </c>
      <c r="X1006" s="141"/>
      <c r="Y1006" s="121" t="s">
        <v>292</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292</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308</v>
      </c>
      <c r="P1007" s="121"/>
      <c r="Q1007" s="121"/>
      <c r="R1007" s="121"/>
      <c r="S1007" s="133">
        <f>M1005</f>
        <v>0</v>
      </c>
      <c r="T1007" s="120"/>
      <c r="U1007" s="121" t="s">
        <v>292</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292</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305</v>
      </c>
      <c r="P1008" s="121"/>
      <c r="Q1008" s="121"/>
      <c r="R1008" s="121"/>
      <c r="S1008" s="133">
        <f>M1005</f>
        <v>0</v>
      </c>
      <c r="T1008" s="120"/>
      <c r="U1008" s="117" t="s">
        <v>478</v>
      </c>
      <c r="V1008" s="133">
        <f t="shared" si="458"/>
        <v>0</v>
      </c>
      <c r="W1008" s="133">
        <f>VLOOKUP(U1008,Sheet1!$B$6:$C$45,2,FALSE)*V1008</f>
        <v>0</v>
      </c>
      <c r="X1008" s="141"/>
      <c r="Y1008" s="121" t="s">
        <v>292</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323</v>
      </c>
      <c r="P1009" s="121"/>
      <c r="Q1009" s="121"/>
      <c r="R1009" s="121"/>
      <c r="S1009" s="133">
        <f>M1005</f>
        <v>0</v>
      </c>
      <c r="T1009" s="120"/>
      <c r="U1009" s="121" t="s">
        <v>292</v>
      </c>
      <c r="V1009" s="133">
        <f t="shared" si="458"/>
        <v>0</v>
      </c>
      <c r="W1009" s="133">
        <f>VLOOKUP(U1009,Sheet1!$B$6:$C$45,2,FALSE)*V1009</f>
        <v>0</v>
      </c>
      <c r="X1009" s="141"/>
      <c r="Y1009" s="135" t="s">
        <v>546</v>
      </c>
      <c r="Z1009" s="146">
        <f>VLOOKUP(Takeoffs!Y1009,Sheet1!$B$6:$C$124,2,FALSE)</f>
        <v>865.92</v>
      </c>
      <c r="AA1009" s="146">
        <f t="shared" si="459"/>
        <v>0</v>
      </c>
      <c r="AB1009" s="143">
        <f t="shared" si="460"/>
        <v>0</v>
      </c>
      <c r="AC1009" s="133">
        <f t="shared" si="461"/>
        <v>0</v>
      </c>
      <c r="AD1009" s="142">
        <v>1</v>
      </c>
      <c r="AE1009" s="141"/>
      <c r="AF1009" s="121" t="s">
        <v>292</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390</v>
      </c>
      <c r="P1010" s="121"/>
      <c r="Q1010" s="121"/>
      <c r="R1010" s="121"/>
      <c r="S1010" s="133">
        <f>M1005</f>
        <v>0</v>
      </c>
      <c r="T1010" s="120"/>
      <c r="U1010" s="121" t="s">
        <v>292</v>
      </c>
      <c r="V1010" s="133">
        <f t="shared" si="458"/>
        <v>0</v>
      </c>
      <c r="W1010" s="133">
        <f>VLOOKUP(U1010,Sheet1!$B$6:$C$45,2,FALSE)*V1010</f>
        <v>0</v>
      </c>
      <c r="X1010" s="141"/>
      <c r="Y1010" s="121" t="s">
        <v>292</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309</v>
      </c>
      <c r="P1011" s="121"/>
      <c r="Q1011" s="121"/>
      <c r="R1011" s="121"/>
      <c r="S1011" s="133">
        <f>M1005</f>
        <v>0</v>
      </c>
      <c r="T1011" s="120"/>
      <c r="U1011" s="121" t="s">
        <v>292</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292</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292</v>
      </c>
      <c r="V1012" s="133">
        <f t="shared" si="458"/>
        <v>0</v>
      </c>
      <c r="W1012" s="133">
        <f>VLOOKUP(U1012,Sheet1!$B$6:$C$45,2,FALSE)*V1012</f>
        <v>0</v>
      </c>
      <c r="X1012" s="141"/>
      <c r="Y1012" s="121" t="s">
        <v>292</v>
      </c>
      <c r="Z1012" s="146">
        <f>VLOOKUP(Takeoffs!Y1012,Sheet1!$B$6:$C$124,2,FALSE)</f>
        <v>0</v>
      </c>
      <c r="AA1012" s="146">
        <f t="shared" si="459"/>
        <v>0</v>
      </c>
      <c r="AB1012" s="143">
        <f t="shared" si="460"/>
        <v>0</v>
      </c>
      <c r="AC1012" s="133">
        <f t="shared" si="461"/>
        <v>0</v>
      </c>
      <c r="AD1012" s="142">
        <v>1</v>
      </c>
      <c r="AE1012" s="141"/>
      <c r="AF1012" s="121" t="s">
        <v>292</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306</v>
      </c>
      <c r="P1013" s="121"/>
      <c r="Q1013" s="121"/>
      <c r="R1013" s="121"/>
      <c r="S1013" s="133">
        <f>M1005</f>
        <v>0</v>
      </c>
      <c r="T1013" s="120"/>
      <c r="U1013" s="121" t="s">
        <v>292</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292</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307</v>
      </c>
      <c r="P1014" s="121"/>
      <c r="Q1014" s="121"/>
      <c r="R1014" s="121"/>
      <c r="S1014" s="133">
        <f>M1005</f>
        <v>0</v>
      </c>
      <c r="T1014" s="120"/>
      <c r="U1014" s="121" t="s">
        <v>364</v>
      </c>
      <c r="V1014" s="133">
        <f t="shared" si="458"/>
        <v>0</v>
      </c>
      <c r="W1014" s="133">
        <f>VLOOKUP(U1014,Sheet1!$B$6:$C$45,2,FALSE)*V1014</f>
        <v>0</v>
      </c>
      <c r="X1014" s="141"/>
      <c r="Y1014" s="121" t="s">
        <v>292</v>
      </c>
      <c r="Z1014" s="146">
        <f>VLOOKUP(Takeoffs!Y1014,Sheet1!$B$6:$C$124,2,FALSE)</f>
        <v>0</v>
      </c>
      <c r="AA1014" s="146">
        <f t="shared" si="459"/>
        <v>0</v>
      </c>
      <c r="AB1014" s="143">
        <f t="shared" si="460"/>
        <v>0</v>
      </c>
      <c r="AC1014" s="133">
        <f t="shared" si="461"/>
        <v>0</v>
      </c>
      <c r="AD1014" s="142">
        <v>1</v>
      </c>
      <c r="AE1014" s="141"/>
      <c r="AF1014" s="121" t="s">
        <v>292</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292</v>
      </c>
      <c r="V1015" s="133">
        <f t="shared" si="458"/>
        <v>0</v>
      </c>
      <c r="W1015" s="133">
        <f>VLOOKUP(U1015,Sheet1!$B$6:$C$45,2,FALSE)*V1015</f>
        <v>0</v>
      </c>
      <c r="X1015" s="141"/>
      <c r="Y1015" s="121" t="s">
        <v>292</v>
      </c>
      <c r="Z1015" s="146">
        <f>VLOOKUP(Takeoffs!Y1015,Sheet1!$B$6:$C$124,2,FALSE)</f>
        <v>0</v>
      </c>
      <c r="AA1015" s="146">
        <f t="shared" si="459"/>
        <v>0</v>
      </c>
      <c r="AB1015" s="143">
        <f t="shared" si="460"/>
        <v>0</v>
      </c>
      <c r="AC1015" s="133">
        <f t="shared" si="461"/>
        <v>0</v>
      </c>
      <c r="AD1015" s="142">
        <v>1</v>
      </c>
      <c r="AE1015" s="141"/>
      <c r="AF1015" s="121" t="s">
        <v>292</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292</v>
      </c>
      <c r="V1016" s="133">
        <f t="shared" si="458"/>
        <v>0</v>
      </c>
      <c r="W1016" s="133">
        <f>VLOOKUP(U1016,Sheet1!$B$6:$C$45,2,FALSE)*V1016</f>
        <v>0</v>
      </c>
      <c r="X1016" s="141"/>
      <c r="Y1016" s="121" t="s">
        <v>292</v>
      </c>
      <c r="Z1016" s="146">
        <f>VLOOKUP(Takeoffs!Y1016,Sheet1!$B$6:$C$124,2,FALSE)</f>
        <v>0</v>
      </c>
      <c r="AA1016" s="146">
        <f t="shared" si="459"/>
        <v>0</v>
      </c>
      <c r="AB1016" s="143">
        <f t="shared" si="460"/>
        <v>0</v>
      </c>
      <c r="AC1016" s="133">
        <f t="shared" si="461"/>
        <v>0</v>
      </c>
      <c r="AD1016" s="142">
        <v>1</v>
      </c>
      <c r="AE1016" s="141"/>
      <c r="AF1016" s="121" t="s">
        <v>292</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363</v>
      </c>
      <c r="V1017" s="133">
        <f t="shared" si="458"/>
        <v>0</v>
      </c>
      <c r="W1017" s="133">
        <f>VLOOKUP(U1017,Sheet1!$B$6:$C$45,2,FALSE)*V1017</f>
        <v>0</v>
      </c>
      <c r="X1017" s="141"/>
      <c r="Y1017" s="121" t="s">
        <v>292</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312</v>
      </c>
      <c r="P1018" s="121"/>
      <c r="Q1018" s="121"/>
      <c r="R1018" s="121"/>
      <c r="S1018" s="133">
        <f>M1005</f>
        <v>0</v>
      </c>
      <c r="T1018" s="120"/>
      <c r="U1018" s="121" t="s">
        <v>232</v>
      </c>
      <c r="V1018" s="133">
        <f t="shared" si="458"/>
        <v>0</v>
      </c>
      <c r="W1018" s="133">
        <f>VLOOKUP(U1018,Sheet1!$B$6:$C$45,2,FALSE)*V1018</f>
        <v>0</v>
      </c>
      <c r="X1018" s="141"/>
      <c r="Y1018" s="122" t="s">
        <v>1344</v>
      </c>
      <c r="Z1018" s="146">
        <f>VLOOKUP(Takeoffs!Y1018,Sheet1!$B$6:$C$124,2,FALSE)</f>
        <v>109.25999999999999</v>
      </c>
      <c r="AA1018" s="146">
        <f t="shared" si="459"/>
        <v>0</v>
      </c>
      <c r="AB1018" s="143">
        <f t="shared" si="460"/>
        <v>0</v>
      </c>
      <c r="AC1018" s="133">
        <f t="shared" si="461"/>
        <v>0</v>
      </c>
      <c r="AD1018" s="142">
        <v>1</v>
      </c>
      <c r="AE1018" s="141"/>
      <c r="AF1018" s="121" t="s">
        <v>292</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313</v>
      </c>
      <c r="P1019" s="121"/>
      <c r="Q1019" s="121"/>
      <c r="R1019" s="121"/>
      <c r="S1019" s="133">
        <f>M1005</f>
        <v>0</v>
      </c>
      <c r="T1019" s="120"/>
      <c r="U1019" s="121" t="s">
        <v>363</v>
      </c>
      <c r="V1019" s="133">
        <f t="shared" si="458"/>
        <v>0</v>
      </c>
      <c r="W1019" s="133">
        <f>VLOOKUP(U1019,Sheet1!$B$6:$C$45,2,FALSE)*V1019</f>
        <v>0</v>
      </c>
      <c r="X1019" s="141"/>
      <c r="Y1019" s="122" t="s">
        <v>321</v>
      </c>
      <c r="Z1019" s="146">
        <f>VLOOKUP(Takeoffs!Y1019,Sheet1!$B$6:$C$124,2,FALSE)</f>
        <v>60</v>
      </c>
      <c r="AA1019" s="146">
        <f t="shared" si="459"/>
        <v>0</v>
      </c>
      <c r="AB1019" s="143">
        <f t="shared" si="460"/>
        <v>0</v>
      </c>
      <c r="AC1019" s="133">
        <f t="shared" si="461"/>
        <v>0</v>
      </c>
      <c r="AD1019" s="142">
        <v>1</v>
      </c>
      <c r="AE1019" s="141"/>
      <c r="AF1019" s="121" t="s">
        <v>292</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314</v>
      </c>
      <c r="P1020" s="121"/>
      <c r="Q1020" s="121"/>
      <c r="R1020" s="121" t="s">
        <v>455</v>
      </c>
      <c r="S1020" s="133">
        <f>M1005</f>
        <v>0</v>
      </c>
      <c r="T1020" s="120"/>
      <c r="U1020" s="121" t="s">
        <v>292</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292</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315</v>
      </c>
      <c r="P1021" s="121"/>
      <c r="Q1021" s="121"/>
      <c r="R1021" s="121"/>
      <c r="S1021" s="133">
        <f>M1005</f>
        <v>0</v>
      </c>
      <c r="T1021" s="120"/>
      <c r="U1021" s="121" t="s">
        <v>292</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292</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329</v>
      </c>
      <c r="P1022" s="121"/>
      <c r="Q1022" s="121"/>
      <c r="R1022" s="121" t="s">
        <v>304</v>
      </c>
      <c r="S1022" s="133">
        <f>M1005</f>
        <v>0</v>
      </c>
      <c r="T1022" s="120"/>
      <c r="U1022" s="121" t="s">
        <v>292</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292</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292</v>
      </c>
      <c r="V1023" s="133">
        <f t="shared" si="458"/>
        <v>0</v>
      </c>
      <c r="W1023" s="133">
        <f>VLOOKUP(U1023,Sheet1!$B$6:$C$45,2,FALSE)*V1023</f>
        <v>0</v>
      </c>
      <c r="X1023" s="141"/>
      <c r="Y1023" s="121" t="s">
        <v>292</v>
      </c>
      <c r="Z1023" s="146">
        <f>VLOOKUP(Takeoffs!Y1023,Sheet1!$B$6:$C$124,2,FALSE)</f>
        <v>0</v>
      </c>
      <c r="AA1023" s="146">
        <f t="shared" si="459"/>
        <v>0</v>
      </c>
      <c r="AB1023" s="143">
        <f t="shared" si="460"/>
        <v>0</v>
      </c>
      <c r="AC1023" s="133">
        <f t="shared" si="461"/>
        <v>0</v>
      </c>
      <c r="AD1023" s="142">
        <v>1</v>
      </c>
      <c r="AE1023" s="141"/>
      <c r="AF1023" s="121" t="s">
        <v>292</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412</v>
      </c>
      <c r="P1024" s="121" t="s">
        <v>380</v>
      </c>
      <c r="Q1024" s="121" t="s">
        <v>384</v>
      </c>
      <c r="R1024" s="121"/>
      <c r="S1024" s="133">
        <f>M1005</f>
        <v>0</v>
      </c>
      <c r="T1024" s="120"/>
      <c r="U1024" s="121" t="s">
        <v>292</v>
      </c>
      <c r="V1024" s="133">
        <f t="shared" si="458"/>
        <v>0</v>
      </c>
      <c r="W1024" s="133">
        <f>VLOOKUP(U1024,Sheet1!$B$6:$C$45,2,FALSE)*V1024</f>
        <v>0</v>
      </c>
      <c r="X1024" s="141"/>
      <c r="Y1024" s="122" t="s">
        <v>322</v>
      </c>
      <c r="Z1024" s="146">
        <f>VLOOKUP(Takeoffs!Y1024,Sheet1!$B$6:$C$124,2,FALSE)</f>
        <v>48</v>
      </c>
      <c r="AA1024" s="146">
        <f t="shared" si="459"/>
        <v>0</v>
      </c>
      <c r="AB1024" s="143">
        <f t="shared" si="460"/>
        <v>0</v>
      </c>
      <c r="AC1024" s="133">
        <f t="shared" si="461"/>
        <v>0</v>
      </c>
      <c r="AD1024" s="142">
        <v>1</v>
      </c>
      <c r="AE1024" s="141"/>
      <c r="AF1024" s="121" t="s">
        <v>292</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408</v>
      </c>
      <c r="P1025" s="121"/>
      <c r="Q1025" s="121"/>
      <c r="R1025" s="121"/>
      <c r="S1025" s="133">
        <f>M1005</f>
        <v>0</v>
      </c>
      <c r="T1025" s="120"/>
      <c r="U1025" s="121" t="s">
        <v>364</v>
      </c>
      <c r="V1025" s="133">
        <f t="shared" si="458"/>
        <v>0</v>
      </c>
      <c r="W1025" s="133">
        <f>VLOOKUP(U1025,Sheet1!$B$6:$C$45,2,FALSE)*V1025</f>
        <v>0</v>
      </c>
      <c r="X1025" s="141"/>
      <c r="Y1025" s="121" t="s">
        <v>292</v>
      </c>
      <c r="Z1025" s="146">
        <f>VLOOKUP(Takeoffs!Y1025,Sheet1!$B$6:$C$124,2,FALSE)</f>
        <v>0</v>
      </c>
      <c r="AA1025" s="146">
        <f t="shared" si="459"/>
        <v>0</v>
      </c>
      <c r="AB1025" s="143">
        <f t="shared" si="460"/>
        <v>0</v>
      </c>
      <c r="AC1025" s="133">
        <f t="shared" si="461"/>
        <v>0</v>
      </c>
      <c r="AD1025" s="142">
        <v>1</v>
      </c>
      <c r="AE1025" s="141"/>
      <c r="AF1025" s="121" t="s">
        <v>292</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377</v>
      </c>
      <c r="L1026" s="128" t="s">
        <v>378</v>
      </c>
      <c r="N1026" s="129"/>
      <c r="O1026" s="130" t="s">
        <v>357</v>
      </c>
      <c r="P1026" s="131">
        <f>V1026+AA1026+AH1026</f>
        <v>0</v>
      </c>
      <c r="Q1026" s="131"/>
      <c r="R1026" s="131"/>
      <c r="S1026" s="130"/>
      <c r="T1026" s="127"/>
      <c r="U1026" s="126" t="s">
        <v>351</v>
      </c>
      <c r="V1026" s="127">
        <f>W1026*80</f>
        <v>0</v>
      </c>
      <c r="W1026" s="147">
        <f>SUM(W1005:W1025)</f>
        <v>0</v>
      </c>
      <c r="X1026" s="148"/>
      <c r="Y1026" s="127" t="s">
        <v>352</v>
      </c>
      <c r="Z1026" s="116"/>
      <c r="AA1026" s="116">
        <f>SUM(AA1005:AA1025)</f>
        <v>0</v>
      </c>
      <c r="AB1026" s="149"/>
      <c r="AC1026" s="149"/>
      <c r="AD1026" s="149"/>
      <c r="AE1026" s="149"/>
      <c r="AF1026" s="127" t="s">
        <v>356</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hidden="1" x14ac:dyDescent="0.8">
      <c r="A1027" s="262">
        <f>ROW()</f>
        <v>1027</v>
      </c>
      <c r="B1027" s="234" t="s">
        <v>491</v>
      </c>
      <c r="C1027" s="217" t="str">
        <f>N1005</f>
        <v>Chilled Water AHU with medium VSD</v>
      </c>
      <c r="D1027" s="260" t="s">
        <v>678</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367</v>
      </c>
      <c r="N1027" s="160" t="str">
        <f>N1005</f>
        <v>Chilled Water AHU with medium VSD</v>
      </c>
      <c r="O1027" s="160" t="s">
        <v>365</v>
      </c>
      <c r="P1027" s="64" t="e">
        <f>P1026/M1005</f>
        <v>#DIV/0!</v>
      </c>
      <c r="Q1027" s="161"/>
      <c r="R1027" s="161"/>
      <c r="S1027" s="160"/>
      <c r="T1027" s="161"/>
      <c r="U1027" s="571" t="s">
        <v>366</v>
      </c>
      <c r="V1027" s="571"/>
      <c r="W1027" s="162" t="e">
        <f>W1026/M1005</f>
        <v>#DIV/0!</v>
      </c>
      <c r="X1027" s="163"/>
      <c r="Y1027" s="570" t="s">
        <v>365</v>
      </c>
      <c r="Z1027" s="570"/>
      <c r="AA1027" s="164" t="e">
        <f>AA1026/M1005</f>
        <v>#DIV/0!</v>
      </c>
      <c r="AB1027" s="161"/>
      <c r="AC1027" s="161"/>
      <c r="AD1027" s="161"/>
      <c r="AE1027" s="161"/>
      <c r="AF1027" s="570" t="s">
        <v>365</v>
      </c>
      <c r="AG1027" s="570"/>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452</v>
      </c>
      <c r="M1028" s="116" t="s">
        <v>107</v>
      </c>
      <c r="N1028" s="116" t="s">
        <v>108</v>
      </c>
      <c r="O1028" s="170" t="s">
        <v>386</v>
      </c>
      <c r="P1028" s="573" t="s">
        <v>375</v>
      </c>
      <c r="Q1028" s="573"/>
      <c r="R1028" s="101" t="s">
        <v>452</v>
      </c>
      <c r="S1028" s="116" t="s">
        <v>0</v>
      </c>
      <c r="T1028" s="118"/>
      <c r="U1028" s="116" t="s">
        <v>287</v>
      </c>
      <c r="V1028" s="116" t="s">
        <v>288</v>
      </c>
      <c r="W1028" s="116" t="s">
        <v>291</v>
      </c>
      <c r="X1028" s="140"/>
      <c r="Y1028" s="116" t="s">
        <v>289</v>
      </c>
      <c r="Z1028" s="116" t="s">
        <v>354</v>
      </c>
      <c r="AA1028" s="116" t="s">
        <v>355</v>
      </c>
      <c r="AB1028" s="116" t="s">
        <v>317</v>
      </c>
      <c r="AC1028" s="116" t="s">
        <v>318</v>
      </c>
      <c r="AD1028" s="116" t="s">
        <v>316</v>
      </c>
      <c r="AE1028" s="140"/>
      <c r="AF1028" s="116" t="s">
        <v>293</v>
      </c>
      <c r="AG1028" s="116" t="s">
        <v>354</v>
      </c>
      <c r="AH1028" s="116" t="s">
        <v>355</v>
      </c>
      <c r="AI1028" s="116" t="s">
        <v>296</v>
      </c>
      <c r="AJ1028" s="116" t="s">
        <v>294</v>
      </c>
      <c r="AK1028" s="116" t="s">
        <v>295</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581</v>
      </c>
      <c r="O1029" s="121" t="s">
        <v>347</v>
      </c>
      <c r="P1029" s="169" t="s">
        <v>379</v>
      </c>
      <c r="Q1029" s="169" t="s">
        <v>375</v>
      </c>
      <c r="R1029" s="169"/>
      <c r="S1029" s="133">
        <f>M1029</f>
        <v>0</v>
      </c>
      <c r="T1029" s="119"/>
      <c r="U1029" s="153" t="s">
        <v>292</v>
      </c>
      <c r="V1029" s="133">
        <f>S1029</f>
        <v>0</v>
      </c>
      <c r="W1029" s="133">
        <f>VLOOKUP(U1029,Sheet1!$B$6:$C$45,2,FALSE)*V1029</f>
        <v>0</v>
      </c>
      <c r="X1029" s="141"/>
      <c r="Y1029" s="121" t="s">
        <v>292</v>
      </c>
      <c r="Z1029" s="146">
        <f>VLOOKUP(Takeoffs!Y1029,Sheet1!$B$6:$C$124,2,FALSE)</f>
        <v>0</v>
      </c>
      <c r="AA1029" s="146">
        <f>Z1029*AB1029</f>
        <v>0</v>
      </c>
      <c r="AB1029" s="143">
        <f>AD1029*AC1029</f>
        <v>0</v>
      </c>
      <c r="AC1029" s="133">
        <f>S1029</f>
        <v>0</v>
      </c>
      <c r="AD1029" s="142">
        <v>1</v>
      </c>
      <c r="AE1029" s="141"/>
      <c r="AF1029" s="121" t="s">
        <v>292</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411</v>
      </c>
      <c r="P1030" s="121"/>
      <c r="Q1030" s="121"/>
      <c r="R1030" s="121"/>
      <c r="S1030" s="133">
        <f>M1029</f>
        <v>0</v>
      </c>
      <c r="T1030" s="120"/>
      <c r="U1030" s="121" t="s">
        <v>235</v>
      </c>
      <c r="V1030" s="133">
        <f t="shared" ref="V1030:V1049" si="468">S1030</f>
        <v>0</v>
      </c>
      <c r="W1030" s="133">
        <f>VLOOKUP(U1030,Sheet1!$B$6:$C$45,2,FALSE)*V1030</f>
        <v>0</v>
      </c>
      <c r="X1030" s="141"/>
      <c r="Y1030" s="121" t="s">
        <v>292</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292</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308</v>
      </c>
      <c r="P1031" s="121"/>
      <c r="Q1031" s="121"/>
      <c r="R1031" s="121"/>
      <c r="S1031" s="133">
        <f>M1029</f>
        <v>0</v>
      </c>
      <c r="T1031" s="120"/>
      <c r="U1031" s="121" t="s">
        <v>292</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292</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305</v>
      </c>
      <c r="P1032" s="121"/>
      <c r="Q1032" s="121"/>
      <c r="R1032" s="121"/>
      <c r="S1032" s="133">
        <f>M1029</f>
        <v>0</v>
      </c>
      <c r="T1032" s="120"/>
      <c r="U1032" s="117" t="s">
        <v>478</v>
      </c>
      <c r="V1032" s="133">
        <f t="shared" si="468"/>
        <v>0</v>
      </c>
      <c r="W1032" s="133">
        <f>VLOOKUP(U1032,Sheet1!$B$6:$C$45,2,FALSE)*V1032</f>
        <v>0</v>
      </c>
      <c r="X1032" s="141"/>
      <c r="Y1032" s="121" t="s">
        <v>292</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323</v>
      </c>
      <c r="P1033" s="121"/>
      <c r="Q1033" s="121"/>
      <c r="R1033" s="121"/>
      <c r="S1033" s="133">
        <f>M1029</f>
        <v>0</v>
      </c>
      <c r="T1033" s="120"/>
      <c r="U1033" s="121" t="s">
        <v>292</v>
      </c>
      <c r="V1033" s="133">
        <f t="shared" si="468"/>
        <v>0</v>
      </c>
      <c r="W1033" s="133">
        <f>VLOOKUP(U1033,Sheet1!$B$6:$C$45,2,FALSE)*V1033</f>
        <v>0</v>
      </c>
      <c r="X1033" s="141"/>
      <c r="Y1033" s="135" t="s">
        <v>490</v>
      </c>
      <c r="Z1033" s="146">
        <f>VLOOKUP(Takeoffs!Y1033,Sheet1!$B$6:$C$124,2,FALSE)</f>
        <v>1226.28</v>
      </c>
      <c r="AA1033" s="146">
        <f t="shared" si="469"/>
        <v>0</v>
      </c>
      <c r="AB1033" s="143">
        <f t="shared" si="470"/>
        <v>0</v>
      </c>
      <c r="AC1033" s="133">
        <f t="shared" si="471"/>
        <v>0</v>
      </c>
      <c r="AD1033" s="142">
        <v>1</v>
      </c>
      <c r="AE1033" s="141"/>
      <c r="AF1033" s="121" t="s">
        <v>292</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390</v>
      </c>
      <c r="P1034" s="121"/>
      <c r="Q1034" s="121"/>
      <c r="R1034" s="121"/>
      <c r="S1034" s="133">
        <f>M1029</f>
        <v>0</v>
      </c>
      <c r="T1034" s="120"/>
      <c r="U1034" s="121" t="s">
        <v>292</v>
      </c>
      <c r="V1034" s="133">
        <f t="shared" si="468"/>
        <v>0</v>
      </c>
      <c r="W1034" s="133">
        <f>VLOOKUP(U1034,Sheet1!$B$6:$C$45,2,FALSE)*V1034</f>
        <v>0</v>
      </c>
      <c r="X1034" s="141"/>
      <c r="Y1034" s="121" t="s">
        <v>292</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309</v>
      </c>
      <c r="P1035" s="121"/>
      <c r="Q1035" s="121"/>
      <c r="R1035" s="121"/>
      <c r="S1035" s="133">
        <f>M1029</f>
        <v>0</v>
      </c>
      <c r="T1035" s="120"/>
      <c r="U1035" s="121" t="s">
        <v>292</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292</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292</v>
      </c>
      <c r="V1036" s="133">
        <f t="shared" si="468"/>
        <v>0</v>
      </c>
      <c r="W1036" s="133">
        <f>VLOOKUP(U1036,Sheet1!$B$6:$C$45,2,FALSE)*V1036</f>
        <v>0</v>
      </c>
      <c r="X1036" s="141"/>
      <c r="Y1036" s="121" t="s">
        <v>292</v>
      </c>
      <c r="Z1036" s="146">
        <f>VLOOKUP(Takeoffs!Y1036,Sheet1!$B$6:$C$124,2,FALSE)</f>
        <v>0</v>
      </c>
      <c r="AA1036" s="146">
        <f t="shared" si="469"/>
        <v>0</v>
      </c>
      <c r="AB1036" s="143">
        <f t="shared" si="470"/>
        <v>0</v>
      </c>
      <c r="AC1036" s="133">
        <f t="shared" si="471"/>
        <v>0</v>
      </c>
      <c r="AD1036" s="142">
        <v>1</v>
      </c>
      <c r="AE1036" s="141"/>
      <c r="AF1036" s="121" t="s">
        <v>292</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306</v>
      </c>
      <c r="P1037" s="121"/>
      <c r="Q1037" s="121"/>
      <c r="R1037" s="121"/>
      <c r="S1037" s="133">
        <f>M1029</f>
        <v>0</v>
      </c>
      <c r="T1037" s="120"/>
      <c r="U1037" s="121" t="s">
        <v>292</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292</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307</v>
      </c>
      <c r="P1038" s="121"/>
      <c r="Q1038" s="121"/>
      <c r="R1038" s="121"/>
      <c r="S1038" s="133">
        <f>M1029</f>
        <v>0</v>
      </c>
      <c r="T1038" s="120"/>
      <c r="U1038" s="121" t="s">
        <v>364</v>
      </c>
      <c r="V1038" s="133">
        <f t="shared" si="468"/>
        <v>0</v>
      </c>
      <c r="W1038" s="133">
        <f>VLOOKUP(U1038,Sheet1!$B$6:$C$45,2,FALSE)*V1038</f>
        <v>0</v>
      </c>
      <c r="X1038" s="141"/>
      <c r="Y1038" s="121" t="s">
        <v>292</v>
      </c>
      <c r="Z1038" s="146">
        <f>VLOOKUP(Takeoffs!Y1038,Sheet1!$B$6:$C$124,2,FALSE)</f>
        <v>0</v>
      </c>
      <c r="AA1038" s="146">
        <f t="shared" si="469"/>
        <v>0</v>
      </c>
      <c r="AB1038" s="143">
        <f t="shared" si="470"/>
        <v>0</v>
      </c>
      <c r="AC1038" s="133">
        <f t="shared" si="471"/>
        <v>0</v>
      </c>
      <c r="AD1038" s="142">
        <v>1</v>
      </c>
      <c r="AE1038" s="141"/>
      <c r="AF1038" s="121" t="s">
        <v>292</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292</v>
      </c>
      <c r="V1039" s="133">
        <f t="shared" si="468"/>
        <v>0</v>
      </c>
      <c r="W1039" s="133">
        <f>VLOOKUP(U1039,Sheet1!$B$6:$C$45,2,FALSE)*V1039</f>
        <v>0</v>
      </c>
      <c r="X1039" s="141"/>
      <c r="Y1039" s="121" t="s">
        <v>292</v>
      </c>
      <c r="Z1039" s="146">
        <f>VLOOKUP(Takeoffs!Y1039,Sheet1!$B$6:$C$124,2,FALSE)</f>
        <v>0</v>
      </c>
      <c r="AA1039" s="146">
        <f t="shared" si="469"/>
        <v>0</v>
      </c>
      <c r="AB1039" s="143">
        <f t="shared" si="470"/>
        <v>0</v>
      </c>
      <c r="AC1039" s="133">
        <f t="shared" si="471"/>
        <v>0</v>
      </c>
      <c r="AD1039" s="142">
        <v>1</v>
      </c>
      <c r="AE1039" s="141"/>
      <c r="AF1039" s="121" t="s">
        <v>292</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292</v>
      </c>
      <c r="V1040" s="133">
        <f t="shared" si="468"/>
        <v>0</v>
      </c>
      <c r="W1040" s="133">
        <f>VLOOKUP(U1040,Sheet1!$B$6:$C$45,2,FALSE)*V1040</f>
        <v>0</v>
      </c>
      <c r="X1040" s="141"/>
      <c r="Y1040" s="121" t="s">
        <v>292</v>
      </c>
      <c r="Z1040" s="146">
        <f>VLOOKUP(Takeoffs!Y1040,Sheet1!$B$6:$C$124,2,FALSE)</f>
        <v>0</v>
      </c>
      <c r="AA1040" s="146">
        <f t="shared" si="469"/>
        <v>0</v>
      </c>
      <c r="AB1040" s="143">
        <f t="shared" si="470"/>
        <v>0</v>
      </c>
      <c r="AC1040" s="133">
        <f t="shared" si="471"/>
        <v>0</v>
      </c>
      <c r="AD1040" s="142">
        <v>1</v>
      </c>
      <c r="AE1040" s="141"/>
      <c r="AF1040" s="121" t="s">
        <v>292</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363</v>
      </c>
      <c r="V1041" s="133">
        <f t="shared" si="468"/>
        <v>0</v>
      </c>
      <c r="W1041" s="133">
        <f>VLOOKUP(U1041,Sheet1!$B$6:$C$45,2,FALSE)*V1041</f>
        <v>0</v>
      </c>
      <c r="X1041" s="141"/>
      <c r="Y1041" s="121" t="s">
        <v>292</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312</v>
      </c>
      <c r="P1042" s="121"/>
      <c r="Q1042" s="121"/>
      <c r="R1042" s="121"/>
      <c r="S1042" s="133">
        <f>M1029</f>
        <v>0</v>
      </c>
      <c r="T1042" s="120"/>
      <c r="U1042" s="121" t="s">
        <v>232</v>
      </c>
      <c r="V1042" s="133">
        <f t="shared" si="468"/>
        <v>0</v>
      </c>
      <c r="W1042" s="133">
        <f>VLOOKUP(U1042,Sheet1!$B$6:$C$45,2,FALSE)*V1042</f>
        <v>0</v>
      </c>
      <c r="X1042" s="141"/>
      <c r="Y1042" s="122" t="s">
        <v>1344</v>
      </c>
      <c r="Z1042" s="146">
        <f>VLOOKUP(Takeoffs!Y1042,Sheet1!$B$6:$C$124,2,FALSE)</f>
        <v>109.25999999999999</v>
      </c>
      <c r="AA1042" s="146">
        <f t="shared" si="469"/>
        <v>0</v>
      </c>
      <c r="AB1042" s="143">
        <f t="shared" si="470"/>
        <v>0</v>
      </c>
      <c r="AC1042" s="133">
        <f t="shared" si="471"/>
        <v>0</v>
      </c>
      <c r="AD1042" s="142">
        <v>1</v>
      </c>
      <c r="AE1042" s="141"/>
      <c r="AF1042" s="121" t="s">
        <v>292</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313</v>
      </c>
      <c r="P1043" s="121"/>
      <c r="Q1043" s="121"/>
      <c r="R1043" s="121"/>
      <c r="S1043" s="133">
        <f>M1029</f>
        <v>0</v>
      </c>
      <c r="T1043" s="120"/>
      <c r="U1043" s="121" t="s">
        <v>363</v>
      </c>
      <c r="V1043" s="133">
        <f t="shared" si="468"/>
        <v>0</v>
      </c>
      <c r="W1043" s="133">
        <f>VLOOKUP(U1043,Sheet1!$B$6:$C$45,2,FALSE)*V1043</f>
        <v>0</v>
      </c>
      <c r="X1043" s="141"/>
      <c r="Y1043" s="122" t="s">
        <v>321</v>
      </c>
      <c r="Z1043" s="146">
        <f>VLOOKUP(Takeoffs!Y1043,Sheet1!$B$6:$C$124,2,FALSE)</f>
        <v>60</v>
      </c>
      <c r="AA1043" s="146">
        <f t="shared" si="469"/>
        <v>0</v>
      </c>
      <c r="AB1043" s="143">
        <f t="shared" si="470"/>
        <v>0</v>
      </c>
      <c r="AC1043" s="133">
        <f t="shared" si="471"/>
        <v>0</v>
      </c>
      <c r="AD1043" s="142">
        <v>1</v>
      </c>
      <c r="AE1043" s="141"/>
      <c r="AF1043" s="121" t="s">
        <v>292</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314</v>
      </c>
      <c r="P1044" s="121"/>
      <c r="Q1044" s="121"/>
      <c r="R1044" s="121" t="s">
        <v>455</v>
      </c>
      <c r="S1044" s="133">
        <f>M1029</f>
        <v>0</v>
      </c>
      <c r="T1044" s="120"/>
      <c r="U1044" s="121" t="s">
        <v>292</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292</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315</v>
      </c>
      <c r="P1045" s="121"/>
      <c r="Q1045" s="121"/>
      <c r="R1045" s="121"/>
      <c r="S1045" s="133">
        <f>M1029</f>
        <v>0</v>
      </c>
      <c r="T1045" s="120"/>
      <c r="U1045" s="121" t="s">
        <v>292</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292</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329</v>
      </c>
      <c r="P1046" s="121"/>
      <c r="Q1046" s="121"/>
      <c r="R1046" s="121" t="s">
        <v>304</v>
      </c>
      <c r="S1046" s="133">
        <f>M1029</f>
        <v>0</v>
      </c>
      <c r="T1046" s="120"/>
      <c r="U1046" s="121" t="s">
        <v>292</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292</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292</v>
      </c>
      <c r="V1047" s="133">
        <f t="shared" si="468"/>
        <v>0</v>
      </c>
      <c r="W1047" s="133">
        <f>VLOOKUP(U1047,Sheet1!$B$6:$C$45,2,FALSE)*V1047</f>
        <v>0</v>
      </c>
      <c r="X1047" s="141"/>
      <c r="Y1047" s="121" t="s">
        <v>292</v>
      </c>
      <c r="Z1047" s="146">
        <f>VLOOKUP(Takeoffs!Y1047,Sheet1!$B$6:$C$124,2,FALSE)</f>
        <v>0</v>
      </c>
      <c r="AA1047" s="146">
        <f t="shared" si="469"/>
        <v>0</v>
      </c>
      <c r="AB1047" s="143">
        <f t="shared" si="470"/>
        <v>0</v>
      </c>
      <c r="AC1047" s="133">
        <f t="shared" si="471"/>
        <v>0</v>
      </c>
      <c r="AD1047" s="142">
        <v>1</v>
      </c>
      <c r="AE1047" s="141"/>
      <c r="AF1047" s="121" t="s">
        <v>292</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412</v>
      </c>
      <c r="P1048" s="121" t="s">
        <v>380</v>
      </c>
      <c r="Q1048" s="121" t="s">
        <v>384</v>
      </c>
      <c r="R1048" s="121"/>
      <c r="S1048" s="133">
        <f>M1029</f>
        <v>0</v>
      </c>
      <c r="T1048" s="120"/>
      <c r="U1048" s="121" t="s">
        <v>292</v>
      </c>
      <c r="V1048" s="133">
        <f t="shared" si="468"/>
        <v>0</v>
      </c>
      <c r="W1048" s="133">
        <f>VLOOKUP(U1048,Sheet1!$B$6:$C$45,2,FALSE)*V1048</f>
        <v>0</v>
      </c>
      <c r="X1048" s="141"/>
      <c r="Y1048" s="122" t="s">
        <v>322</v>
      </c>
      <c r="Z1048" s="146">
        <f>VLOOKUP(Takeoffs!Y1048,Sheet1!$B$6:$C$124,2,FALSE)</f>
        <v>48</v>
      </c>
      <c r="AA1048" s="146">
        <f t="shared" si="469"/>
        <v>0</v>
      </c>
      <c r="AB1048" s="143">
        <f t="shared" si="470"/>
        <v>0</v>
      </c>
      <c r="AC1048" s="133">
        <f t="shared" si="471"/>
        <v>0</v>
      </c>
      <c r="AD1048" s="142">
        <v>1</v>
      </c>
      <c r="AE1048" s="141"/>
      <c r="AF1048" s="121" t="s">
        <v>292</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408</v>
      </c>
      <c r="P1049" s="121"/>
      <c r="Q1049" s="121"/>
      <c r="R1049" s="121"/>
      <c r="S1049" s="133">
        <f>M1029</f>
        <v>0</v>
      </c>
      <c r="T1049" s="120"/>
      <c r="U1049" s="121" t="s">
        <v>364</v>
      </c>
      <c r="V1049" s="133">
        <f t="shared" si="468"/>
        <v>0</v>
      </c>
      <c r="W1049" s="133">
        <f>VLOOKUP(U1049,Sheet1!$B$6:$C$45,2,FALSE)*V1049</f>
        <v>0</v>
      </c>
      <c r="X1049" s="141"/>
      <c r="Y1049" s="121" t="s">
        <v>292</v>
      </c>
      <c r="Z1049" s="146">
        <f>VLOOKUP(Takeoffs!Y1049,Sheet1!$B$6:$C$124,2,FALSE)</f>
        <v>0</v>
      </c>
      <c r="AA1049" s="146">
        <f t="shared" si="469"/>
        <v>0</v>
      </c>
      <c r="AB1049" s="143">
        <f t="shared" si="470"/>
        <v>0</v>
      </c>
      <c r="AC1049" s="133">
        <f t="shared" si="471"/>
        <v>0</v>
      </c>
      <c r="AD1049" s="142">
        <v>1</v>
      </c>
      <c r="AE1049" s="141"/>
      <c r="AF1049" s="121" t="s">
        <v>292</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377</v>
      </c>
      <c r="L1050" s="128" t="s">
        <v>378</v>
      </c>
      <c r="N1050" s="129"/>
      <c r="O1050" s="130" t="s">
        <v>357</v>
      </c>
      <c r="P1050" s="131">
        <f>V1050+AA1050+AH1050</f>
        <v>0</v>
      </c>
      <c r="Q1050" s="131"/>
      <c r="R1050" s="131"/>
      <c r="S1050" s="130"/>
      <c r="T1050" s="127"/>
      <c r="U1050" s="126" t="s">
        <v>351</v>
      </c>
      <c r="V1050" s="127">
        <f>W1050*80</f>
        <v>0</v>
      </c>
      <c r="W1050" s="147">
        <f>SUM(W1029:W1049)</f>
        <v>0</v>
      </c>
      <c r="X1050" s="148"/>
      <c r="Y1050" s="127" t="s">
        <v>352</v>
      </c>
      <c r="Z1050" s="116"/>
      <c r="AA1050" s="116">
        <f>SUM(AA1029:AA1049)</f>
        <v>0</v>
      </c>
      <c r="AB1050" s="149"/>
      <c r="AC1050" s="149"/>
      <c r="AD1050" s="149"/>
      <c r="AE1050" s="149"/>
      <c r="AF1050" s="127" t="s">
        <v>356</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hidden="1" x14ac:dyDescent="0.8">
      <c r="A1051" s="262">
        <f>ROW()</f>
        <v>1051</v>
      </c>
      <c r="B1051" s="234" t="s">
        <v>491</v>
      </c>
      <c r="C1051" s="217" t="str">
        <f>N1029</f>
        <v>Chilled Water AHU with large VSD</v>
      </c>
      <c r="D1051" s="260" t="s">
        <v>678</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367</v>
      </c>
      <c r="N1051" s="160" t="str">
        <f>N1029</f>
        <v>Chilled Water AHU with large VSD</v>
      </c>
      <c r="O1051" s="160" t="s">
        <v>365</v>
      </c>
      <c r="P1051" s="64" t="e">
        <f>P1050/M1029</f>
        <v>#DIV/0!</v>
      </c>
      <c r="Q1051" s="161"/>
      <c r="R1051" s="161"/>
      <c r="S1051" s="160"/>
      <c r="T1051" s="161"/>
      <c r="U1051" s="571" t="s">
        <v>366</v>
      </c>
      <c r="V1051" s="571"/>
      <c r="W1051" s="162" t="e">
        <f>W1050/M1029</f>
        <v>#DIV/0!</v>
      </c>
      <c r="X1051" s="163"/>
      <c r="Y1051" s="570" t="s">
        <v>365</v>
      </c>
      <c r="Z1051" s="570"/>
      <c r="AA1051" s="164" t="e">
        <f>AA1050/M1029</f>
        <v>#DIV/0!</v>
      </c>
      <c r="AB1051" s="161"/>
      <c r="AC1051" s="161"/>
      <c r="AD1051" s="161"/>
      <c r="AE1051" s="161"/>
      <c r="AF1051" s="570" t="s">
        <v>365</v>
      </c>
      <c r="AG1051" s="570"/>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452</v>
      </c>
      <c r="M1052" s="116" t="s">
        <v>107</v>
      </c>
      <c r="N1052" s="116" t="s">
        <v>108</v>
      </c>
      <c r="O1052" s="170" t="s">
        <v>386</v>
      </c>
      <c r="P1052" s="573" t="s">
        <v>375</v>
      </c>
      <c r="Q1052" s="573"/>
      <c r="R1052" s="101" t="s">
        <v>452</v>
      </c>
      <c r="S1052" s="116" t="s">
        <v>0</v>
      </c>
      <c r="T1052" s="118"/>
      <c r="U1052" s="116" t="s">
        <v>287</v>
      </c>
      <c r="V1052" s="116" t="s">
        <v>288</v>
      </c>
      <c r="W1052" s="116" t="s">
        <v>291</v>
      </c>
      <c r="X1052" s="140"/>
      <c r="Y1052" s="116" t="s">
        <v>289</v>
      </c>
      <c r="Z1052" s="116" t="s">
        <v>354</v>
      </c>
      <c r="AA1052" s="116" t="s">
        <v>355</v>
      </c>
      <c r="AB1052" s="116" t="s">
        <v>317</v>
      </c>
      <c r="AC1052" s="116" t="s">
        <v>318</v>
      </c>
      <c r="AD1052" s="116" t="s">
        <v>316</v>
      </c>
      <c r="AE1052" s="140"/>
      <c r="AF1052" s="116" t="s">
        <v>293</v>
      </c>
      <c r="AG1052" s="116" t="s">
        <v>354</v>
      </c>
      <c r="AH1052" s="116" t="s">
        <v>355</v>
      </c>
      <c r="AI1052" s="116" t="s">
        <v>296</v>
      </c>
      <c r="AJ1052" s="116" t="s">
        <v>294</v>
      </c>
      <c r="AK1052" s="116" t="s">
        <v>295</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549</v>
      </c>
      <c r="O1053" s="121" t="s">
        <v>347</v>
      </c>
      <c r="P1053" s="169" t="s">
        <v>379</v>
      </c>
      <c r="Q1053" s="169" t="s">
        <v>375</v>
      </c>
      <c r="R1053" s="169"/>
      <c r="S1053" s="133">
        <f>M1053</f>
        <v>0</v>
      </c>
      <c r="T1053" s="119"/>
      <c r="U1053" s="153" t="s">
        <v>292</v>
      </c>
      <c r="V1053" s="133">
        <f>S1053</f>
        <v>0</v>
      </c>
      <c r="W1053" s="133">
        <f>VLOOKUP(U1053,Sheet1!$B$6:$C$45,2,FALSE)*V1053</f>
        <v>0</v>
      </c>
      <c r="X1053" s="141"/>
      <c r="Y1053" s="121" t="s">
        <v>292</v>
      </c>
      <c r="Z1053" s="146">
        <f>VLOOKUP(Takeoffs!Y1053,Sheet1!$B$6:$C$124,2,FALSE)</f>
        <v>0</v>
      </c>
      <c r="AA1053" s="146">
        <f>Z1053*AB1053</f>
        <v>0</v>
      </c>
      <c r="AB1053" s="143">
        <f>AD1053*AC1053</f>
        <v>0</v>
      </c>
      <c r="AC1053" s="133">
        <f>S1053</f>
        <v>0</v>
      </c>
      <c r="AD1053" s="142">
        <v>1</v>
      </c>
      <c r="AE1053" s="141"/>
      <c r="AF1053" s="121" t="s">
        <v>292</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411</v>
      </c>
      <c r="P1054" s="121"/>
      <c r="Q1054" s="121"/>
      <c r="R1054" s="121"/>
      <c r="S1054" s="133">
        <f>M1053</f>
        <v>0</v>
      </c>
      <c r="T1054" s="120"/>
      <c r="U1054" s="121" t="s">
        <v>235</v>
      </c>
      <c r="V1054" s="133">
        <f t="shared" ref="V1054:V1073" si="483">S1054</f>
        <v>0</v>
      </c>
      <c r="W1054" s="133">
        <f>VLOOKUP(U1054,Sheet1!$B$6:$C$45,2,FALSE)*V1054</f>
        <v>0</v>
      </c>
      <c r="X1054" s="141"/>
      <c r="Y1054" s="121" t="s">
        <v>292</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292</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308</v>
      </c>
      <c r="P1055" s="121"/>
      <c r="Q1055" s="121"/>
      <c r="R1055" s="121"/>
      <c r="S1055" s="133">
        <f>M1053</f>
        <v>0</v>
      </c>
      <c r="T1055" s="120"/>
      <c r="U1055" s="121" t="s">
        <v>292</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292</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305</v>
      </c>
      <c r="P1056" s="121"/>
      <c r="Q1056" s="121"/>
      <c r="R1056" s="121"/>
      <c r="S1056" s="133">
        <f>M1053</f>
        <v>0</v>
      </c>
      <c r="T1056" s="120"/>
      <c r="U1056" s="117" t="s">
        <v>478</v>
      </c>
      <c r="V1056" s="133">
        <f t="shared" si="483"/>
        <v>0</v>
      </c>
      <c r="W1056" s="133">
        <f>VLOOKUP(U1056,Sheet1!$B$6:$C$45,2,FALSE)*V1056</f>
        <v>0</v>
      </c>
      <c r="X1056" s="141"/>
      <c r="Y1056" s="121" t="s">
        <v>292</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323</v>
      </c>
      <c r="P1057" s="121"/>
      <c r="Q1057" s="121"/>
      <c r="R1057" s="121"/>
      <c r="S1057" s="133">
        <f>M1053</f>
        <v>0</v>
      </c>
      <c r="T1057" s="120"/>
      <c r="U1057" s="121" t="s">
        <v>292</v>
      </c>
      <c r="V1057" s="133">
        <f t="shared" si="483"/>
        <v>0</v>
      </c>
      <c r="W1057" s="133">
        <f>VLOOKUP(U1057,Sheet1!$B$6:$C$45,2,FALSE)*V1057</f>
        <v>0</v>
      </c>
      <c r="X1057" s="141"/>
      <c r="Y1057" s="135" t="s">
        <v>543</v>
      </c>
      <c r="Z1057" s="146">
        <f>VLOOKUP(Takeoffs!Y1057,Sheet1!$B$6:$C$124,2,FALSE)</f>
        <v>649.44000000000005</v>
      </c>
      <c r="AA1057" s="146">
        <f t="shared" si="484"/>
        <v>0</v>
      </c>
      <c r="AB1057" s="143">
        <f t="shared" si="485"/>
        <v>0</v>
      </c>
      <c r="AC1057" s="133">
        <f t="shared" si="486"/>
        <v>0</v>
      </c>
      <c r="AD1057" s="142">
        <v>1</v>
      </c>
      <c r="AE1057" s="141"/>
      <c r="AF1057" s="121" t="s">
        <v>292</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390</v>
      </c>
      <c r="P1058" s="121"/>
      <c r="Q1058" s="121"/>
      <c r="R1058" s="121"/>
      <c r="S1058" s="133">
        <f>M1053</f>
        <v>0</v>
      </c>
      <c r="T1058" s="120"/>
      <c r="U1058" s="121" t="s">
        <v>292</v>
      </c>
      <c r="V1058" s="133">
        <f t="shared" si="483"/>
        <v>0</v>
      </c>
      <c r="W1058" s="133">
        <f>VLOOKUP(U1058,Sheet1!$B$6:$C$45,2,FALSE)*V1058</f>
        <v>0</v>
      </c>
      <c r="X1058" s="141"/>
      <c r="Y1058" s="121" t="s">
        <v>292</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309</v>
      </c>
      <c r="P1059" s="121"/>
      <c r="Q1059" s="121"/>
      <c r="R1059" s="121"/>
      <c r="S1059" s="133">
        <f>M1053</f>
        <v>0</v>
      </c>
      <c r="T1059" s="120"/>
      <c r="U1059" s="121" t="s">
        <v>292</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292</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310</v>
      </c>
      <c r="P1060" s="121"/>
      <c r="Q1060" s="121"/>
      <c r="R1060" s="121"/>
      <c r="S1060" s="133">
        <f>M1053</f>
        <v>0</v>
      </c>
      <c r="T1060" s="120"/>
      <c r="U1060" s="121" t="s">
        <v>292</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292</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306</v>
      </c>
      <c r="P1061" s="121"/>
      <c r="Q1061" s="121"/>
      <c r="R1061" s="121"/>
      <c r="S1061" s="133">
        <f>M1053</f>
        <v>0</v>
      </c>
      <c r="T1061" s="120"/>
      <c r="U1061" s="121" t="s">
        <v>292</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292</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307</v>
      </c>
      <c r="P1062" s="121"/>
      <c r="Q1062" s="121"/>
      <c r="R1062" s="121"/>
      <c r="S1062" s="133">
        <f>M1053</f>
        <v>0</v>
      </c>
      <c r="T1062" s="120"/>
      <c r="U1062" s="121" t="s">
        <v>364</v>
      </c>
      <c r="V1062" s="133">
        <f t="shared" si="483"/>
        <v>0</v>
      </c>
      <c r="W1062" s="133">
        <f>VLOOKUP(U1062,Sheet1!$B$6:$C$45,2,FALSE)*V1062</f>
        <v>0</v>
      </c>
      <c r="X1062" s="141"/>
      <c r="Y1062" s="121" t="s">
        <v>292</v>
      </c>
      <c r="Z1062" s="146">
        <f>VLOOKUP(Takeoffs!Y1062,Sheet1!$B$6:$C$124,2,FALSE)</f>
        <v>0</v>
      </c>
      <c r="AA1062" s="146">
        <f t="shared" si="484"/>
        <v>0</v>
      </c>
      <c r="AB1062" s="143">
        <f t="shared" si="485"/>
        <v>0</v>
      </c>
      <c r="AC1062" s="133">
        <f t="shared" si="486"/>
        <v>0</v>
      </c>
      <c r="AD1062" s="142">
        <v>1</v>
      </c>
      <c r="AE1062" s="141"/>
      <c r="AF1062" s="121" t="s">
        <v>292</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292</v>
      </c>
      <c r="V1063" s="133">
        <f t="shared" si="483"/>
        <v>0</v>
      </c>
      <c r="W1063" s="133">
        <f>VLOOKUP(U1063,Sheet1!$B$6:$C$45,2,FALSE)*V1063</f>
        <v>0</v>
      </c>
      <c r="X1063" s="141"/>
      <c r="Y1063" s="121" t="s">
        <v>292</v>
      </c>
      <c r="Z1063" s="146">
        <f>VLOOKUP(Takeoffs!Y1063,Sheet1!$B$6:$C$124,2,FALSE)</f>
        <v>0</v>
      </c>
      <c r="AA1063" s="146">
        <f t="shared" si="484"/>
        <v>0</v>
      </c>
      <c r="AB1063" s="143">
        <f t="shared" si="485"/>
        <v>0</v>
      </c>
      <c r="AC1063" s="133">
        <f t="shared" si="486"/>
        <v>0</v>
      </c>
      <c r="AD1063" s="142">
        <v>1</v>
      </c>
      <c r="AE1063" s="141"/>
      <c r="AF1063" s="121" t="s">
        <v>292</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292</v>
      </c>
      <c r="V1064" s="133">
        <f t="shared" si="483"/>
        <v>0</v>
      </c>
      <c r="W1064" s="133">
        <f>VLOOKUP(U1064,Sheet1!$B$6:$C$45,2,FALSE)*V1064</f>
        <v>0</v>
      </c>
      <c r="X1064" s="141"/>
      <c r="Y1064" s="121" t="s">
        <v>292</v>
      </c>
      <c r="Z1064" s="146">
        <f>VLOOKUP(Takeoffs!Y1064,Sheet1!$B$6:$C$124,2,FALSE)</f>
        <v>0</v>
      </c>
      <c r="AA1064" s="146">
        <f t="shared" si="484"/>
        <v>0</v>
      </c>
      <c r="AB1064" s="143">
        <f t="shared" si="485"/>
        <v>0</v>
      </c>
      <c r="AC1064" s="133">
        <f t="shared" si="486"/>
        <v>0</v>
      </c>
      <c r="AD1064" s="142">
        <v>1</v>
      </c>
      <c r="AE1064" s="141"/>
      <c r="AF1064" s="121" t="s">
        <v>292</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363</v>
      </c>
      <c r="V1065" s="133">
        <f t="shared" si="483"/>
        <v>0</v>
      </c>
      <c r="W1065" s="133">
        <f>VLOOKUP(U1065,Sheet1!$B$6:$C$45,2,FALSE)*V1065</f>
        <v>0</v>
      </c>
      <c r="X1065" s="141"/>
      <c r="Y1065" s="121" t="s">
        <v>292</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312</v>
      </c>
      <c r="P1066" s="121"/>
      <c r="Q1066" s="121"/>
      <c r="R1066" s="121"/>
      <c r="S1066" s="133">
        <f>M1053</f>
        <v>0</v>
      </c>
      <c r="T1066" s="120"/>
      <c r="U1066" s="121" t="s">
        <v>232</v>
      </c>
      <c r="V1066" s="133">
        <f t="shared" si="483"/>
        <v>0</v>
      </c>
      <c r="W1066" s="133">
        <f>VLOOKUP(U1066,Sheet1!$B$6:$C$45,2,FALSE)*V1066</f>
        <v>0</v>
      </c>
      <c r="X1066" s="141"/>
      <c r="Y1066" s="122" t="s">
        <v>1344</v>
      </c>
      <c r="Z1066" s="146">
        <f>VLOOKUP(Takeoffs!Y1066,Sheet1!$B$6:$C$124,2,FALSE)</f>
        <v>109.25999999999999</v>
      </c>
      <c r="AA1066" s="146">
        <f t="shared" si="484"/>
        <v>0</v>
      </c>
      <c r="AB1066" s="143">
        <f t="shared" si="485"/>
        <v>0</v>
      </c>
      <c r="AC1066" s="133">
        <f t="shared" si="486"/>
        <v>0</v>
      </c>
      <c r="AD1066" s="142">
        <v>1</v>
      </c>
      <c r="AE1066" s="141"/>
      <c r="AF1066" s="121" t="s">
        <v>292</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313</v>
      </c>
      <c r="P1067" s="121"/>
      <c r="Q1067" s="121"/>
      <c r="R1067" s="121"/>
      <c r="S1067" s="133">
        <f>M1053</f>
        <v>0</v>
      </c>
      <c r="T1067" s="120"/>
      <c r="U1067" s="121" t="s">
        <v>363</v>
      </c>
      <c r="V1067" s="133">
        <f t="shared" si="483"/>
        <v>0</v>
      </c>
      <c r="W1067" s="133">
        <f>VLOOKUP(U1067,Sheet1!$B$6:$C$45,2,FALSE)*V1067</f>
        <v>0</v>
      </c>
      <c r="X1067" s="141"/>
      <c r="Y1067" s="122" t="s">
        <v>321</v>
      </c>
      <c r="Z1067" s="146">
        <f>VLOOKUP(Takeoffs!Y1067,Sheet1!$B$6:$C$124,2,FALSE)</f>
        <v>60</v>
      </c>
      <c r="AA1067" s="146">
        <f t="shared" si="484"/>
        <v>0</v>
      </c>
      <c r="AB1067" s="143">
        <f t="shared" si="485"/>
        <v>0</v>
      </c>
      <c r="AC1067" s="133">
        <f t="shared" si="486"/>
        <v>0</v>
      </c>
      <c r="AD1067" s="142">
        <v>1</v>
      </c>
      <c r="AE1067" s="141"/>
      <c r="AF1067" s="121" t="s">
        <v>292</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314</v>
      </c>
      <c r="P1068" s="121"/>
      <c r="Q1068" s="121"/>
      <c r="R1068" s="121" t="s">
        <v>455</v>
      </c>
      <c r="S1068" s="133">
        <f>M1053</f>
        <v>0</v>
      </c>
      <c r="T1068" s="120"/>
      <c r="U1068" s="121" t="s">
        <v>292</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292</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315</v>
      </c>
      <c r="P1069" s="121"/>
      <c r="Q1069" s="121"/>
      <c r="R1069" s="121"/>
      <c r="S1069" s="133">
        <f>M1053</f>
        <v>0</v>
      </c>
      <c r="T1069" s="120"/>
      <c r="U1069" s="121" t="s">
        <v>292</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292</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329</v>
      </c>
      <c r="P1070" s="121"/>
      <c r="Q1070" s="121"/>
      <c r="R1070" s="121" t="s">
        <v>304</v>
      </c>
      <c r="S1070" s="133">
        <f>M1053</f>
        <v>0</v>
      </c>
      <c r="T1070" s="120"/>
      <c r="U1070" s="121" t="s">
        <v>292</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292</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292</v>
      </c>
      <c r="V1071" s="133">
        <f t="shared" si="483"/>
        <v>0</v>
      </c>
      <c r="W1071" s="133">
        <f>VLOOKUP(U1071,Sheet1!$B$6:$C$45,2,FALSE)*V1071</f>
        <v>0</v>
      </c>
      <c r="X1071" s="141"/>
      <c r="Y1071" s="121" t="s">
        <v>292</v>
      </c>
      <c r="Z1071" s="146">
        <f>VLOOKUP(Takeoffs!Y1071,Sheet1!$B$6:$C$124,2,FALSE)</f>
        <v>0</v>
      </c>
      <c r="AA1071" s="146">
        <f t="shared" si="484"/>
        <v>0</v>
      </c>
      <c r="AB1071" s="143">
        <f t="shared" si="485"/>
        <v>0</v>
      </c>
      <c r="AC1071" s="133">
        <f t="shared" si="486"/>
        <v>0</v>
      </c>
      <c r="AD1071" s="142">
        <v>1</v>
      </c>
      <c r="AE1071" s="141"/>
      <c r="AF1071" s="121" t="s">
        <v>292</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412</v>
      </c>
      <c r="P1072" s="121" t="s">
        <v>380</v>
      </c>
      <c r="Q1072" s="121" t="s">
        <v>384</v>
      </c>
      <c r="R1072" s="121"/>
      <c r="S1072" s="133">
        <f>M1053</f>
        <v>0</v>
      </c>
      <c r="T1072" s="120"/>
      <c r="U1072" s="121" t="s">
        <v>292</v>
      </c>
      <c r="V1072" s="133">
        <f t="shared" si="483"/>
        <v>0</v>
      </c>
      <c r="W1072" s="133">
        <f>VLOOKUP(U1072,Sheet1!$B$6:$C$45,2,FALSE)*V1072</f>
        <v>0</v>
      </c>
      <c r="X1072" s="141"/>
      <c r="Y1072" s="122" t="s">
        <v>322</v>
      </c>
      <c r="Z1072" s="146">
        <f>VLOOKUP(Takeoffs!Y1072,Sheet1!$B$6:$C$124,2,FALSE)</f>
        <v>48</v>
      </c>
      <c r="AA1072" s="146">
        <f t="shared" si="484"/>
        <v>0</v>
      </c>
      <c r="AB1072" s="143">
        <f t="shared" si="485"/>
        <v>0</v>
      </c>
      <c r="AC1072" s="133">
        <f t="shared" si="486"/>
        <v>0</v>
      </c>
      <c r="AD1072" s="142">
        <v>1</v>
      </c>
      <c r="AE1072" s="141"/>
      <c r="AF1072" s="121" t="s">
        <v>292</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408</v>
      </c>
      <c r="P1073" s="121"/>
      <c r="Q1073" s="121"/>
      <c r="R1073" s="121"/>
      <c r="S1073" s="133">
        <f>M1053</f>
        <v>0</v>
      </c>
      <c r="T1073" s="120"/>
      <c r="U1073" s="121" t="s">
        <v>364</v>
      </c>
      <c r="V1073" s="133">
        <f t="shared" si="483"/>
        <v>0</v>
      </c>
      <c r="W1073" s="133">
        <f>VLOOKUP(U1073,Sheet1!$B$6:$C$45,2,FALSE)*V1073</f>
        <v>0</v>
      </c>
      <c r="X1073" s="141"/>
      <c r="Y1073" s="121" t="s">
        <v>292</v>
      </c>
      <c r="Z1073" s="146">
        <f>VLOOKUP(Takeoffs!Y1073,Sheet1!$B$6:$C$124,2,FALSE)</f>
        <v>0</v>
      </c>
      <c r="AA1073" s="146">
        <f t="shared" si="484"/>
        <v>0</v>
      </c>
      <c r="AB1073" s="143">
        <f t="shared" si="485"/>
        <v>0</v>
      </c>
      <c r="AC1073" s="133">
        <f t="shared" si="486"/>
        <v>0</v>
      </c>
      <c r="AD1073" s="142">
        <v>1</v>
      </c>
      <c r="AE1073" s="141"/>
      <c r="AF1073" s="121" t="s">
        <v>292</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377</v>
      </c>
      <c r="L1074" s="128" t="s">
        <v>378</v>
      </c>
      <c r="N1074" s="129"/>
      <c r="O1074" s="130" t="s">
        <v>357</v>
      </c>
      <c r="P1074" s="131">
        <f>V1074+AA1074+AH1074</f>
        <v>0</v>
      </c>
      <c r="Q1074" s="131"/>
      <c r="R1074" s="131"/>
      <c r="S1074" s="130"/>
      <c r="T1074" s="127"/>
      <c r="U1074" s="126" t="s">
        <v>351</v>
      </c>
      <c r="V1074" s="127">
        <f>W1074*80</f>
        <v>0</v>
      </c>
      <c r="W1074" s="147">
        <f>SUM(W1053:W1073)</f>
        <v>0</v>
      </c>
      <c r="X1074" s="148"/>
      <c r="Y1074" s="127" t="s">
        <v>352</v>
      </c>
      <c r="Z1074" s="116"/>
      <c r="AA1074" s="116">
        <f>SUM(AA1053:AA1073)</f>
        <v>0</v>
      </c>
      <c r="AB1074" s="149"/>
      <c r="AC1074" s="149"/>
      <c r="AD1074" s="149"/>
      <c r="AE1074" s="149"/>
      <c r="AF1074" s="127" t="s">
        <v>356</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hidden="1" x14ac:dyDescent="0.8">
      <c r="A1075" s="262">
        <f>ROW()</f>
        <v>1075</v>
      </c>
      <c r="B1075" s="234" t="s">
        <v>491</v>
      </c>
      <c r="C1075" s="217" t="str">
        <f>N1053</f>
        <v>Chilled Water AHU with small VSD</v>
      </c>
      <c r="D1075" s="260" t="s">
        <v>678</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367</v>
      </c>
      <c r="N1075" s="160" t="str">
        <f>N1053</f>
        <v>Chilled Water AHU with small VSD</v>
      </c>
      <c r="O1075" s="160" t="s">
        <v>365</v>
      </c>
      <c r="P1075" s="64" t="e">
        <f>P1074/M1053</f>
        <v>#DIV/0!</v>
      </c>
      <c r="Q1075" s="161"/>
      <c r="R1075" s="161"/>
      <c r="S1075" s="160"/>
      <c r="T1075" s="161"/>
      <c r="U1075" s="571" t="s">
        <v>366</v>
      </c>
      <c r="V1075" s="571"/>
      <c r="W1075" s="162" t="e">
        <f>W1074/M1053</f>
        <v>#DIV/0!</v>
      </c>
      <c r="X1075" s="163"/>
      <c r="Y1075" s="570" t="s">
        <v>365</v>
      </c>
      <c r="Z1075" s="570"/>
      <c r="AA1075" s="164" t="e">
        <f>AA1074/M1053</f>
        <v>#DIV/0!</v>
      </c>
      <c r="AB1075" s="161"/>
      <c r="AC1075" s="161"/>
      <c r="AD1075" s="161"/>
      <c r="AE1075" s="161"/>
      <c r="AF1075" s="570" t="s">
        <v>365</v>
      </c>
      <c r="AG1075" s="570"/>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452</v>
      </c>
      <c r="M1076" s="116" t="s">
        <v>107</v>
      </c>
      <c r="N1076" s="116" t="s">
        <v>108</v>
      </c>
      <c r="O1076" s="170" t="s">
        <v>386</v>
      </c>
      <c r="P1076" s="573" t="s">
        <v>375</v>
      </c>
      <c r="Q1076" s="573"/>
      <c r="R1076" s="101" t="s">
        <v>452</v>
      </c>
      <c r="S1076" s="116" t="s">
        <v>0</v>
      </c>
      <c r="T1076" s="118"/>
      <c r="U1076" s="116" t="s">
        <v>287</v>
      </c>
      <c r="V1076" s="116" t="s">
        <v>288</v>
      </c>
      <c r="W1076" s="116" t="s">
        <v>291</v>
      </c>
      <c r="X1076" s="140"/>
      <c r="Y1076" s="116" t="s">
        <v>289</v>
      </c>
      <c r="Z1076" s="116" t="s">
        <v>354</v>
      </c>
      <c r="AA1076" s="116" t="s">
        <v>355</v>
      </c>
      <c r="AB1076" s="116" t="s">
        <v>317</v>
      </c>
      <c r="AC1076" s="116" t="s">
        <v>318</v>
      </c>
      <c r="AD1076" s="116" t="s">
        <v>316</v>
      </c>
      <c r="AE1076" s="140"/>
      <c r="AF1076" s="116" t="s">
        <v>293</v>
      </c>
      <c r="AG1076" s="116" t="s">
        <v>354</v>
      </c>
      <c r="AH1076" s="116" t="s">
        <v>355</v>
      </c>
      <c r="AI1076" s="116" t="s">
        <v>296</v>
      </c>
      <c r="AJ1076" s="116" t="s">
        <v>294</v>
      </c>
      <c r="AK1076" s="116" t="s">
        <v>295</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481</v>
      </c>
      <c r="O1077" s="121" t="s">
        <v>347</v>
      </c>
      <c r="P1077" s="169" t="s">
        <v>379</v>
      </c>
      <c r="Q1077" s="169" t="s">
        <v>375</v>
      </c>
      <c r="R1077" s="169"/>
      <c r="S1077" s="133">
        <f>M1077</f>
        <v>0</v>
      </c>
      <c r="T1077" s="119"/>
      <c r="U1077" s="153" t="s">
        <v>292</v>
      </c>
      <c r="V1077" s="133">
        <f>S1077</f>
        <v>0</v>
      </c>
      <c r="W1077" s="133">
        <f>VLOOKUP(U1077,Sheet1!$B$6:$C$45,2,FALSE)*V1077</f>
        <v>0</v>
      </c>
      <c r="X1077" s="141"/>
      <c r="Y1077" s="121" t="s">
        <v>292</v>
      </c>
      <c r="Z1077" s="146">
        <f>VLOOKUP(Takeoffs!Y1077,Sheet1!$B$6:$C$124,2,FALSE)</f>
        <v>0</v>
      </c>
      <c r="AA1077" s="146">
        <f>Z1077*AB1077</f>
        <v>0</v>
      </c>
      <c r="AB1077" s="143">
        <f>AD1077*AC1077</f>
        <v>0</v>
      </c>
      <c r="AC1077" s="133">
        <f>S1077</f>
        <v>0</v>
      </c>
      <c r="AD1077" s="142">
        <v>1</v>
      </c>
      <c r="AE1077" s="141"/>
      <c r="AF1077" s="121" t="s">
        <v>292</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411</v>
      </c>
      <c r="P1078" s="121"/>
      <c r="Q1078" s="121"/>
      <c r="R1078" s="121"/>
      <c r="S1078" s="133">
        <f>M1077</f>
        <v>0</v>
      </c>
      <c r="T1078" s="120"/>
      <c r="U1078" s="121" t="s">
        <v>235</v>
      </c>
      <c r="V1078" s="133">
        <f t="shared" ref="V1078:V1097" si="493">S1078</f>
        <v>0</v>
      </c>
      <c r="W1078" s="133">
        <f>VLOOKUP(U1078,Sheet1!$B$6:$C$45,2,FALSE)*V1078</f>
        <v>0</v>
      </c>
      <c r="X1078" s="141"/>
      <c r="Y1078" s="121" t="s">
        <v>292</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292</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308</v>
      </c>
      <c r="P1079" s="121"/>
      <c r="Q1079" s="121"/>
      <c r="R1079" s="121"/>
      <c r="S1079" s="133">
        <f>M1077</f>
        <v>0</v>
      </c>
      <c r="T1079" s="120"/>
      <c r="U1079" s="121" t="s">
        <v>292</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292</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305</v>
      </c>
      <c r="P1080" s="121"/>
      <c r="Q1080" s="121"/>
      <c r="R1080" s="121"/>
      <c r="S1080" s="133">
        <f>M1077</f>
        <v>0</v>
      </c>
      <c r="T1080" s="120"/>
      <c r="U1080" s="117" t="s">
        <v>478</v>
      </c>
      <c r="V1080" s="133">
        <f t="shared" si="493"/>
        <v>0</v>
      </c>
      <c r="W1080" s="133">
        <f>VLOOKUP(U1080,Sheet1!$B$6:$C$45,2,FALSE)*V1080</f>
        <v>0</v>
      </c>
      <c r="X1080" s="141"/>
      <c r="Y1080" s="121" t="s">
        <v>292</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323</v>
      </c>
      <c r="P1081" s="121"/>
      <c r="Q1081" s="121"/>
      <c r="R1081" s="121"/>
      <c r="S1081" s="133">
        <f>M1077</f>
        <v>0</v>
      </c>
      <c r="T1081" s="120"/>
      <c r="U1081" s="121" t="s">
        <v>292</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292</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390</v>
      </c>
      <c r="P1082" s="121"/>
      <c r="Q1082" s="121"/>
      <c r="R1082" s="121"/>
      <c r="S1082" s="133">
        <f>M1077</f>
        <v>0</v>
      </c>
      <c r="T1082" s="120"/>
      <c r="U1082" s="121" t="s">
        <v>292</v>
      </c>
      <c r="V1082" s="133">
        <f t="shared" si="493"/>
        <v>0</v>
      </c>
      <c r="W1082" s="133">
        <f>VLOOKUP(U1082,Sheet1!$B$6:$C$45,2,FALSE)*V1082</f>
        <v>0</v>
      </c>
      <c r="X1082" s="141"/>
      <c r="Y1082" s="121" t="s">
        <v>292</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309</v>
      </c>
      <c r="P1083" s="121"/>
      <c r="Q1083" s="121"/>
      <c r="R1083" s="121"/>
      <c r="S1083" s="133">
        <f>M1077</f>
        <v>0</v>
      </c>
      <c r="T1083" s="120"/>
      <c r="U1083" s="121" t="s">
        <v>292</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292</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310</v>
      </c>
      <c r="P1084" s="121"/>
      <c r="Q1084" s="121"/>
      <c r="R1084" s="121"/>
      <c r="S1084" s="133">
        <f>M1077</f>
        <v>0</v>
      </c>
      <c r="T1084" s="120"/>
      <c r="U1084" s="121" t="s">
        <v>292</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292</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306</v>
      </c>
      <c r="P1085" s="121"/>
      <c r="Q1085" s="121"/>
      <c r="R1085" s="121"/>
      <c r="S1085" s="133">
        <f>M1077</f>
        <v>0</v>
      </c>
      <c r="T1085" s="120"/>
      <c r="U1085" s="121" t="s">
        <v>292</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292</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307</v>
      </c>
      <c r="P1086" s="121"/>
      <c r="Q1086" s="121"/>
      <c r="R1086" s="121"/>
      <c r="S1086" s="133">
        <f>M1077</f>
        <v>0</v>
      </c>
      <c r="T1086" s="120"/>
      <c r="U1086" s="121" t="s">
        <v>364</v>
      </c>
      <c r="V1086" s="133">
        <f t="shared" si="493"/>
        <v>0</v>
      </c>
      <c r="W1086" s="133">
        <f>VLOOKUP(U1086,Sheet1!$B$6:$C$45,2,FALSE)*V1086</f>
        <v>0</v>
      </c>
      <c r="X1086" s="141"/>
      <c r="Y1086" s="121" t="s">
        <v>292</v>
      </c>
      <c r="Z1086" s="146">
        <f>VLOOKUP(Takeoffs!Y1086,Sheet1!$B$6:$C$124,2,FALSE)</f>
        <v>0</v>
      </c>
      <c r="AA1086" s="146">
        <f t="shared" si="494"/>
        <v>0</v>
      </c>
      <c r="AB1086" s="143">
        <f t="shared" si="495"/>
        <v>0</v>
      </c>
      <c r="AC1086" s="133">
        <f t="shared" si="500"/>
        <v>0</v>
      </c>
      <c r="AD1086" s="142">
        <v>1</v>
      </c>
      <c r="AE1086" s="141"/>
      <c r="AF1086" s="121" t="s">
        <v>292</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504</v>
      </c>
      <c r="P1087" s="121"/>
      <c r="Q1087" s="121"/>
      <c r="R1087" s="121"/>
      <c r="S1087" s="133">
        <f>M1077</f>
        <v>0</v>
      </c>
      <c r="T1087" s="120"/>
      <c r="U1087" s="121" t="s">
        <v>363</v>
      </c>
      <c r="V1087" s="133">
        <f t="shared" si="493"/>
        <v>0</v>
      </c>
      <c r="W1087" s="133">
        <f>VLOOKUP(U1087,Sheet1!$B$6:$C$45,2,FALSE)*V1087</f>
        <v>0</v>
      </c>
      <c r="X1087" s="141"/>
      <c r="Y1087" s="122" t="s">
        <v>325</v>
      </c>
      <c r="Z1087" s="146">
        <f>VLOOKUP(Takeoffs!Y1087,Sheet1!$B$6:$C$124,2,FALSE)</f>
        <v>240</v>
      </c>
      <c r="AA1087" s="146">
        <f t="shared" si="494"/>
        <v>0</v>
      </c>
      <c r="AB1087" s="143">
        <f t="shared" si="495"/>
        <v>0</v>
      </c>
      <c r="AC1087" s="133">
        <f t="shared" si="500"/>
        <v>0</v>
      </c>
      <c r="AD1087" s="142">
        <v>2</v>
      </c>
      <c r="AE1087" s="141"/>
      <c r="AF1087" s="121" t="s">
        <v>292</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292</v>
      </c>
      <c r="V1088" s="133">
        <f t="shared" si="493"/>
        <v>0</v>
      </c>
      <c r="W1088" s="133">
        <f>VLOOKUP(U1088,Sheet1!$B$6:$C$45,2,FALSE)*V1088</f>
        <v>0</v>
      </c>
      <c r="X1088" s="141"/>
      <c r="Y1088" s="121" t="s">
        <v>292</v>
      </c>
      <c r="Z1088" s="146">
        <f>VLOOKUP(Takeoffs!Y1088,Sheet1!$B$6:$C$124,2,FALSE)</f>
        <v>0</v>
      </c>
      <c r="AA1088" s="146">
        <f t="shared" si="494"/>
        <v>0</v>
      </c>
      <c r="AB1088" s="143">
        <f t="shared" si="495"/>
        <v>0</v>
      </c>
      <c r="AC1088" s="133">
        <f t="shared" si="500"/>
        <v>0</v>
      </c>
      <c r="AD1088" s="142">
        <v>1</v>
      </c>
      <c r="AE1088" s="141"/>
      <c r="AF1088" s="121" t="s">
        <v>292</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363</v>
      </c>
      <c r="V1089" s="133">
        <f t="shared" si="493"/>
        <v>0</v>
      </c>
      <c r="W1089" s="133">
        <f>VLOOKUP(U1089,Sheet1!$B$6:$C$45,2,FALSE)*V1089</f>
        <v>0</v>
      </c>
      <c r="X1089" s="141"/>
      <c r="Y1089" s="121" t="s">
        <v>292</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312</v>
      </c>
      <c r="P1090" s="121"/>
      <c r="Q1090" s="121"/>
      <c r="R1090" s="121"/>
      <c r="S1090" s="133">
        <f>M1077</f>
        <v>0</v>
      </c>
      <c r="T1090" s="120"/>
      <c r="U1090" s="121" t="s">
        <v>232</v>
      </c>
      <c r="V1090" s="133">
        <f t="shared" si="493"/>
        <v>0</v>
      </c>
      <c r="W1090" s="133">
        <f>VLOOKUP(U1090,Sheet1!$B$6:$C$45,2,FALSE)*V1090</f>
        <v>0</v>
      </c>
      <c r="X1090" s="141"/>
      <c r="Y1090" s="122" t="s">
        <v>1344</v>
      </c>
      <c r="Z1090" s="146">
        <f>VLOOKUP(Takeoffs!Y1090,Sheet1!$B$6:$C$124,2,FALSE)</f>
        <v>109.25999999999999</v>
      </c>
      <c r="AA1090" s="146">
        <f t="shared" si="494"/>
        <v>0</v>
      </c>
      <c r="AB1090" s="143">
        <f t="shared" si="495"/>
        <v>0</v>
      </c>
      <c r="AC1090" s="133">
        <f t="shared" si="500"/>
        <v>0</v>
      </c>
      <c r="AD1090" s="142">
        <v>1</v>
      </c>
      <c r="AE1090" s="141"/>
      <c r="AF1090" s="121" t="s">
        <v>292</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313</v>
      </c>
      <c r="P1091" s="121"/>
      <c r="Q1091" s="121"/>
      <c r="R1091" s="121"/>
      <c r="S1091" s="133">
        <f>M1077</f>
        <v>0</v>
      </c>
      <c r="T1091" s="120"/>
      <c r="U1091" s="121" t="s">
        <v>363</v>
      </c>
      <c r="V1091" s="133">
        <f t="shared" si="493"/>
        <v>0</v>
      </c>
      <c r="W1091" s="133">
        <f>VLOOKUP(U1091,Sheet1!$B$6:$C$45,2,FALSE)*V1091</f>
        <v>0</v>
      </c>
      <c r="X1091" s="141"/>
      <c r="Y1091" s="122" t="s">
        <v>321</v>
      </c>
      <c r="Z1091" s="146">
        <f>VLOOKUP(Takeoffs!Y1091,Sheet1!$B$6:$C$124,2,FALSE)</f>
        <v>60</v>
      </c>
      <c r="AA1091" s="146">
        <f t="shared" si="494"/>
        <v>0</v>
      </c>
      <c r="AB1091" s="143">
        <f t="shared" si="495"/>
        <v>0</v>
      </c>
      <c r="AC1091" s="133">
        <f t="shared" si="500"/>
        <v>0</v>
      </c>
      <c r="AD1091" s="142">
        <v>1</v>
      </c>
      <c r="AE1091" s="141"/>
      <c r="AF1091" s="121" t="s">
        <v>292</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314</v>
      </c>
      <c r="P1092" s="121"/>
      <c r="Q1092" s="121"/>
      <c r="R1092" s="121" t="s">
        <v>455</v>
      </c>
      <c r="S1092" s="133">
        <f>M1077</f>
        <v>0</v>
      </c>
      <c r="T1092" s="120"/>
      <c r="U1092" s="121" t="s">
        <v>292</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292</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315</v>
      </c>
      <c r="P1093" s="121"/>
      <c r="Q1093" s="121"/>
      <c r="R1093" s="121"/>
      <c r="S1093" s="133">
        <f>M1077</f>
        <v>0</v>
      </c>
      <c r="T1093" s="120"/>
      <c r="U1093" s="121" t="s">
        <v>292</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292</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329</v>
      </c>
      <c r="P1094" s="121"/>
      <c r="Q1094" s="121"/>
      <c r="R1094" s="121" t="s">
        <v>304</v>
      </c>
      <c r="S1094" s="133">
        <f>M1077</f>
        <v>0</v>
      </c>
      <c r="T1094" s="120"/>
      <c r="U1094" s="121" t="s">
        <v>292</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292</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292</v>
      </c>
      <c r="V1095" s="133">
        <f t="shared" si="493"/>
        <v>0</v>
      </c>
      <c r="W1095" s="133">
        <f>VLOOKUP(U1095,Sheet1!$B$6:$C$45,2,FALSE)*V1095</f>
        <v>0</v>
      </c>
      <c r="X1095" s="141"/>
      <c r="Y1095" s="121" t="s">
        <v>292</v>
      </c>
      <c r="Z1095" s="146">
        <f>VLOOKUP(Takeoffs!Y1095,Sheet1!$B$6:$C$124,2,FALSE)</f>
        <v>0</v>
      </c>
      <c r="AA1095" s="146">
        <f t="shared" si="494"/>
        <v>0</v>
      </c>
      <c r="AB1095" s="143">
        <f t="shared" si="495"/>
        <v>0</v>
      </c>
      <c r="AC1095" s="133">
        <f t="shared" si="500"/>
        <v>0</v>
      </c>
      <c r="AD1095" s="142">
        <v>1</v>
      </c>
      <c r="AE1095" s="141"/>
      <c r="AF1095" s="121" t="s">
        <v>292</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412</v>
      </c>
      <c r="P1096" s="121" t="s">
        <v>380</v>
      </c>
      <c r="Q1096" s="121" t="s">
        <v>384</v>
      </c>
      <c r="R1096" s="121"/>
      <c r="S1096" s="133">
        <f>M1077</f>
        <v>0</v>
      </c>
      <c r="T1096" s="120"/>
      <c r="U1096" s="121" t="s">
        <v>292</v>
      </c>
      <c r="V1096" s="133">
        <f t="shared" si="493"/>
        <v>0</v>
      </c>
      <c r="W1096" s="133">
        <f>VLOOKUP(U1096,Sheet1!$B$6:$C$45,2,FALSE)*V1096</f>
        <v>0</v>
      </c>
      <c r="X1096" s="141"/>
      <c r="Y1096" s="122" t="s">
        <v>322</v>
      </c>
      <c r="Z1096" s="146">
        <f>VLOOKUP(Takeoffs!Y1096,Sheet1!$B$6:$C$124,2,FALSE)</f>
        <v>48</v>
      </c>
      <c r="AA1096" s="146">
        <f t="shared" si="494"/>
        <v>0</v>
      </c>
      <c r="AB1096" s="143">
        <f t="shared" si="495"/>
        <v>0</v>
      </c>
      <c r="AC1096" s="133">
        <f t="shared" si="500"/>
        <v>0</v>
      </c>
      <c r="AD1096" s="142">
        <v>1</v>
      </c>
      <c r="AE1096" s="141"/>
      <c r="AF1096" s="121" t="s">
        <v>292</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408</v>
      </c>
      <c r="P1097" s="121"/>
      <c r="Q1097" s="121"/>
      <c r="R1097" s="121"/>
      <c r="S1097" s="133">
        <f>M1077</f>
        <v>0</v>
      </c>
      <c r="T1097" s="120"/>
      <c r="U1097" s="121" t="s">
        <v>364</v>
      </c>
      <c r="V1097" s="133">
        <f t="shared" si="493"/>
        <v>0</v>
      </c>
      <c r="W1097" s="133">
        <f>VLOOKUP(U1097,Sheet1!$B$6:$C$45,2,FALSE)*V1097</f>
        <v>0</v>
      </c>
      <c r="X1097" s="141"/>
      <c r="Y1097" s="121" t="s">
        <v>292</v>
      </c>
      <c r="Z1097" s="146">
        <f>VLOOKUP(Takeoffs!Y1097,Sheet1!$B$6:$C$124,2,FALSE)</f>
        <v>0</v>
      </c>
      <c r="AA1097" s="146">
        <f t="shared" si="494"/>
        <v>0</v>
      </c>
      <c r="AB1097" s="143">
        <f t="shared" si="495"/>
        <v>0</v>
      </c>
      <c r="AC1097" s="133">
        <f t="shared" si="500"/>
        <v>0</v>
      </c>
      <c r="AD1097" s="142">
        <v>1</v>
      </c>
      <c r="AE1097" s="141"/>
      <c r="AF1097" s="121" t="s">
        <v>292</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377</v>
      </c>
      <c r="L1098" s="128" t="s">
        <v>378</v>
      </c>
      <c r="N1098" s="129"/>
      <c r="O1098" s="130" t="s">
        <v>357</v>
      </c>
      <c r="P1098" s="131">
        <f>V1098+AA1098+AH1098</f>
        <v>0</v>
      </c>
      <c r="Q1098" s="131"/>
      <c r="R1098" s="131"/>
      <c r="S1098" s="130"/>
      <c r="T1098" s="127"/>
      <c r="U1098" s="126" t="s">
        <v>351</v>
      </c>
      <c r="V1098" s="127">
        <f>W1098*80</f>
        <v>0</v>
      </c>
      <c r="W1098" s="147">
        <f>SUM(W1077:W1097)</f>
        <v>0</v>
      </c>
      <c r="X1098" s="148"/>
      <c r="Y1098" s="127" t="s">
        <v>352</v>
      </c>
      <c r="Z1098" s="116"/>
      <c r="AA1098" s="116">
        <f>SUM(AA1077:AA1097)</f>
        <v>0</v>
      </c>
      <c r="AB1098" s="149"/>
      <c r="AC1098" s="149"/>
      <c r="AD1098" s="149"/>
      <c r="AE1098" s="149"/>
      <c r="AF1098" s="127" t="s">
        <v>356</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hidden="1" x14ac:dyDescent="0.8">
      <c r="A1099" s="262">
        <f>ROW()</f>
        <v>1099</v>
      </c>
      <c r="B1099" s="234" t="s">
        <v>491</v>
      </c>
      <c r="C1099" s="217" t="str">
        <f>N1077</f>
        <v>Fire essential Chilled Water AHU with VSD</v>
      </c>
      <c r="D1099" s="260" t="s">
        <v>678</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367</v>
      </c>
      <c r="N1099" s="160" t="str">
        <f>N1077</f>
        <v>Fire essential Chilled Water AHU with VSD</v>
      </c>
      <c r="O1099" s="160" t="s">
        <v>365</v>
      </c>
      <c r="P1099" s="64" t="e">
        <f>P1098/M1077</f>
        <v>#DIV/0!</v>
      </c>
      <c r="Q1099" s="161"/>
      <c r="R1099" s="161"/>
      <c r="S1099" s="160"/>
      <c r="T1099" s="161"/>
      <c r="U1099" s="571" t="s">
        <v>366</v>
      </c>
      <c r="V1099" s="571"/>
      <c r="W1099" s="162" t="e">
        <f>W1098/M1077</f>
        <v>#DIV/0!</v>
      </c>
      <c r="X1099" s="163"/>
      <c r="Y1099" s="570" t="s">
        <v>365</v>
      </c>
      <c r="Z1099" s="570"/>
      <c r="AA1099" s="164" t="e">
        <f>AA1098/M1077</f>
        <v>#DIV/0!</v>
      </c>
      <c r="AB1099" s="161"/>
      <c r="AC1099" s="161"/>
      <c r="AD1099" s="161"/>
      <c r="AE1099" s="161"/>
      <c r="AF1099" s="570" t="s">
        <v>365</v>
      </c>
      <c r="AG1099" s="570"/>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452</v>
      </c>
      <c r="M1100" s="116" t="s">
        <v>107</v>
      </c>
      <c r="N1100" s="116" t="s">
        <v>108</v>
      </c>
      <c r="O1100" s="170" t="s">
        <v>386</v>
      </c>
      <c r="P1100" s="572" t="s">
        <v>375</v>
      </c>
      <c r="Q1100" s="572"/>
      <c r="R1100" s="101" t="s">
        <v>452</v>
      </c>
      <c r="S1100" s="116" t="s">
        <v>0</v>
      </c>
      <c r="T1100" s="118"/>
      <c r="U1100" s="116" t="s">
        <v>287</v>
      </c>
      <c r="V1100" s="116" t="s">
        <v>288</v>
      </c>
      <c r="W1100" s="116" t="s">
        <v>291</v>
      </c>
      <c r="X1100" s="140"/>
      <c r="Y1100" s="116" t="s">
        <v>289</v>
      </c>
      <c r="Z1100" s="116" t="s">
        <v>354</v>
      </c>
      <c r="AA1100" s="116" t="s">
        <v>355</v>
      </c>
      <c r="AB1100" s="116" t="s">
        <v>317</v>
      </c>
      <c r="AC1100" s="116" t="s">
        <v>318</v>
      </c>
      <c r="AD1100" s="116" t="s">
        <v>316</v>
      </c>
      <c r="AE1100" s="140"/>
      <c r="AF1100" s="116" t="s">
        <v>293</v>
      </c>
      <c r="AG1100" s="116" t="s">
        <v>354</v>
      </c>
      <c r="AH1100" s="116" t="s">
        <v>355</v>
      </c>
      <c r="AI1100" s="116" t="s">
        <v>296</v>
      </c>
      <c r="AJ1100" s="116" t="s">
        <v>294</v>
      </c>
      <c r="AK1100" s="116" t="s">
        <v>295</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481</v>
      </c>
      <c r="O1101" s="121" t="s">
        <v>347</v>
      </c>
      <c r="P1101" s="169" t="s">
        <v>379</v>
      </c>
      <c r="Q1101" s="169" t="s">
        <v>375</v>
      </c>
      <c r="R1101" s="169"/>
      <c r="S1101" s="133">
        <f>M1101</f>
        <v>0</v>
      </c>
      <c r="T1101" s="119"/>
      <c r="U1101" s="153" t="s">
        <v>292</v>
      </c>
      <c r="V1101" s="133">
        <f>S1101</f>
        <v>0</v>
      </c>
      <c r="W1101" s="133">
        <f>VLOOKUP(U1101,Sheet1!$B$6:$C$45,2,FALSE)*V1101</f>
        <v>0</v>
      </c>
      <c r="X1101" s="141"/>
      <c r="Y1101" s="121" t="s">
        <v>292</v>
      </c>
      <c r="Z1101" s="146">
        <f>VLOOKUP(Takeoffs!Y1101,Sheet1!$B$6:$C$124,2,FALSE)</f>
        <v>0</v>
      </c>
      <c r="AA1101" s="146">
        <f>Z1101*AB1101</f>
        <v>0</v>
      </c>
      <c r="AB1101" s="143">
        <f>AD1101*AC1101</f>
        <v>0</v>
      </c>
      <c r="AC1101" s="133">
        <f>S1101</f>
        <v>0</v>
      </c>
      <c r="AD1101" s="142">
        <v>1</v>
      </c>
      <c r="AE1101" s="141"/>
      <c r="AF1101" s="121" t="s">
        <v>292</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411</v>
      </c>
      <c r="P1102" s="121"/>
      <c r="Q1102" s="121"/>
      <c r="R1102" s="121"/>
      <c r="S1102" s="133">
        <f>M1101</f>
        <v>0</v>
      </c>
      <c r="T1102" s="120"/>
      <c r="U1102" s="121" t="s">
        <v>235</v>
      </c>
      <c r="V1102" s="133">
        <f t="shared" ref="V1102:V1121" si="502">S1102</f>
        <v>0</v>
      </c>
      <c r="W1102" s="133">
        <f>VLOOKUP(U1102,Sheet1!$B$6:$C$45,2,FALSE)*V1102</f>
        <v>0</v>
      </c>
      <c r="X1102" s="141"/>
      <c r="Y1102" s="121" t="s">
        <v>292</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292</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308</v>
      </c>
      <c r="P1103" s="121"/>
      <c r="Q1103" s="121"/>
      <c r="R1103" s="121"/>
      <c r="S1103" s="133">
        <f>M1101</f>
        <v>0</v>
      </c>
      <c r="T1103" s="120"/>
      <c r="U1103" s="121" t="s">
        <v>292</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292</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305</v>
      </c>
      <c r="P1104" s="121"/>
      <c r="Q1104" s="121"/>
      <c r="R1104" s="121"/>
      <c r="S1104" s="133">
        <f>M1101</f>
        <v>0</v>
      </c>
      <c r="T1104" s="120"/>
      <c r="U1104" s="117" t="s">
        <v>478</v>
      </c>
      <c r="V1104" s="133">
        <f t="shared" si="502"/>
        <v>0</v>
      </c>
      <c r="W1104" s="133">
        <f>VLOOKUP(U1104,Sheet1!$B$6:$C$45,2,FALSE)*V1104</f>
        <v>0</v>
      </c>
      <c r="X1104" s="141"/>
      <c r="Y1104" s="121" t="s">
        <v>292</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323</v>
      </c>
      <c r="P1105" s="121"/>
      <c r="Q1105" s="121"/>
      <c r="R1105" s="121"/>
      <c r="S1105" s="133">
        <f>M1101</f>
        <v>0</v>
      </c>
      <c r="T1105" s="120"/>
      <c r="U1105" s="121" t="s">
        <v>292</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292</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390</v>
      </c>
      <c r="P1106" s="121"/>
      <c r="Q1106" s="121"/>
      <c r="R1106" s="121"/>
      <c r="S1106" s="133">
        <f>M1101</f>
        <v>0</v>
      </c>
      <c r="T1106" s="120"/>
      <c r="U1106" s="121" t="s">
        <v>292</v>
      </c>
      <c r="V1106" s="133">
        <f t="shared" si="502"/>
        <v>0</v>
      </c>
      <c r="W1106" s="133">
        <f>VLOOKUP(U1106,Sheet1!$B$6:$C$45,2,FALSE)*V1106</f>
        <v>0</v>
      </c>
      <c r="X1106" s="141"/>
      <c r="Y1106" s="121" t="s">
        <v>292</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309</v>
      </c>
      <c r="P1107" s="121"/>
      <c r="Q1107" s="121"/>
      <c r="R1107" s="121"/>
      <c r="S1107" s="133">
        <f>M1101</f>
        <v>0</v>
      </c>
      <c r="T1107" s="120"/>
      <c r="U1107" s="121" t="s">
        <v>292</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292</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310</v>
      </c>
      <c r="P1108" s="121"/>
      <c r="Q1108" s="121"/>
      <c r="R1108" s="121"/>
      <c r="S1108" s="133">
        <f>M1101</f>
        <v>0</v>
      </c>
      <c r="T1108" s="120"/>
      <c r="U1108" s="121" t="s">
        <v>292</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292</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306</v>
      </c>
      <c r="P1109" s="121"/>
      <c r="Q1109" s="121"/>
      <c r="R1109" s="121"/>
      <c r="S1109" s="133">
        <f>M1101</f>
        <v>0</v>
      </c>
      <c r="T1109" s="120"/>
      <c r="U1109" s="121" t="s">
        <v>292</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292</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307</v>
      </c>
      <c r="P1110" s="121"/>
      <c r="Q1110" s="121"/>
      <c r="R1110" s="121"/>
      <c r="S1110" s="133">
        <f>M1101</f>
        <v>0</v>
      </c>
      <c r="T1110" s="120"/>
      <c r="U1110" s="121" t="s">
        <v>364</v>
      </c>
      <c r="V1110" s="133">
        <f t="shared" si="502"/>
        <v>0</v>
      </c>
      <c r="W1110" s="133">
        <f>VLOOKUP(U1110,Sheet1!$B$6:$C$45,2,FALSE)*V1110</f>
        <v>0</v>
      </c>
      <c r="X1110" s="141"/>
      <c r="Y1110" s="121" t="s">
        <v>292</v>
      </c>
      <c r="Z1110" s="146">
        <f>VLOOKUP(Takeoffs!Y1110,Sheet1!$B$6:$C$124,2,FALSE)</f>
        <v>0</v>
      </c>
      <c r="AA1110" s="146">
        <f t="shared" si="503"/>
        <v>0</v>
      </c>
      <c r="AB1110" s="143">
        <f t="shared" si="504"/>
        <v>0</v>
      </c>
      <c r="AC1110" s="133">
        <f t="shared" si="509"/>
        <v>0</v>
      </c>
      <c r="AD1110" s="142">
        <v>1</v>
      </c>
      <c r="AE1110" s="141"/>
      <c r="AF1110" s="121" t="s">
        <v>292</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504</v>
      </c>
      <c r="P1111" s="121"/>
      <c r="Q1111" s="121"/>
      <c r="R1111" s="121"/>
      <c r="S1111" s="133">
        <f>M1101</f>
        <v>0</v>
      </c>
      <c r="T1111" s="120"/>
      <c r="U1111" s="121" t="s">
        <v>363</v>
      </c>
      <c r="V1111" s="133">
        <f t="shared" si="502"/>
        <v>0</v>
      </c>
      <c r="W1111" s="133">
        <f>VLOOKUP(U1111,Sheet1!$B$6:$C$45,2,FALSE)*V1111</f>
        <v>0</v>
      </c>
      <c r="X1111" s="141"/>
      <c r="Y1111" s="122" t="s">
        <v>325</v>
      </c>
      <c r="Z1111" s="146">
        <f>VLOOKUP(Takeoffs!Y1111,Sheet1!$B$6:$C$124,2,FALSE)</f>
        <v>240</v>
      </c>
      <c r="AA1111" s="146">
        <f t="shared" si="503"/>
        <v>0</v>
      </c>
      <c r="AB1111" s="143">
        <f t="shared" si="504"/>
        <v>0</v>
      </c>
      <c r="AC1111" s="133">
        <f t="shared" si="509"/>
        <v>0</v>
      </c>
      <c r="AD1111" s="142">
        <v>2</v>
      </c>
      <c r="AE1111" s="141"/>
      <c r="AF1111" s="121" t="s">
        <v>292</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292</v>
      </c>
      <c r="V1112" s="133">
        <f t="shared" si="502"/>
        <v>0</v>
      </c>
      <c r="W1112" s="133">
        <f>VLOOKUP(U1112,Sheet1!$B$6:$C$45,2,FALSE)*V1112</f>
        <v>0</v>
      </c>
      <c r="X1112" s="141"/>
      <c r="Y1112" s="121" t="s">
        <v>292</v>
      </c>
      <c r="Z1112" s="146">
        <f>VLOOKUP(Takeoffs!Y1112,Sheet1!$B$6:$C$124,2,FALSE)</f>
        <v>0</v>
      </c>
      <c r="AA1112" s="146">
        <f t="shared" si="503"/>
        <v>0</v>
      </c>
      <c r="AB1112" s="143">
        <f t="shared" si="504"/>
        <v>0</v>
      </c>
      <c r="AC1112" s="133">
        <f t="shared" si="509"/>
        <v>0</v>
      </c>
      <c r="AD1112" s="142">
        <v>1</v>
      </c>
      <c r="AE1112" s="141"/>
      <c r="AF1112" s="121" t="s">
        <v>292</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363</v>
      </c>
      <c r="V1113" s="133">
        <f t="shared" si="502"/>
        <v>0</v>
      </c>
      <c r="W1113" s="133">
        <f>VLOOKUP(U1113,Sheet1!$B$6:$C$45,2,FALSE)*V1113</f>
        <v>0</v>
      </c>
      <c r="X1113" s="141"/>
      <c r="Y1113" s="121" t="s">
        <v>292</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312</v>
      </c>
      <c r="P1114" s="121"/>
      <c r="Q1114" s="121"/>
      <c r="R1114" s="121"/>
      <c r="S1114" s="133">
        <f>M1101</f>
        <v>0</v>
      </c>
      <c r="T1114" s="120"/>
      <c r="U1114" s="121" t="s">
        <v>232</v>
      </c>
      <c r="V1114" s="133">
        <f t="shared" si="502"/>
        <v>0</v>
      </c>
      <c r="W1114" s="133">
        <f>VLOOKUP(U1114,Sheet1!$B$6:$C$45,2,FALSE)*V1114</f>
        <v>0</v>
      </c>
      <c r="X1114" s="141"/>
      <c r="Y1114" s="122" t="s">
        <v>1344</v>
      </c>
      <c r="Z1114" s="146">
        <f>VLOOKUP(Takeoffs!Y1114,Sheet1!$B$6:$C$124,2,FALSE)</f>
        <v>109.25999999999999</v>
      </c>
      <c r="AA1114" s="146">
        <f t="shared" si="503"/>
        <v>0</v>
      </c>
      <c r="AB1114" s="143">
        <f t="shared" si="504"/>
        <v>0</v>
      </c>
      <c r="AC1114" s="133">
        <f t="shared" si="509"/>
        <v>0</v>
      </c>
      <c r="AD1114" s="142">
        <v>1</v>
      </c>
      <c r="AE1114" s="141"/>
      <c r="AF1114" s="121" t="s">
        <v>292</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313</v>
      </c>
      <c r="P1115" s="121"/>
      <c r="Q1115" s="121"/>
      <c r="R1115" s="121"/>
      <c r="S1115" s="133">
        <f>M1101</f>
        <v>0</v>
      </c>
      <c r="T1115" s="120"/>
      <c r="U1115" s="121" t="s">
        <v>363</v>
      </c>
      <c r="V1115" s="133">
        <f t="shared" si="502"/>
        <v>0</v>
      </c>
      <c r="W1115" s="133">
        <f>VLOOKUP(U1115,Sheet1!$B$6:$C$45,2,FALSE)*V1115</f>
        <v>0</v>
      </c>
      <c r="X1115" s="141"/>
      <c r="Y1115" s="122" t="s">
        <v>321</v>
      </c>
      <c r="Z1115" s="146">
        <f>VLOOKUP(Takeoffs!Y1115,Sheet1!$B$6:$C$124,2,FALSE)</f>
        <v>60</v>
      </c>
      <c r="AA1115" s="146">
        <f t="shared" si="503"/>
        <v>0</v>
      </c>
      <c r="AB1115" s="143">
        <f t="shared" si="504"/>
        <v>0</v>
      </c>
      <c r="AC1115" s="133">
        <f t="shared" si="509"/>
        <v>0</v>
      </c>
      <c r="AD1115" s="142">
        <v>1</v>
      </c>
      <c r="AE1115" s="141"/>
      <c r="AF1115" s="121" t="s">
        <v>292</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314</v>
      </c>
      <c r="P1116" s="121"/>
      <c r="Q1116" s="121"/>
      <c r="R1116" s="121" t="s">
        <v>455</v>
      </c>
      <c r="S1116" s="133">
        <f>M1101</f>
        <v>0</v>
      </c>
      <c r="T1116" s="120"/>
      <c r="U1116" s="121" t="s">
        <v>292</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292</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315</v>
      </c>
      <c r="P1117" s="121"/>
      <c r="Q1117" s="121"/>
      <c r="R1117" s="121"/>
      <c r="S1117" s="133">
        <f>M1101</f>
        <v>0</v>
      </c>
      <c r="T1117" s="120"/>
      <c r="U1117" s="121" t="s">
        <v>292</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292</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329</v>
      </c>
      <c r="P1118" s="121"/>
      <c r="Q1118" s="121"/>
      <c r="R1118" s="121" t="s">
        <v>304</v>
      </c>
      <c r="S1118" s="133">
        <f>M1101</f>
        <v>0</v>
      </c>
      <c r="T1118" s="120"/>
      <c r="U1118" s="121" t="s">
        <v>292</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292</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292</v>
      </c>
      <c r="V1119" s="133">
        <f t="shared" si="502"/>
        <v>0</v>
      </c>
      <c r="W1119" s="133">
        <f>VLOOKUP(U1119,Sheet1!$B$6:$C$45,2,FALSE)*V1119</f>
        <v>0</v>
      </c>
      <c r="X1119" s="141"/>
      <c r="Y1119" s="121" t="s">
        <v>292</v>
      </c>
      <c r="Z1119" s="146">
        <f>VLOOKUP(Takeoffs!Y1119,Sheet1!$B$6:$C$124,2,FALSE)</f>
        <v>0</v>
      </c>
      <c r="AA1119" s="146">
        <f t="shared" si="503"/>
        <v>0</v>
      </c>
      <c r="AB1119" s="143">
        <f t="shared" si="504"/>
        <v>0</v>
      </c>
      <c r="AC1119" s="133">
        <f t="shared" si="509"/>
        <v>0</v>
      </c>
      <c r="AD1119" s="142">
        <v>1</v>
      </c>
      <c r="AE1119" s="141"/>
      <c r="AF1119" s="121" t="s">
        <v>292</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412</v>
      </c>
      <c r="P1120" s="121" t="s">
        <v>380</v>
      </c>
      <c r="Q1120" s="121" t="s">
        <v>384</v>
      </c>
      <c r="R1120" s="121"/>
      <c r="S1120" s="133">
        <f>M1101</f>
        <v>0</v>
      </c>
      <c r="T1120" s="120"/>
      <c r="U1120" s="121" t="s">
        <v>292</v>
      </c>
      <c r="V1120" s="133">
        <f t="shared" si="502"/>
        <v>0</v>
      </c>
      <c r="W1120" s="133">
        <f>VLOOKUP(U1120,Sheet1!$B$6:$C$45,2,FALSE)*V1120</f>
        <v>0</v>
      </c>
      <c r="X1120" s="141"/>
      <c r="Y1120" s="122" t="s">
        <v>322</v>
      </c>
      <c r="Z1120" s="146">
        <f>VLOOKUP(Takeoffs!Y1120,Sheet1!$B$6:$C$124,2,FALSE)</f>
        <v>48</v>
      </c>
      <c r="AA1120" s="146">
        <f t="shared" si="503"/>
        <v>0</v>
      </c>
      <c r="AB1120" s="143">
        <f t="shared" si="504"/>
        <v>0</v>
      </c>
      <c r="AC1120" s="133">
        <f t="shared" si="509"/>
        <v>0</v>
      </c>
      <c r="AD1120" s="142">
        <v>1</v>
      </c>
      <c r="AE1120" s="141"/>
      <c r="AF1120" s="121" t="s">
        <v>292</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408</v>
      </c>
      <c r="P1121" s="121"/>
      <c r="Q1121" s="121"/>
      <c r="R1121" s="121"/>
      <c r="S1121" s="133">
        <f>M1101</f>
        <v>0</v>
      </c>
      <c r="T1121" s="120"/>
      <c r="U1121" s="121" t="s">
        <v>364</v>
      </c>
      <c r="V1121" s="133">
        <f t="shared" si="502"/>
        <v>0</v>
      </c>
      <c r="W1121" s="133">
        <f>VLOOKUP(U1121,Sheet1!$B$6:$C$45,2,FALSE)*V1121</f>
        <v>0</v>
      </c>
      <c r="X1121" s="141"/>
      <c r="Y1121" s="121" t="s">
        <v>292</v>
      </c>
      <c r="Z1121" s="146">
        <f>VLOOKUP(Takeoffs!Y1121,Sheet1!$B$6:$C$124,2,FALSE)</f>
        <v>0</v>
      </c>
      <c r="AA1121" s="146">
        <f t="shared" si="503"/>
        <v>0</v>
      </c>
      <c r="AB1121" s="143">
        <f t="shared" si="504"/>
        <v>0</v>
      </c>
      <c r="AC1121" s="133">
        <f t="shared" si="509"/>
        <v>0</v>
      </c>
      <c r="AD1121" s="142">
        <v>1</v>
      </c>
      <c r="AE1121" s="141"/>
      <c r="AF1121" s="121" t="s">
        <v>292</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377</v>
      </c>
      <c r="L1122" s="128" t="s">
        <v>378</v>
      </c>
      <c r="N1122" s="129"/>
      <c r="O1122" s="130" t="s">
        <v>357</v>
      </c>
      <c r="P1122" s="131">
        <f>V1122+AA1122+AH1122</f>
        <v>0</v>
      </c>
      <c r="Q1122" s="131"/>
      <c r="R1122" s="131"/>
      <c r="S1122" s="130"/>
      <c r="T1122" s="127"/>
      <c r="U1122" s="126" t="s">
        <v>351</v>
      </c>
      <c r="V1122" s="127">
        <f>W1122*80</f>
        <v>0</v>
      </c>
      <c r="W1122" s="147">
        <f>SUM(W1101:W1121)</f>
        <v>0</v>
      </c>
      <c r="X1122" s="148"/>
      <c r="Y1122" s="127" t="s">
        <v>352</v>
      </c>
      <c r="Z1122" s="116"/>
      <c r="AA1122" s="116">
        <f>SUM(AA1101:AA1121)</f>
        <v>0</v>
      </c>
      <c r="AB1122" s="149"/>
      <c r="AC1122" s="149"/>
      <c r="AD1122" s="149"/>
      <c r="AE1122" s="149"/>
      <c r="AF1122" s="127" t="s">
        <v>356</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hidden="1" x14ac:dyDescent="0.8">
      <c r="A1123" s="262">
        <f>ROW()</f>
        <v>1123</v>
      </c>
      <c r="B1123" s="234" t="s">
        <v>491</v>
      </c>
      <c r="C1123" s="217" t="str">
        <f>N1101</f>
        <v>Fire essential Chilled Water AHU with VSD</v>
      </c>
      <c r="D1123" s="260" t="s">
        <v>678</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367</v>
      </c>
      <c r="N1123" s="160" t="str">
        <f>N1101</f>
        <v>Fire essential Chilled Water AHU with VSD</v>
      </c>
      <c r="O1123" s="160" t="s">
        <v>365</v>
      </c>
      <c r="P1123" s="171" t="e">
        <f>P1122/M1101</f>
        <v>#DIV/0!</v>
      </c>
      <c r="Q1123" s="161"/>
      <c r="R1123" s="161"/>
      <c r="S1123" s="160"/>
      <c r="T1123" s="161"/>
      <c r="U1123" s="571" t="s">
        <v>366</v>
      </c>
      <c r="V1123" s="571"/>
      <c r="W1123" s="162" t="e">
        <f>W1122/M1101</f>
        <v>#DIV/0!</v>
      </c>
      <c r="X1123" s="163"/>
      <c r="Y1123" s="570" t="s">
        <v>365</v>
      </c>
      <c r="Z1123" s="570"/>
      <c r="AA1123" s="164" t="e">
        <f>AA1122/M1101</f>
        <v>#DIV/0!</v>
      </c>
      <c r="AB1123" s="161"/>
      <c r="AC1123" s="161"/>
      <c r="AD1123" s="161"/>
      <c r="AE1123" s="161"/>
      <c r="AF1123" s="570" t="s">
        <v>365</v>
      </c>
      <c r="AG1123" s="570"/>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452</v>
      </c>
      <c r="M1124" s="116" t="s">
        <v>107</v>
      </c>
      <c r="N1124" s="116" t="s">
        <v>108</v>
      </c>
      <c r="O1124" s="170" t="s">
        <v>386</v>
      </c>
      <c r="P1124" s="572" t="s">
        <v>375</v>
      </c>
      <c r="Q1124" s="572"/>
      <c r="R1124" s="101" t="s">
        <v>452</v>
      </c>
      <c r="S1124" s="116" t="s">
        <v>0</v>
      </c>
      <c r="T1124" s="118"/>
      <c r="U1124" s="116" t="s">
        <v>287</v>
      </c>
      <c r="V1124" s="116" t="s">
        <v>288</v>
      </c>
      <c r="W1124" s="116" t="s">
        <v>291</v>
      </c>
      <c r="X1124" s="140"/>
      <c r="Y1124" s="116" t="s">
        <v>289</v>
      </c>
      <c r="Z1124" s="116" t="s">
        <v>354</v>
      </c>
      <c r="AA1124" s="116" t="s">
        <v>355</v>
      </c>
      <c r="AB1124" s="116" t="s">
        <v>317</v>
      </c>
      <c r="AC1124" s="116" t="s">
        <v>318</v>
      </c>
      <c r="AD1124" s="116" t="s">
        <v>316</v>
      </c>
      <c r="AE1124" s="140"/>
      <c r="AF1124" s="116" t="s">
        <v>293</v>
      </c>
      <c r="AG1124" s="116" t="s">
        <v>354</v>
      </c>
      <c r="AH1124" s="116" t="s">
        <v>355</v>
      </c>
      <c r="AI1124" s="116" t="s">
        <v>296</v>
      </c>
      <c r="AJ1124" s="116" t="s">
        <v>294</v>
      </c>
      <c r="AK1124" s="116" t="s">
        <v>295</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563</v>
      </c>
      <c r="O1125" s="121" t="s">
        <v>347</v>
      </c>
      <c r="P1125" s="169" t="s">
        <v>379</v>
      </c>
      <c r="Q1125" s="169" t="s">
        <v>375</v>
      </c>
      <c r="R1125" s="169"/>
      <c r="S1125" s="133">
        <f>M1125</f>
        <v>0</v>
      </c>
      <c r="T1125" s="119"/>
      <c r="U1125" s="153" t="s">
        <v>292</v>
      </c>
      <c r="V1125" s="133">
        <f>S1125</f>
        <v>0</v>
      </c>
      <c r="W1125" s="133">
        <f>VLOOKUP(U1125,Sheet1!$B$6:$C$45,2,FALSE)*V1125</f>
        <v>0</v>
      </c>
      <c r="X1125" s="141"/>
      <c r="Y1125" s="121" t="s">
        <v>292</v>
      </c>
      <c r="Z1125" s="146">
        <f>VLOOKUP(Takeoffs!Y1125,Sheet1!$B$6:$C$124,2,FALSE)</f>
        <v>0</v>
      </c>
      <c r="AA1125" s="146">
        <f>Z1125*AB1125</f>
        <v>0</v>
      </c>
      <c r="AB1125" s="143">
        <f>AD1125*AC1125</f>
        <v>0</v>
      </c>
      <c r="AC1125" s="133">
        <f>S1125</f>
        <v>0</v>
      </c>
      <c r="AD1125" s="142">
        <v>1</v>
      </c>
      <c r="AE1125" s="141"/>
      <c r="AF1125" s="121" t="s">
        <v>292</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hidden="1"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411</v>
      </c>
      <c r="P1126" s="121"/>
      <c r="Q1126" s="121"/>
      <c r="R1126" s="121"/>
      <c r="S1126" s="133">
        <f>M1125</f>
        <v>0</v>
      </c>
      <c r="T1126" s="120"/>
      <c r="U1126" s="121" t="s">
        <v>233</v>
      </c>
      <c r="V1126" s="133">
        <f t="shared" ref="V1126:V1145" si="517">S1126</f>
        <v>0</v>
      </c>
      <c r="W1126" s="133">
        <f>VLOOKUP(U1126,Sheet1!$B$6:$C$45,2,FALSE)*V1126</f>
        <v>0</v>
      </c>
      <c r="X1126" s="141"/>
      <c r="Y1126" s="121" t="s">
        <v>292</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292</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hidden="1"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308</v>
      </c>
      <c r="P1127" s="121"/>
      <c r="Q1127" s="121"/>
      <c r="R1127" s="121"/>
      <c r="S1127" s="133">
        <f>M1125</f>
        <v>0</v>
      </c>
      <c r="T1127" s="120"/>
      <c r="U1127" s="121" t="s">
        <v>292</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292</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hidden="1"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505</v>
      </c>
      <c r="P1128" s="121"/>
      <c r="Q1128" s="121"/>
      <c r="R1128" s="121"/>
      <c r="S1128" s="133">
        <f>M1125</f>
        <v>0</v>
      </c>
      <c r="T1128" s="120"/>
      <c r="U1128" s="117" t="s">
        <v>478</v>
      </c>
      <c r="V1128" s="133">
        <f t="shared" si="517"/>
        <v>0</v>
      </c>
      <c r="W1128" s="133">
        <f>VLOOKUP(U1128,Sheet1!$B$6:$C$45,2,FALSE)*V1128</f>
        <v>0</v>
      </c>
      <c r="X1128" s="141"/>
      <c r="Y1128" s="121" t="s">
        <v>292</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hidden="1"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292</v>
      </c>
      <c r="V1129" s="133">
        <f t="shared" si="517"/>
        <v>0</v>
      </c>
      <c r="W1129" s="133">
        <f>VLOOKUP(U1129,Sheet1!$B$6:$C$45,2,FALSE)*V1129</f>
        <v>0</v>
      </c>
      <c r="X1129" s="141"/>
      <c r="Y1129" s="121" t="s">
        <v>292</v>
      </c>
      <c r="Z1129" s="146">
        <f>VLOOKUP(Takeoffs!Y1129,Sheet1!$B$6:$C$124,2,FALSE)</f>
        <v>0</v>
      </c>
      <c r="AA1129" s="146">
        <f t="shared" si="518"/>
        <v>0</v>
      </c>
      <c r="AB1129" s="143">
        <f t="shared" si="519"/>
        <v>0</v>
      </c>
      <c r="AC1129" s="133">
        <f t="shared" si="520"/>
        <v>0</v>
      </c>
      <c r="AD1129" s="142">
        <v>1</v>
      </c>
      <c r="AE1129" s="141"/>
      <c r="AF1129" s="121" t="s">
        <v>292</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hidden="1"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292</v>
      </c>
      <c r="V1130" s="133">
        <f t="shared" si="517"/>
        <v>0</v>
      </c>
      <c r="W1130" s="133">
        <f>VLOOKUP(U1130,Sheet1!$B$6:$C$45,2,FALSE)*V1130</f>
        <v>0</v>
      </c>
      <c r="X1130" s="141"/>
      <c r="Y1130" s="121" t="s">
        <v>292</v>
      </c>
      <c r="Z1130" s="146">
        <f>VLOOKUP(Takeoffs!Y1130,Sheet1!$B$6:$C$124,2,FALSE)</f>
        <v>0</v>
      </c>
      <c r="AA1130" s="146">
        <f t="shared" si="518"/>
        <v>0</v>
      </c>
      <c r="AB1130" s="143">
        <f t="shared" si="519"/>
        <v>0</v>
      </c>
      <c r="AC1130" s="133">
        <f t="shared" si="520"/>
        <v>0</v>
      </c>
      <c r="AD1130" s="142">
        <v>1</v>
      </c>
      <c r="AE1130" s="141"/>
      <c r="AF1130" s="121" t="s">
        <v>292</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hidden="1"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309</v>
      </c>
      <c r="P1131" s="121"/>
      <c r="Q1131" s="121"/>
      <c r="R1131" s="121"/>
      <c r="S1131" s="133">
        <f>M1125</f>
        <v>0</v>
      </c>
      <c r="T1131" s="120"/>
      <c r="U1131" s="121" t="s">
        <v>292</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292</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hidden="1"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292</v>
      </c>
      <c r="V1132" s="133">
        <f t="shared" si="517"/>
        <v>0</v>
      </c>
      <c r="W1132" s="133">
        <f>VLOOKUP(U1132,Sheet1!$B$6:$C$45,2,FALSE)*V1132</f>
        <v>0</v>
      </c>
      <c r="X1132" s="141"/>
      <c r="Y1132" s="121" t="s">
        <v>292</v>
      </c>
      <c r="Z1132" s="146">
        <f>VLOOKUP(Takeoffs!Y1132,Sheet1!$B$6:$C$124,2,FALSE)</f>
        <v>0</v>
      </c>
      <c r="AA1132" s="146">
        <f t="shared" si="518"/>
        <v>0</v>
      </c>
      <c r="AB1132" s="143">
        <f t="shared" si="519"/>
        <v>0</v>
      </c>
      <c r="AC1132" s="133">
        <f t="shared" si="520"/>
        <v>0</v>
      </c>
      <c r="AD1132" s="142">
        <v>1</v>
      </c>
      <c r="AE1132" s="141"/>
      <c r="AF1132" s="121" t="s">
        <v>292</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hidden="1"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483</v>
      </c>
      <c r="P1133" s="121"/>
      <c r="Q1133" s="121"/>
      <c r="R1133" s="121"/>
      <c r="S1133" s="133">
        <f>M1125</f>
        <v>0</v>
      </c>
      <c r="T1133" s="120"/>
      <c r="U1133" s="121" t="s">
        <v>292</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292</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hidden="1"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307</v>
      </c>
      <c r="P1134" s="121"/>
      <c r="Q1134" s="121"/>
      <c r="R1134" s="121"/>
      <c r="S1134" s="133">
        <f>M1125</f>
        <v>0</v>
      </c>
      <c r="T1134" s="120"/>
      <c r="U1134" s="121" t="s">
        <v>364</v>
      </c>
      <c r="V1134" s="133">
        <f t="shared" si="517"/>
        <v>0</v>
      </c>
      <c r="W1134" s="133">
        <f>VLOOKUP(U1134,Sheet1!$B$6:$C$45,2,FALSE)*V1134</f>
        <v>0</v>
      </c>
      <c r="X1134" s="141"/>
      <c r="Y1134" s="121" t="s">
        <v>292</v>
      </c>
      <c r="Z1134" s="146">
        <f>VLOOKUP(Takeoffs!Y1134,Sheet1!$B$6:$C$124,2,FALSE)</f>
        <v>0</v>
      </c>
      <c r="AA1134" s="146">
        <f t="shared" si="518"/>
        <v>0</v>
      </c>
      <c r="AB1134" s="143">
        <f t="shared" si="519"/>
        <v>0</v>
      </c>
      <c r="AC1134" s="133">
        <f t="shared" si="520"/>
        <v>0</v>
      </c>
      <c r="AD1134" s="142">
        <v>1</v>
      </c>
      <c r="AE1134" s="141"/>
      <c r="AF1134" s="121" t="s">
        <v>292</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hidden="1"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292</v>
      </c>
      <c r="V1135" s="133">
        <f t="shared" si="517"/>
        <v>0</v>
      </c>
      <c r="W1135" s="133">
        <f>VLOOKUP(U1135,Sheet1!$B$6:$C$45,2,FALSE)*V1135</f>
        <v>0</v>
      </c>
      <c r="X1135" s="141"/>
      <c r="Y1135" s="121" t="s">
        <v>292</v>
      </c>
      <c r="Z1135" s="146">
        <f>VLOOKUP(Takeoffs!Y1135,Sheet1!$B$6:$C$124,2,FALSE)</f>
        <v>0</v>
      </c>
      <c r="AA1135" s="146">
        <f t="shared" si="518"/>
        <v>0</v>
      </c>
      <c r="AB1135" s="143">
        <f t="shared" si="519"/>
        <v>0</v>
      </c>
      <c r="AC1135" s="133">
        <f t="shared" si="520"/>
        <v>0</v>
      </c>
      <c r="AD1135" s="142">
        <v>2</v>
      </c>
      <c r="AE1135" s="141"/>
      <c r="AF1135" s="121" t="s">
        <v>292</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hidden="1"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506</v>
      </c>
      <c r="P1136" s="121"/>
      <c r="Q1136" s="121"/>
      <c r="R1136" s="121"/>
      <c r="S1136" s="133">
        <f>M1125</f>
        <v>0</v>
      </c>
      <c r="T1136" s="120"/>
      <c r="U1136" s="121" t="s">
        <v>292</v>
      </c>
      <c r="V1136" s="133">
        <f t="shared" si="517"/>
        <v>0</v>
      </c>
      <c r="W1136" s="133">
        <f>VLOOKUP(U1136,Sheet1!$B$6:$C$45,2,FALSE)*V1136</f>
        <v>0</v>
      </c>
      <c r="X1136" s="141"/>
      <c r="Y1136" s="121" t="s">
        <v>292</v>
      </c>
      <c r="Z1136" s="146">
        <f>VLOOKUP(Takeoffs!Y1136,Sheet1!$B$6:$C$124,2,FALSE)</f>
        <v>0</v>
      </c>
      <c r="AA1136" s="146">
        <f t="shared" si="518"/>
        <v>0</v>
      </c>
      <c r="AB1136" s="143">
        <f t="shared" si="519"/>
        <v>0</v>
      </c>
      <c r="AC1136" s="133">
        <f t="shared" si="520"/>
        <v>0</v>
      </c>
      <c r="AD1136" s="142">
        <v>1</v>
      </c>
      <c r="AE1136" s="141"/>
      <c r="AF1136" s="121" t="s">
        <v>292</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hidden="1"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363</v>
      </c>
      <c r="V1137" s="133">
        <f t="shared" si="517"/>
        <v>0</v>
      </c>
      <c r="W1137" s="133">
        <f>VLOOKUP(U1137,Sheet1!$B$6:$C$45,2,FALSE)*V1137</f>
        <v>0</v>
      </c>
      <c r="X1137" s="141"/>
      <c r="Y1137" s="121" t="s">
        <v>292</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hidden="1"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1344</v>
      </c>
      <c r="Z1138" s="146">
        <f>VLOOKUP(Takeoffs!Y1138,Sheet1!$B$6:$C$124,2,FALSE)</f>
        <v>109.25999999999999</v>
      </c>
      <c r="AA1138" s="146">
        <f t="shared" si="518"/>
        <v>0</v>
      </c>
      <c r="AB1138" s="143">
        <f t="shared" si="519"/>
        <v>0</v>
      </c>
      <c r="AC1138" s="133">
        <f t="shared" si="520"/>
        <v>0</v>
      </c>
      <c r="AD1138" s="142">
        <v>1</v>
      </c>
      <c r="AE1138" s="141"/>
      <c r="AF1138" s="121" t="s">
        <v>292</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hidden="1"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484</v>
      </c>
      <c r="P1139" s="121"/>
      <c r="Q1139" s="121"/>
      <c r="R1139" s="121"/>
      <c r="S1139" s="133">
        <f>M1125</f>
        <v>0</v>
      </c>
      <c r="T1139" s="120"/>
      <c r="U1139" s="121" t="s">
        <v>363</v>
      </c>
      <c r="V1139" s="133">
        <f t="shared" si="517"/>
        <v>0</v>
      </c>
      <c r="W1139" s="133">
        <f>VLOOKUP(U1139,Sheet1!$B$6:$C$45,2,FALSE)*V1139</f>
        <v>0</v>
      </c>
      <c r="X1139" s="141"/>
      <c r="Y1139" s="122" t="s">
        <v>321</v>
      </c>
      <c r="Z1139" s="146">
        <f>VLOOKUP(Takeoffs!Y1139,Sheet1!$B$6:$C$124,2,FALSE)</f>
        <v>60</v>
      </c>
      <c r="AA1139" s="146">
        <f t="shared" si="518"/>
        <v>0</v>
      </c>
      <c r="AB1139" s="143">
        <f t="shared" si="519"/>
        <v>0</v>
      </c>
      <c r="AC1139" s="133">
        <f t="shared" si="520"/>
        <v>0</v>
      </c>
      <c r="AD1139" s="142">
        <v>1</v>
      </c>
      <c r="AE1139" s="141"/>
      <c r="AF1139" s="121" t="s">
        <v>292</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hidden="1"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314</v>
      </c>
      <c r="P1140" s="121"/>
      <c r="Q1140" s="121"/>
      <c r="R1140" s="121" t="s">
        <v>455</v>
      </c>
      <c r="S1140" s="133">
        <f>M1125</f>
        <v>0</v>
      </c>
      <c r="T1140" s="120"/>
      <c r="U1140" s="121" t="s">
        <v>292</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292</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hidden="1"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315</v>
      </c>
      <c r="P1141" s="121"/>
      <c r="Q1141" s="121"/>
      <c r="R1141" s="121"/>
      <c r="S1141" s="133">
        <f>M1125</f>
        <v>0</v>
      </c>
      <c r="T1141" s="120"/>
      <c r="U1141" s="121" t="s">
        <v>292</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292</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hidden="1"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329</v>
      </c>
      <c r="P1142" s="121"/>
      <c r="Q1142" s="121"/>
      <c r="R1142" s="121" t="s">
        <v>304</v>
      </c>
      <c r="S1142" s="133">
        <f>M1125</f>
        <v>0</v>
      </c>
      <c r="T1142" s="120"/>
      <c r="U1142" s="121" t="s">
        <v>292</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292</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hidden="1"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292</v>
      </c>
      <c r="V1143" s="133">
        <f t="shared" si="517"/>
        <v>0</v>
      </c>
      <c r="W1143" s="133">
        <f>VLOOKUP(U1143,Sheet1!$B$6:$C$45,2,FALSE)*V1143</f>
        <v>0</v>
      </c>
      <c r="X1143" s="141"/>
      <c r="Y1143" s="121" t="s">
        <v>292</v>
      </c>
      <c r="Z1143" s="146">
        <f>VLOOKUP(Takeoffs!Y1143,Sheet1!$B$6:$C$124,2,FALSE)</f>
        <v>0</v>
      </c>
      <c r="AA1143" s="146">
        <f t="shared" si="518"/>
        <v>0</v>
      </c>
      <c r="AB1143" s="143">
        <f t="shared" si="519"/>
        <v>0</v>
      </c>
      <c r="AC1143" s="133">
        <f t="shared" si="520"/>
        <v>0</v>
      </c>
      <c r="AD1143" s="142">
        <v>1</v>
      </c>
      <c r="AE1143" s="141"/>
      <c r="AF1143" s="121" t="s">
        <v>292</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hidden="1"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292</v>
      </c>
      <c r="V1144" s="133">
        <f t="shared" si="517"/>
        <v>0</v>
      </c>
      <c r="W1144" s="133">
        <f>VLOOKUP(U1144,Sheet1!$B$6:$C$45,2,FALSE)*V1144</f>
        <v>0</v>
      </c>
      <c r="X1144" s="141"/>
      <c r="Y1144" s="121" t="s">
        <v>292</v>
      </c>
      <c r="Z1144" s="146">
        <f>VLOOKUP(Takeoffs!Y1144,Sheet1!$B$6:$C$124,2,FALSE)</f>
        <v>0</v>
      </c>
      <c r="AA1144" s="146">
        <f t="shared" si="518"/>
        <v>0</v>
      </c>
      <c r="AB1144" s="143">
        <f t="shared" si="519"/>
        <v>0</v>
      </c>
      <c r="AC1144" s="133">
        <f t="shared" si="520"/>
        <v>0</v>
      </c>
      <c r="AD1144" s="142">
        <v>1</v>
      </c>
      <c r="AE1144" s="141"/>
      <c r="AF1144" s="121" t="s">
        <v>292</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hidden="1"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408</v>
      </c>
      <c r="P1145" s="121"/>
      <c r="Q1145" s="121"/>
      <c r="R1145" s="121"/>
      <c r="S1145" s="133">
        <f>M1125</f>
        <v>0</v>
      </c>
      <c r="T1145" s="120"/>
      <c r="U1145" s="121" t="s">
        <v>364</v>
      </c>
      <c r="V1145" s="133">
        <f t="shared" si="517"/>
        <v>0</v>
      </c>
      <c r="W1145" s="133">
        <f>VLOOKUP(U1145,Sheet1!$B$6:$C$45,2,FALSE)*V1145</f>
        <v>0</v>
      </c>
      <c r="X1145" s="141"/>
      <c r="Y1145" s="121" t="s">
        <v>292</v>
      </c>
      <c r="Z1145" s="146">
        <f>VLOOKUP(Takeoffs!Y1145,Sheet1!$B$6:$C$124,2,FALSE)</f>
        <v>0</v>
      </c>
      <c r="AA1145" s="146">
        <f t="shared" si="518"/>
        <v>0</v>
      </c>
      <c r="AB1145" s="143">
        <f t="shared" si="519"/>
        <v>0</v>
      </c>
      <c r="AC1145" s="133">
        <f t="shared" si="520"/>
        <v>0</v>
      </c>
      <c r="AD1145" s="142">
        <v>1</v>
      </c>
      <c r="AE1145" s="141"/>
      <c r="AF1145" s="121" t="s">
        <v>292</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377</v>
      </c>
      <c r="L1146" s="128" t="s">
        <v>378</v>
      </c>
      <c r="N1146" s="129"/>
      <c r="O1146" s="130" t="s">
        <v>357</v>
      </c>
      <c r="P1146" s="155">
        <f>V1146+AA1146+AH1146</f>
        <v>0</v>
      </c>
      <c r="Q1146" s="155"/>
      <c r="R1146" s="131"/>
      <c r="S1146" s="130"/>
      <c r="T1146" s="127"/>
      <c r="U1146" s="126" t="s">
        <v>351</v>
      </c>
      <c r="V1146" s="127">
        <f>W1146*80</f>
        <v>0</v>
      </c>
      <c r="W1146" s="147">
        <f>SUM(W1125:W1145)</f>
        <v>0</v>
      </c>
      <c r="X1146" s="148"/>
      <c r="Y1146" s="127" t="s">
        <v>352</v>
      </c>
      <c r="Z1146" s="116"/>
      <c r="AA1146" s="116">
        <f>SUM(AA1125:AA1145)</f>
        <v>0</v>
      </c>
      <c r="AB1146" s="149"/>
      <c r="AC1146" s="149"/>
      <c r="AD1146" s="149"/>
      <c r="AE1146" s="149"/>
      <c r="AF1146" s="127" t="s">
        <v>356</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hidden="1" thickBot="1" x14ac:dyDescent="1.25">
      <c r="A1147" s="262">
        <f>ROW()</f>
        <v>1147</v>
      </c>
      <c r="B1147" s="234" t="s">
        <v>491</v>
      </c>
      <c r="C1147" s="217" t="str">
        <f>N1125</f>
        <v>Chilled Water Precision Cooling Unit</v>
      </c>
      <c r="D1147" s="260" t="s">
        <v>678</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367</v>
      </c>
      <c r="N1147" s="160" t="str">
        <f>N1125</f>
        <v>Chilled Water Precision Cooling Unit</v>
      </c>
      <c r="O1147" s="185" t="s">
        <v>365</v>
      </c>
      <c r="P1147" s="203" t="e">
        <f>P1146/M1125</f>
        <v>#DIV/0!</v>
      </c>
      <c r="Q1147" s="195"/>
      <c r="R1147" s="188"/>
      <c r="S1147" s="160"/>
      <c r="T1147" s="161"/>
      <c r="U1147" s="571" t="s">
        <v>366</v>
      </c>
      <c r="V1147" s="571"/>
      <c r="W1147" s="162" t="e">
        <f>W1146/M1125</f>
        <v>#DIV/0!</v>
      </c>
      <c r="X1147" s="163"/>
      <c r="Y1147" s="570" t="s">
        <v>365</v>
      </c>
      <c r="Z1147" s="570"/>
      <c r="AA1147" s="164" t="e">
        <f>AA1146/M1125</f>
        <v>#DIV/0!</v>
      </c>
      <c r="AB1147" s="161"/>
      <c r="AC1147" s="161"/>
      <c r="AD1147" s="161"/>
      <c r="AE1147" s="161"/>
      <c r="AF1147" s="570" t="s">
        <v>365</v>
      </c>
      <c r="AG1147" s="570"/>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452</v>
      </c>
      <c r="M1148" s="116" t="s">
        <v>107</v>
      </c>
      <c r="N1148" s="116" t="s">
        <v>108</v>
      </c>
      <c r="O1148" s="170" t="s">
        <v>386</v>
      </c>
      <c r="P1148" s="572" t="s">
        <v>375</v>
      </c>
      <c r="Q1148" s="572"/>
      <c r="R1148" s="101" t="s">
        <v>452</v>
      </c>
      <c r="S1148" s="116" t="s">
        <v>0</v>
      </c>
      <c r="T1148" s="118"/>
      <c r="U1148" s="116" t="s">
        <v>287</v>
      </c>
      <c r="V1148" s="116" t="s">
        <v>288</v>
      </c>
      <c r="W1148" s="116" t="s">
        <v>291</v>
      </c>
      <c r="X1148" s="140"/>
      <c r="Y1148" s="116" t="s">
        <v>289</v>
      </c>
      <c r="Z1148" s="116" t="s">
        <v>354</v>
      </c>
      <c r="AA1148" s="116" t="s">
        <v>355</v>
      </c>
      <c r="AB1148" s="116" t="s">
        <v>317</v>
      </c>
      <c r="AC1148" s="116" t="s">
        <v>318</v>
      </c>
      <c r="AD1148" s="116" t="s">
        <v>316</v>
      </c>
      <c r="AE1148" s="140"/>
      <c r="AF1148" s="116" t="s">
        <v>293</v>
      </c>
      <c r="AG1148" s="116" t="s">
        <v>354</v>
      </c>
      <c r="AH1148" s="116" t="s">
        <v>355</v>
      </c>
      <c r="AI1148" s="116" t="s">
        <v>296</v>
      </c>
      <c r="AJ1148" s="116" t="s">
        <v>294</v>
      </c>
      <c r="AK1148" s="116" t="s">
        <v>295</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482</v>
      </c>
      <c r="O1149" s="121" t="s">
        <v>347</v>
      </c>
      <c r="P1149" s="169" t="s">
        <v>379</v>
      </c>
      <c r="Q1149" s="169" t="s">
        <v>375</v>
      </c>
      <c r="R1149" s="169"/>
      <c r="S1149" s="133">
        <f>M1149</f>
        <v>0</v>
      </c>
      <c r="T1149" s="119"/>
      <c r="U1149" s="153" t="s">
        <v>292</v>
      </c>
      <c r="V1149" s="133">
        <f>S1149</f>
        <v>0</v>
      </c>
      <c r="W1149" s="133">
        <f>VLOOKUP(U1149,Sheet1!$B$6:$C$45,2,FALSE)*V1149</f>
        <v>0</v>
      </c>
      <c r="X1149" s="141"/>
      <c r="Y1149" s="121" t="s">
        <v>292</v>
      </c>
      <c r="Z1149" s="146">
        <f>VLOOKUP(Takeoffs!Y1149,Sheet1!$B$6:$C$124,2,FALSE)</f>
        <v>0</v>
      </c>
      <c r="AA1149" s="146">
        <f>Z1149*AB1149</f>
        <v>0</v>
      </c>
      <c r="AB1149" s="143">
        <f>AD1149*AC1149</f>
        <v>0</v>
      </c>
      <c r="AC1149" s="133">
        <f>S1149</f>
        <v>0</v>
      </c>
      <c r="AD1149" s="142">
        <v>1</v>
      </c>
      <c r="AE1149" s="141"/>
      <c r="AF1149" s="121" t="s">
        <v>292</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hidden="1"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411</v>
      </c>
      <c r="P1150" s="121"/>
      <c r="Q1150" s="121"/>
      <c r="R1150" s="121"/>
      <c r="S1150" s="133">
        <f>M1149</f>
        <v>0</v>
      </c>
      <c r="T1150" s="120"/>
      <c r="U1150" s="121" t="s">
        <v>233</v>
      </c>
      <c r="V1150" s="133">
        <f t="shared" ref="V1150:V1169" si="527">S1150</f>
        <v>0</v>
      </c>
      <c r="W1150" s="133">
        <f>VLOOKUP(U1150,Sheet1!$B$6:$C$45,2,FALSE)*V1150</f>
        <v>0</v>
      </c>
      <c r="X1150" s="141"/>
      <c r="Y1150" s="121" t="s">
        <v>292</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292</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hidden="1"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308</v>
      </c>
      <c r="P1151" s="121"/>
      <c r="Q1151" s="121"/>
      <c r="R1151" s="121"/>
      <c r="S1151" s="133">
        <f>M1149</f>
        <v>0</v>
      </c>
      <c r="T1151" s="120"/>
      <c r="U1151" s="121" t="s">
        <v>292</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292</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hidden="1"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505</v>
      </c>
      <c r="P1152" s="121"/>
      <c r="Q1152" s="121"/>
      <c r="R1152" s="121"/>
      <c r="S1152" s="133">
        <f>M1149</f>
        <v>0</v>
      </c>
      <c r="T1152" s="120"/>
      <c r="U1152" s="117" t="s">
        <v>478</v>
      </c>
      <c r="V1152" s="133">
        <f t="shared" si="527"/>
        <v>0</v>
      </c>
      <c r="W1152" s="133">
        <f>VLOOKUP(U1152,Sheet1!$B$6:$C$45,2,FALSE)*V1152</f>
        <v>0</v>
      </c>
      <c r="X1152" s="141"/>
      <c r="Y1152" s="121" t="s">
        <v>292</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hidden="1"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292</v>
      </c>
      <c r="V1153" s="133">
        <f t="shared" si="527"/>
        <v>0</v>
      </c>
      <c r="W1153" s="133">
        <f>VLOOKUP(U1153,Sheet1!$B$6:$C$45,2,FALSE)*V1153</f>
        <v>0</v>
      </c>
      <c r="X1153" s="141"/>
      <c r="Y1153" s="121" t="s">
        <v>292</v>
      </c>
      <c r="Z1153" s="146">
        <f>VLOOKUP(Takeoffs!Y1153,Sheet1!$B$6:$C$124,2,FALSE)</f>
        <v>0</v>
      </c>
      <c r="AA1153" s="146">
        <f t="shared" si="528"/>
        <v>0</v>
      </c>
      <c r="AB1153" s="143">
        <f t="shared" si="529"/>
        <v>0</v>
      </c>
      <c r="AC1153" s="133">
        <f t="shared" si="534"/>
        <v>0</v>
      </c>
      <c r="AD1153" s="142">
        <v>1</v>
      </c>
      <c r="AE1153" s="141"/>
      <c r="AF1153" s="121" t="s">
        <v>292</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hidden="1"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292</v>
      </c>
      <c r="V1154" s="133">
        <f t="shared" si="527"/>
        <v>0</v>
      </c>
      <c r="W1154" s="133">
        <f>VLOOKUP(U1154,Sheet1!$B$6:$C$45,2,FALSE)*V1154</f>
        <v>0</v>
      </c>
      <c r="X1154" s="141"/>
      <c r="Y1154" s="121" t="s">
        <v>292</v>
      </c>
      <c r="Z1154" s="146">
        <f>VLOOKUP(Takeoffs!Y1154,Sheet1!$B$6:$C$124,2,FALSE)</f>
        <v>0</v>
      </c>
      <c r="AA1154" s="146">
        <f t="shared" si="528"/>
        <v>0</v>
      </c>
      <c r="AB1154" s="143">
        <f t="shared" si="529"/>
        <v>0</v>
      </c>
      <c r="AC1154" s="133">
        <f t="shared" si="534"/>
        <v>0</v>
      </c>
      <c r="AD1154" s="142">
        <v>1</v>
      </c>
      <c r="AE1154" s="141"/>
      <c r="AF1154" s="121" t="s">
        <v>292</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hidden="1"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309</v>
      </c>
      <c r="P1155" s="121"/>
      <c r="Q1155" s="121"/>
      <c r="R1155" s="121"/>
      <c r="S1155" s="133">
        <f>M1149</f>
        <v>0</v>
      </c>
      <c r="T1155" s="120"/>
      <c r="U1155" s="121" t="s">
        <v>292</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292</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hidden="1"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310</v>
      </c>
      <c r="P1156" s="121"/>
      <c r="Q1156" s="121"/>
      <c r="R1156" s="121"/>
      <c r="S1156" s="133">
        <f>M1149</f>
        <v>0</v>
      </c>
      <c r="T1156" s="120"/>
      <c r="U1156" s="121" t="s">
        <v>292</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292</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hidden="1"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483</v>
      </c>
      <c r="P1157" s="121"/>
      <c r="Q1157" s="121"/>
      <c r="R1157" s="121"/>
      <c r="S1157" s="133">
        <f>M1149</f>
        <v>0</v>
      </c>
      <c r="T1157" s="120"/>
      <c r="U1157" s="121" t="s">
        <v>292</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292</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hidden="1"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307</v>
      </c>
      <c r="P1158" s="121"/>
      <c r="Q1158" s="121"/>
      <c r="R1158" s="121"/>
      <c r="S1158" s="133">
        <f>M1149</f>
        <v>0</v>
      </c>
      <c r="T1158" s="120"/>
      <c r="U1158" s="121" t="s">
        <v>364</v>
      </c>
      <c r="V1158" s="133">
        <f t="shared" si="527"/>
        <v>0</v>
      </c>
      <c r="W1158" s="133">
        <f>VLOOKUP(U1158,Sheet1!$B$6:$C$45,2,FALSE)*V1158</f>
        <v>0</v>
      </c>
      <c r="X1158" s="141"/>
      <c r="Y1158" s="121" t="s">
        <v>292</v>
      </c>
      <c r="Z1158" s="146">
        <f>VLOOKUP(Takeoffs!Y1158,Sheet1!$B$6:$C$124,2,FALSE)</f>
        <v>0</v>
      </c>
      <c r="AA1158" s="146">
        <f t="shared" si="528"/>
        <v>0</v>
      </c>
      <c r="AB1158" s="143">
        <f t="shared" si="529"/>
        <v>0</v>
      </c>
      <c r="AC1158" s="133">
        <f t="shared" si="534"/>
        <v>0</v>
      </c>
      <c r="AD1158" s="142">
        <v>1</v>
      </c>
      <c r="AE1158" s="141"/>
      <c r="AF1158" s="121" t="s">
        <v>292</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hidden="1"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500</v>
      </c>
      <c r="P1159" s="121"/>
      <c r="Q1159" s="121"/>
      <c r="R1159" s="121"/>
      <c r="S1159" s="133">
        <f>M1149</f>
        <v>0</v>
      </c>
      <c r="T1159" s="120"/>
      <c r="U1159" s="121" t="s">
        <v>292</v>
      </c>
      <c r="V1159" s="133">
        <f t="shared" si="527"/>
        <v>0</v>
      </c>
      <c r="W1159" s="133">
        <f>VLOOKUP(U1159,Sheet1!$B$6:$C$45,2,FALSE)*V1159</f>
        <v>0</v>
      </c>
      <c r="X1159" s="141"/>
      <c r="Y1159" s="121" t="s">
        <v>292</v>
      </c>
      <c r="Z1159" s="146">
        <f>VLOOKUP(Takeoffs!Y1159,Sheet1!$B$6:$C$124,2,FALSE)</f>
        <v>0</v>
      </c>
      <c r="AA1159" s="146">
        <f t="shared" si="528"/>
        <v>0</v>
      </c>
      <c r="AB1159" s="143">
        <f t="shared" si="529"/>
        <v>0</v>
      </c>
      <c r="AC1159" s="133">
        <f t="shared" si="534"/>
        <v>0</v>
      </c>
      <c r="AD1159" s="142">
        <v>2</v>
      </c>
      <c r="AE1159" s="141"/>
      <c r="AF1159" s="121" t="s">
        <v>292</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hidden="1"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506</v>
      </c>
      <c r="P1160" s="121"/>
      <c r="Q1160" s="121"/>
      <c r="R1160" s="121"/>
      <c r="S1160" s="133">
        <f>M1149</f>
        <v>0</v>
      </c>
      <c r="T1160" s="120"/>
      <c r="U1160" s="121" t="s">
        <v>292</v>
      </c>
      <c r="V1160" s="133">
        <f t="shared" si="527"/>
        <v>0</v>
      </c>
      <c r="W1160" s="133">
        <f>VLOOKUP(U1160,Sheet1!$B$6:$C$45,2,FALSE)*V1160</f>
        <v>0</v>
      </c>
      <c r="X1160" s="141"/>
      <c r="Y1160" s="121" t="s">
        <v>292</v>
      </c>
      <c r="Z1160" s="146">
        <f>VLOOKUP(Takeoffs!Y1160,Sheet1!$B$6:$C$124,2,FALSE)</f>
        <v>0</v>
      </c>
      <c r="AA1160" s="146">
        <f t="shared" si="528"/>
        <v>0</v>
      </c>
      <c r="AB1160" s="143">
        <f t="shared" si="529"/>
        <v>0</v>
      </c>
      <c r="AC1160" s="133">
        <f t="shared" si="534"/>
        <v>0</v>
      </c>
      <c r="AD1160" s="142">
        <v>1</v>
      </c>
      <c r="AE1160" s="141"/>
      <c r="AF1160" s="121" t="s">
        <v>292</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hidden="1"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363</v>
      </c>
      <c r="V1161" s="133">
        <f t="shared" si="527"/>
        <v>0</v>
      </c>
      <c r="W1161" s="133">
        <f>VLOOKUP(U1161,Sheet1!$B$6:$C$45,2,FALSE)*V1161</f>
        <v>0</v>
      </c>
      <c r="X1161" s="141"/>
      <c r="Y1161" s="121" t="s">
        <v>292</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hidden="1"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312</v>
      </c>
      <c r="P1162" s="121"/>
      <c r="Q1162" s="121"/>
      <c r="R1162" s="121"/>
      <c r="S1162" s="133">
        <f>M1149</f>
        <v>0</v>
      </c>
      <c r="T1162" s="120"/>
      <c r="U1162" s="121" t="s">
        <v>232</v>
      </c>
      <c r="V1162" s="133">
        <f t="shared" si="527"/>
        <v>0</v>
      </c>
      <c r="W1162" s="133">
        <f>VLOOKUP(U1162,Sheet1!$B$6:$C$45,2,FALSE)*V1162</f>
        <v>0</v>
      </c>
      <c r="X1162" s="141"/>
      <c r="Y1162" s="122" t="s">
        <v>1344</v>
      </c>
      <c r="Z1162" s="146">
        <f>VLOOKUP(Takeoffs!Y1162,Sheet1!$B$6:$C$124,2,FALSE)</f>
        <v>109.25999999999999</v>
      </c>
      <c r="AA1162" s="146">
        <f t="shared" si="528"/>
        <v>0</v>
      </c>
      <c r="AB1162" s="143">
        <f t="shared" si="529"/>
        <v>0</v>
      </c>
      <c r="AC1162" s="133">
        <f t="shared" si="534"/>
        <v>0</v>
      </c>
      <c r="AD1162" s="142">
        <v>1</v>
      </c>
      <c r="AE1162" s="141"/>
      <c r="AF1162" s="121" t="s">
        <v>292</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hidden="1"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484</v>
      </c>
      <c r="P1163" s="121"/>
      <c r="Q1163" s="121"/>
      <c r="R1163" s="121"/>
      <c r="S1163" s="133">
        <f>M1149</f>
        <v>0</v>
      </c>
      <c r="T1163" s="120"/>
      <c r="U1163" s="121" t="s">
        <v>363</v>
      </c>
      <c r="V1163" s="133">
        <f t="shared" si="527"/>
        <v>0</v>
      </c>
      <c r="W1163" s="133">
        <f>VLOOKUP(U1163,Sheet1!$B$6:$C$45,2,FALSE)*V1163</f>
        <v>0</v>
      </c>
      <c r="X1163" s="141"/>
      <c r="Y1163" s="122" t="s">
        <v>321</v>
      </c>
      <c r="Z1163" s="146">
        <f>VLOOKUP(Takeoffs!Y1163,Sheet1!$B$6:$C$124,2,FALSE)</f>
        <v>60</v>
      </c>
      <c r="AA1163" s="146">
        <f t="shared" si="528"/>
        <v>0</v>
      </c>
      <c r="AB1163" s="143">
        <f t="shared" si="529"/>
        <v>0</v>
      </c>
      <c r="AC1163" s="133">
        <f t="shared" si="534"/>
        <v>0</v>
      </c>
      <c r="AD1163" s="142">
        <v>1</v>
      </c>
      <c r="AE1163" s="141"/>
      <c r="AF1163" s="121" t="s">
        <v>292</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hidden="1"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314</v>
      </c>
      <c r="P1164" s="121"/>
      <c r="Q1164" s="121"/>
      <c r="R1164" s="121" t="s">
        <v>455</v>
      </c>
      <c r="S1164" s="133">
        <f>M1149</f>
        <v>0</v>
      </c>
      <c r="T1164" s="120"/>
      <c r="U1164" s="121" t="s">
        <v>292</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292</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hidden="1"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315</v>
      </c>
      <c r="P1165" s="121"/>
      <c r="Q1165" s="121"/>
      <c r="R1165" s="121"/>
      <c r="S1165" s="133">
        <f>M1149</f>
        <v>0</v>
      </c>
      <c r="T1165" s="120"/>
      <c r="U1165" s="121" t="s">
        <v>292</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292</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hidden="1"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329</v>
      </c>
      <c r="P1166" s="121"/>
      <c r="Q1166" s="121"/>
      <c r="R1166" s="121" t="s">
        <v>304</v>
      </c>
      <c r="S1166" s="133">
        <f>M1149</f>
        <v>0</v>
      </c>
      <c r="T1166" s="120"/>
      <c r="U1166" s="121" t="s">
        <v>292</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292</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hidden="1"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292</v>
      </c>
      <c r="V1167" s="133">
        <f t="shared" si="527"/>
        <v>0</v>
      </c>
      <c r="W1167" s="133">
        <f>VLOOKUP(U1167,Sheet1!$B$6:$C$45,2,FALSE)*V1167</f>
        <v>0</v>
      </c>
      <c r="X1167" s="141"/>
      <c r="Y1167" s="121" t="s">
        <v>292</v>
      </c>
      <c r="Z1167" s="146">
        <f>VLOOKUP(Takeoffs!Y1167,Sheet1!$B$6:$C$124,2,FALSE)</f>
        <v>0</v>
      </c>
      <c r="AA1167" s="146">
        <f t="shared" si="528"/>
        <v>0</v>
      </c>
      <c r="AB1167" s="143">
        <f t="shared" si="529"/>
        <v>0</v>
      </c>
      <c r="AC1167" s="133">
        <f t="shared" si="534"/>
        <v>0</v>
      </c>
      <c r="AD1167" s="142">
        <v>1</v>
      </c>
      <c r="AE1167" s="141"/>
      <c r="AF1167" s="121" t="s">
        <v>292</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hidden="1"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412</v>
      </c>
      <c r="P1168" s="121" t="s">
        <v>380</v>
      </c>
      <c r="Q1168" s="121" t="s">
        <v>384</v>
      </c>
      <c r="R1168" s="121"/>
      <c r="S1168" s="133">
        <f>M1149</f>
        <v>0</v>
      </c>
      <c r="T1168" s="120"/>
      <c r="U1168" s="121" t="s">
        <v>292</v>
      </c>
      <c r="V1168" s="133">
        <f t="shared" si="527"/>
        <v>0</v>
      </c>
      <c r="W1168" s="133">
        <f>VLOOKUP(U1168,Sheet1!$B$6:$C$45,2,FALSE)*V1168</f>
        <v>0</v>
      </c>
      <c r="X1168" s="141"/>
      <c r="Y1168" s="122" t="s">
        <v>322</v>
      </c>
      <c r="Z1168" s="146">
        <f>VLOOKUP(Takeoffs!Y1168,Sheet1!$B$6:$C$124,2,FALSE)</f>
        <v>48</v>
      </c>
      <c r="AA1168" s="146">
        <f t="shared" si="528"/>
        <v>0</v>
      </c>
      <c r="AB1168" s="143">
        <f t="shared" si="529"/>
        <v>0</v>
      </c>
      <c r="AC1168" s="133">
        <f t="shared" si="534"/>
        <v>0</v>
      </c>
      <c r="AD1168" s="142">
        <v>1</v>
      </c>
      <c r="AE1168" s="141"/>
      <c r="AF1168" s="121" t="s">
        <v>292</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hidden="1"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408</v>
      </c>
      <c r="P1169" s="121"/>
      <c r="Q1169" s="121"/>
      <c r="R1169" s="121"/>
      <c r="S1169" s="133">
        <f>M1149</f>
        <v>0</v>
      </c>
      <c r="T1169" s="120"/>
      <c r="U1169" s="121" t="s">
        <v>364</v>
      </c>
      <c r="V1169" s="133">
        <f t="shared" si="527"/>
        <v>0</v>
      </c>
      <c r="W1169" s="133">
        <f>VLOOKUP(U1169,Sheet1!$B$6:$C$45,2,FALSE)*V1169</f>
        <v>0</v>
      </c>
      <c r="X1169" s="141"/>
      <c r="Y1169" s="121" t="s">
        <v>292</v>
      </c>
      <c r="Z1169" s="146">
        <f>VLOOKUP(Takeoffs!Y1169,Sheet1!$B$6:$C$124,2,FALSE)</f>
        <v>0</v>
      </c>
      <c r="AA1169" s="146">
        <f t="shared" si="528"/>
        <v>0</v>
      </c>
      <c r="AB1169" s="143">
        <f t="shared" si="529"/>
        <v>0</v>
      </c>
      <c r="AC1169" s="133">
        <f t="shared" si="534"/>
        <v>0</v>
      </c>
      <c r="AD1169" s="142">
        <v>1</v>
      </c>
      <c r="AE1169" s="141"/>
      <c r="AF1169" s="121" t="s">
        <v>292</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377</v>
      </c>
      <c r="L1170" s="128" t="s">
        <v>378</v>
      </c>
      <c r="N1170" s="129"/>
      <c r="O1170" s="130" t="s">
        <v>357</v>
      </c>
      <c r="P1170" s="155">
        <f>V1170+AA1170+AH1170</f>
        <v>0</v>
      </c>
      <c r="Q1170" s="155"/>
      <c r="R1170" s="131"/>
      <c r="S1170" s="130"/>
      <c r="T1170" s="127"/>
      <c r="U1170" s="126" t="s">
        <v>351</v>
      </c>
      <c r="V1170" s="127">
        <f>W1170*80</f>
        <v>0</v>
      </c>
      <c r="W1170" s="147">
        <f>SUM(W1149:W1169)</f>
        <v>0</v>
      </c>
      <c r="X1170" s="148"/>
      <c r="Y1170" s="127" t="s">
        <v>352</v>
      </c>
      <c r="Z1170" s="116"/>
      <c r="AA1170" s="116">
        <f>SUM(AA1149:AA1169)</f>
        <v>0</v>
      </c>
      <c r="AB1170" s="149"/>
      <c r="AC1170" s="149"/>
      <c r="AD1170" s="149"/>
      <c r="AE1170" s="149"/>
      <c r="AF1170" s="127" t="s">
        <v>356</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hidden="1" thickBot="1" x14ac:dyDescent="1.25">
      <c r="A1171" s="262">
        <f>ROW()</f>
        <v>1171</v>
      </c>
      <c r="B1171" s="234" t="s">
        <v>491</v>
      </c>
      <c r="C1171" s="217" t="str">
        <f>N1149</f>
        <v>Chilled Water Fancoil Unit ( single speed)</v>
      </c>
      <c r="D1171" s="260" t="s">
        <v>677</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367</v>
      </c>
      <c r="N1171" s="160" t="str">
        <f>N1149</f>
        <v>Chilled Water Fancoil Unit ( single speed)</v>
      </c>
      <c r="O1171" s="185" t="s">
        <v>365</v>
      </c>
      <c r="P1171" s="203" t="e">
        <f>P1170/M1149</f>
        <v>#DIV/0!</v>
      </c>
      <c r="Q1171" s="195"/>
      <c r="R1171" s="188"/>
      <c r="S1171" s="160"/>
      <c r="T1171" s="161"/>
      <c r="U1171" s="571" t="s">
        <v>366</v>
      </c>
      <c r="V1171" s="571"/>
      <c r="W1171" s="162" t="e">
        <f>W1170/M1149</f>
        <v>#DIV/0!</v>
      </c>
      <c r="X1171" s="163"/>
      <c r="Y1171" s="570" t="s">
        <v>365</v>
      </c>
      <c r="Z1171" s="570"/>
      <c r="AA1171" s="164" t="e">
        <f>AA1170/M1149</f>
        <v>#DIV/0!</v>
      </c>
      <c r="AB1171" s="161"/>
      <c r="AC1171" s="161"/>
      <c r="AD1171" s="161"/>
      <c r="AE1171" s="161"/>
      <c r="AF1171" s="570" t="s">
        <v>365</v>
      </c>
      <c r="AG1171" s="570"/>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hidden="1" x14ac:dyDescent="1.2">
      <c r="A1172" s="262">
        <f>ROW()</f>
        <v>1172</v>
      </c>
      <c r="B1172" s="261" t="s">
        <v>491</v>
      </c>
      <c r="D1172" s="261" t="str">
        <f>IF(B1172="Shopping List",IF(ISNUMBER(SEARCH("MSSB",C1172)),"MSSB",IF(ISNUMBER(SEARCH("local",C1172)),"LOCAL","")))</f>
        <v/>
      </c>
      <c r="I1172" s="269">
        <f>SUM(I1196:I1630)</f>
        <v>0</v>
      </c>
      <c r="J1172" s="261" t="s">
        <v>496</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492</v>
      </c>
      <c r="D1173" s="211"/>
      <c r="E1173" s="218"/>
      <c r="F1173" s="218"/>
      <c r="G1173" s="218"/>
      <c r="H1173" s="218"/>
      <c r="I1173" s="240" t="s">
        <v>0</v>
      </c>
      <c r="J1173" s="116" t="s">
        <v>387</v>
      </c>
      <c r="K1173" s="222" t="s">
        <v>353</v>
      </c>
      <c r="L1173" s="253" t="s">
        <v>388</v>
      </c>
      <c r="M1173" s="116" t="s">
        <v>107</v>
      </c>
      <c r="N1173" s="116" t="s">
        <v>108</v>
      </c>
      <c r="O1173" s="170" t="s">
        <v>386</v>
      </c>
      <c r="P1173" s="572" t="s">
        <v>375</v>
      </c>
      <c r="Q1173" s="572"/>
      <c r="R1173" s="101" t="s">
        <v>452</v>
      </c>
      <c r="S1173" s="116" t="s">
        <v>0</v>
      </c>
      <c r="T1173" s="118"/>
      <c r="U1173" s="116" t="s">
        <v>287</v>
      </c>
      <c r="V1173" s="116" t="s">
        <v>288</v>
      </c>
      <c r="W1173" s="116" t="s">
        <v>291</v>
      </c>
      <c r="X1173" s="140"/>
      <c r="Y1173" s="116" t="s">
        <v>289</v>
      </c>
      <c r="Z1173" s="116" t="s">
        <v>354</v>
      </c>
      <c r="AA1173" s="116" t="s">
        <v>355</v>
      </c>
      <c r="AB1173" s="116" t="s">
        <v>317</v>
      </c>
      <c r="AC1173" s="116" t="s">
        <v>318</v>
      </c>
      <c r="AD1173" s="116" t="s">
        <v>316</v>
      </c>
      <c r="AE1173" s="140"/>
      <c r="AF1173" s="116" t="s">
        <v>293</v>
      </c>
      <c r="AG1173" s="116" t="s">
        <v>354</v>
      </c>
      <c r="AH1173" s="116" t="s">
        <v>355</v>
      </c>
      <c r="AI1173" s="116" t="s">
        <v>296</v>
      </c>
      <c r="AJ1173" s="116" t="s">
        <v>294</v>
      </c>
      <c r="AK1173" s="116" t="s">
        <v>295</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349</v>
      </c>
      <c r="O1174" s="121" t="s">
        <v>178</v>
      </c>
      <c r="P1174" s="169" t="s">
        <v>379</v>
      </c>
      <c r="Q1174" s="169" t="s">
        <v>375</v>
      </c>
      <c r="R1174" s="169"/>
      <c r="S1174" s="133">
        <f>M1174</f>
        <v>0</v>
      </c>
      <c r="T1174" s="119"/>
      <c r="U1174" s="121" t="s">
        <v>350</v>
      </c>
      <c r="V1174" s="133">
        <f>S1174</f>
        <v>0</v>
      </c>
      <c r="W1174" s="133">
        <f>VLOOKUP(U1174,Sheet1!$B$6:$C$45,2,FALSE)*V1174</f>
        <v>0</v>
      </c>
      <c r="X1174" s="141"/>
      <c r="Y1174" s="121" t="s">
        <v>292</v>
      </c>
      <c r="Z1174" s="146">
        <f>VLOOKUP(Takeoffs!Y1174,Sheet1!$B$6:$C$124,2,FALSE)</f>
        <v>0</v>
      </c>
      <c r="AA1174" s="146">
        <f>Z1174*AB1174</f>
        <v>0</v>
      </c>
      <c r="AB1174" s="143">
        <f>AD1174*AC1174</f>
        <v>0</v>
      </c>
      <c r="AC1174" s="133">
        <f>S1174</f>
        <v>0</v>
      </c>
      <c r="AD1174" s="142">
        <v>1</v>
      </c>
      <c r="AE1174" s="141"/>
      <c r="AF1174" s="121" t="s">
        <v>292</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292</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292</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389</v>
      </c>
      <c r="P1176" s="121"/>
      <c r="Q1176" s="121"/>
      <c r="R1176" s="121"/>
      <c r="S1176" s="133">
        <f>M1174</f>
        <v>0</v>
      </c>
      <c r="T1176" s="120"/>
      <c r="U1176" s="121" t="s">
        <v>292</v>
      </c>
      <c r="V1176" s="133">
        <f t="shared" si="542"/>
        <v>0</v>
      </c>
      <c r="W1176" s="133">
        <f>VLOOKUP(U1176,Sheet1!$B$6:$C$45,2,FALSE)*V1176</f>
        <v>0</v>
      </c>
      <c r="X1176" s="141"/>
      <c r="Y1176" s="121" t="s">
        <v>292</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358</v>
      </c>
      <c r="P1177" s="121"/>
      <c r="Q1177" s="121"/>
      <c r="R1177" s="121"/>
      <c r="S1177" s="133">
        <f>M1174</f>
        <v>0</v>
      </c>
      <c r="T1177" s="120"/>
      <c r="U1177" s="121" t="s">
        <v>292</v>
      </c>
      <c r="V1177" s="133">
        <f t="shared" si="542"/>
        <v>0</v>
      </c>
      <c r="W1177" s="133">
        <f>VLOOKUP(U1177,Sheet1!$B$6:$C$45,2,FALSE)*V1177</f>
        <v>0</v>
      </c>
      <c r="X1177" s="141"/>
      <c r="Y1177" s="121" t="s">
        <v>292</v>
      </c>
      <c r="Z1177" s="146">
        <f>VLOOKUP(Takeoffs!Y1177,Sheet1!$B$6:$C$124,2,FALSE)</f>
        <v>0</v>
      </c>
      <c r="AA1177" s="146">
        <f t="shared" si="543"/>
        <v>0</v>
      </c>
      <c r="AB1177" s="143">
        <f t="shared" si="544"/>
        <v>0</v>
      </c>
      <c r="AC1177" s="133">
        <f t="shared" ref="AC1177:AC1194" si="549">S1177</f>
        <v>0</v>
      </c>
      <c r="AD1177" s="142">
        <v>1</v>
      </c>
      <c r="AE1177" s="141"/>
      <c r="AF1177" s="152" t="s">
        <v>360</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359</v>
      </c>
      <c r="P1178" s="121" t="s">
        <v>376</v>
      </c>
      <c r="Q1178" s="121" t="s">
        <v>385</v>
      </c>
      <c r="R1178" s="121"/>
      <c r="S1178" s="133">
        <f>M1174</f>
        <v>0</v>
      </c>
      <c r="T1178" s="120"/>
      <c r="U1178" s="121" t="s">
        <v>292</v>
      </c>
      <c r="V1178" s="133">
        <f t="shared" si="542"/>
        <v>0</v>
      </c>
      <c r="W1178" s="133">
        <f>VLOOKUP(U1178,Sheet1!$B$6:$C$45,2,FALSE)*V1178</f>
        <v>0</v>
      </c>
      <c r="X1178" s="141"/>
      <c r="Y1178" s="121" t="s">
        <v>292</v>
      </c>
      <c r="Z1178" s="146">
        <f>VLOOKUP(Takeoffs!Y1178,Sheet1!$B$6:$C$124,2,FALSE)</f>
        <v>0</v>
      </c>
      <c r="AA1178" s="146">
        <f t="shared" si="543"/>
        <v>0</v>
      </c>
      <c r="AB1178" s="143">
        <f t="shared" si="544"/>
        <v>0</v>
      </c>
      <c r="AC1178" s="133">
        <f t="shared" si="549"/>
        <v>0</v>
      </c>
      <c r="AD1178" s="142">
        <v>1</v>
      </c>
      <c r="AE1178" s="141"/>
      <c r="AF1178" s="121" t="s">
        <v>292</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292</v>
      </c>
      <c r="V1179" s="133">
        <f t="shared" si="542"/>
        <v>0</v>
      </c>
      <c r="W1179" s="133">
        <f>VLOOKUP(U1179,Sheet1!$B$6:$C$45,2,FALSE)*V1179</f>
        <v>0</v>
      </c>
      <c r="X1179" s="141"/>
      <c r="Y1179" s="121" t="s">
        <v>292</v>
      </c>
      <c r="Z1179" s="146">
        <f>VLOOKUP(Takeoffs!Y1179,Sheet1!$B$6:$C$124,2,FALSE)</f>
        <v>0</v>
      </c>
      <c r="AA1179" s="146">
        <f t="shared" si="543"/>
        <v>0</v>
      </c>
      <c r="AB1179" s="143">
        <f t="shared" si="544"/>
        <v>0</v>
      </c>
      <c r="AC1179" s="133">
        <f t="shared" si="549"/>
        <v>0</v>
      </c>
      <c r="AD1179" s="142">
        <v>1</v>
      </c>
      <c r="AE1179" s="141"/>
      <c r="AF1179" s="121" t="s">
        <v>292</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292</v>
      </c>
      <c r="V1180" s="133">
        <f t="shared" si="542"/>
        <v>0</v>
      </c>
      <c r="W1180" s="133">
        <f>VLOOKUP(U1180,Sheet1!$B$6:$C$45,2,FALSE)*V1180</f>
        <v>0</v>
      </c>
      <c r="X1180" s="141"/>
      <c r="Y1180" s="121" t="s">
        <v>292</v>
      </c>
      <c r="Z1180" s="146">
        <f>VLOOKUP(Takeoffs!Y1180,Sheet1!$B$6:$C$124,2,FALSE)</f>
        <v>0</v>
      </c>
      <c r="AA1180" s="146">
        <f t="shared" si="543"/>
        <v>0</v>
      </c>
      <c r="AB1180" s="143">
        <f t="shared" si="544"/>
        <v>0</v>
      </c>
      <c r="AC1180" s="133">
        <f t="shared" si="549"/>
        <v>0</v>
      </c>
      <c r="AD1180" s="142">
        <v>1</v>
      </c>
      <c r="AE1180" s="141"/>
      <c r="AF1180" s="121" t="s">
        <v>292</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292</v>
      </c>
      <c r="V1181" s="133">
        <f t="shared" si="542"/>
        <v>0</v>
      </c>
      <c r="W1181" s="133">
        <f>VLOOKUP(U1181,Sheet1!$B$6:$C$45,2,FALSE)*V1181</f>
        <v>0</v>
      </c>
      <c r="X1181" s="141"/>
      <c r="Y1181" s="121" t="s">
        <v>292</v>
      </c>
      <c r="Z1181" s="146">
        <f>VLOOKUP(Takeoffs!Y1181,Sheet1!$B$6:$C$124,2,FALSE)</f>
        <v>0</v>
      </c>
      <c r="AA1181" s="146">
        <f t="shared" si="543"/>
        <v>0</v>
      </c>
      <c r="AB1181" s="143">
        <f t="shared" si="544"/>
        <v>0</v>
      </c>
      <c r="AC1181" s="133">
        <f t="shared" si="549"/>
        <v>0</v>
      </c>
      <c r="AD1181" s="142">
        <v>1</v>
      </c>
      <c r="AE1181" s="141"/>
      <c r="AF1181" s="121" t="s">
        <v>292</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292</v>
      </c>
      <c r="V1182" s="133">
        <f t="shared" si="542"/>
        <v>0</v>
      </c>
      <c r="W1182" s="133">
        <f>VLOOKUP(U1182,Sheet1!$B$6:$C$45,2,FALSE)*V1182</f>
        <v>0</v>
      </c>
      <c r="X1182" s="141"/>
      <c r="Y1182" s="121" t="s">
        <v>292</v>
      </c>
      <c r="Z1182" s="146">
        <f>VLOOKUP(Takeoffs!Y1182,Sheet1!$B$6:$C$124,2,FALSE)</f>
        <v>0</v>
      </c>
      <c r="AA1182" s="146">
        <f t="shared" si="543"/>
        <v>0</v>
      </c>
      <c r="AB1182" s="143">
        <f t="shared" si="544"/>
        <v>0</v>
      </c>
      <c r="AC1182" s="133">
        <f t="shared" si="549"/>
        <v>0</v>
      </c>
      <c r="AD1182" s="142">
        <v>1</v>
      </c>
      <c r="AE1182" s="141"/>
      <c r="AF1182" s="121" t="s">
        <v>292</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292</v>
      </c>
      <c r="V1183" s="133">
        <f t="shared" si="542"/>
        <v>0</v>
      </c>
      <c r="W1183" s="133">
        <f>VLOOKUP(U1183,Sheet1!$B$6:$C$45,2,FALSE)*V1183</f>
        <v>0</v>
      </c>
      <c r="X1183" s="141"/>
      <c r="Y1183" s="121" t="s">
        <v>292</v>
      </c>
      <c r="Z1183" s="146">
        <f>VLOOKUP(Takeoffs!Y1183,Sheet1!$B$6:$C$124,2,FALSE)</f>
        <v>0</v>
      </c>
      <c r="AA1183" s="146">
        <f t="shared" si="543"/>
        <v>0</v>
      </c>
      <c r="AB1183" s="143">
        <f t="shared" si="544"/>
        <v>0</v>
      </c>
      <c r="AC1183" s="133">
        <f t="shared" si="549"/>
        <v>0</v>
      </c>
      <c r="AD1183" s="142">
        <v>1</v>
      </c>
      <c r="AE1183" s="141"/>
      <c r="AF1183" s="121" t="s">
        <v>292</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292</v>
      </c>
      <c r="V1184" s="133">
        <f t="shared" si="542"/>
        <v>0</v>
      </c>
      <c r="W1184" s="133">
        <f>VLOOKUP(U1184,Sheet1!$B$6:$C$45,2,FALSE)*V1184</f>
        <v>0</v>
      </c>
      <c r="X1184" s="141"/>
      <c r="Y1184" s="121" t="s">
        <v>292</v>
      </c>
      <c r="Z1184" s="146">
        <f>VLOOKUP(Takeoffs!Y1184,Sheet1!$B$6:$C$124,2,FALSE)</f>
        <v>0</v>
      </c>
      <c r="AA1184" s="146">
        <f t="shared" si="543"/>
        <v>0</v>
      </c>
      <c r="AB1184" s="143">
        <f t="shared" si="544"/>
        <v>0</v>
      </c>
      <c r="AC1184" s="133">
        <f t="shared" si="549"/>
        <v>0</v>
      </c>
      <c r="AD1184" s="142">
        <v>1</v>
      </c>
      <c r="AE1184" s="141"/>
      <c r="AF1184" s="121" t="s">
        <v>292</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292</v>
      </c>
      <c r="V1185" s="133">
        <f t="shared" si="542"/>
        <v>0</v>
      </c>
      <c r="W1185" s="133">
        <f>VLOOKUP(U1185,Sheet1!$B$6:$C$45,2,FALSE)*V1185</f>
        <v>0</v>
      </c>
      <c r="X1185" s="141"/>
      <c r="Y1185" s="121" t="s">
        <v>292</v>
      </c>
      <c r="Z1185" s="146">
        <f>VLOOKUP(Takeoffs!Y1185,Sheet1!$B$6:$C$124,2,FALSE)</f>
        <v>0</v>
      </c>
      <c r="AA1185" s="146">
        <f t="shared" si="543"/>
        <v>0</v>
      </c>
      <c r="AB1185" s="143">
        <f t="shared" si="544"/>
        <v>0</v>
      </c>
      <c r="AC1185" s="133">
        <f t="shared" si="549"/>
        <v>0</v>
      </c>
      <c r="AD1185" s="142">
        <v>1</v>
      </c>
      <c r="AE1185" s="141"/>
      <c r="AF1185" s="121" t="s">
        <v>292</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292</v>
      </c>
      <c r="V1186" s="133">
        <f t="shared" si="542"/>
        <v>0</v>
      </c>
      <c r="W1186" s="133">
        <f>VLOOKUP(U1186,Sheet1!$B$6:$C$45,2,FALSE)*V1186</f>
        <v>0</v>
      </c>
      <c r="X1186" s="141"/>
      <c r="Y1186" s="121" t="s">
        <v>292</v>
      </c>
      <c r="Z1186" s="146">
        <f>VLOOKUP(Takeoffs!Y1186,Sheet1!$B$6:$C$124,2,FALSE)</f>
        <v>0</v>
      </c>
      <c r="AA1186" s="146">
        <f t="shared" si="543"/>
        <v>0</v>
      </c>
      <c r="AB1186" s="143">
        <f t="shared" si="544"/>
        <v>0</v>
      </c>
      <c r="AC1186" s="133">
        <f t="shared" si="549"/>
        <v>0</v>
      </c>
      <c r="AD1186" s="142">
        <v>1</v>
      </c>
      <c r="AE1186" s="141"/>
      <c r="AF1186" s="121" t="s">
        <v>292</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292</v>
      </c>
      <c r="V1187" s="133">
        <f t="shared" si="542"/>
        <v>0</v>
      </c>
      <c r="W1187" s="133">
        <f>VLOOKUP(U1187,Sheet1!$B$6:$C$45,2,FALSE)*V1187</f>
        <v>0</v>
      </c>
      <c r="X1187" s="141"/>
      <c r="Y1187" s="121" t="s">
        <v>292</v>
      </c>
      <c r="Z1187" s="146">
        <f>VLOOKUP(Takeoffs!Y1187,Sheet1!$B$6:$C$124,2,FALSE)</f>
        <v>0</v>
      </c>
      <c r="AA1187" s="146">
        <f t="shared" si="543"/>
        <v>0</v>
      </c>
      <c r="AB1187" s="143">
        <f t="shared" si="544"/>
        <v>0</v>
      </c>
      <c r="AC1187" s="133">
        <f t="shared" si="549"/>
        <v>0</v>
      </c>
      <c r="AD1187" s="142">
        <v>1</v>
      </c>
      <c r="AE1187" s="141"/>
      <c r="AF1187" s="121" t="s">
        <v>292</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292</v>
      </c>
      <c r="V1188" s="133">
        <f t="shared" si="542"/>
        <v>0</v>
      </c>
      <c r="W1188" s="133">
        <f>VLOOKUP(U1188,Sheet1!$B$6:$C$45,2,FALSE)*V1188</f>
        <v>0</v>
      </c>
      <c r="X1188" s="141"/>
      <c r="Y1188" s="121" t="s">
        <v>292</v>
      </c>
      <c r="Z1188" s="146">
        <f>VLOOKUP(Takeoffs!Y1188,Sheet1!$B$6:$C$124,2,FALSE)</f>
        <v>0</v>
      </c>
      <c r="AA1188" s="146">
        <f t="shared" si="543"/>
        <v>0</v>
      </c>
      <c r="AB1188" s="143">
        <f t="shared" si="544"/>
        <v>0</v>
      </c>
      <c r="AC1188" s="133">
        <f t="shared" si="549"/>
        <v>0</v>
      </c>
      <c r="AD1188" s="142">
        <v>1</v>
      </c>
      <c r="AE1188" s="141"/>
      <c r="AF1188" s="121" t="s">
        <v>292</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292</v>
      </c>
      <c r="V1189" s="133">
        <f t="shared" si="542"/>
        <v>0</v>
      </c>
      <c r="W1189" s="133">
        <f>VLOOKUP(U1189,Sheet1!$B$6:$C$45,2,FALSE)*V1189</f>
        <v>0</v>
      </c>
      <c r="X1189" s="141"/>
      <c r="Y1189" s="121" t="s">
        <v>292</v>
      </c>
      <c r="Z1189" s="146">
        <f>VLOOKUP(Takeoffs!Y1189,Sheet1!$B$6:$C$124,2,FALSE)</f>
        <v>0</v>
      </c>
      <c r="AA1189" s="146">
        <f t="shared" si="543"/>
        <v>0</v>
      </c>
      <c r="AB1189" s="143">
        <f t="shared" si="544"/>
        <v>0</v>
      </c>
      <c r="AC1189" s="133">
        <f t="shared" si="549"/>
        <v>0</v>
      </c>
      <c r="AD1189" s="142">
        <v>1</v>
      </c>
      <c r="AE1189" s="141"/>
      <c r="AF1189" s="121" t="s">
        <v>292</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292</v>
      </c>
      <c r="V1190" s="133">
        <f t="shared" si="542"/>
        <v>0</v>
      </c>
      <c r="W1190" s="133">
        <f>VLOOKUP(U1190,Sheet1!$B$6:$C$45,2,FALSE)*V1190</f>
        <v>0</v>
      </c>
      <c r="X1190" s="141"/>
      <c r="Y1190" s="121" t="s">
        <v>292</v>
      </c>
      <c r="Z1190" s="146">
        <f>VLOOKUP(Takeoffs!Y1190,Sheet1!$B$6:$C$124,2,FALSE)</f>
        <v>0</v>
      </c>
      <c r="AA1190" s="146">
        <f t="shared" si="543"/>
        <v>0</v>
      </c>
      <c r="AB1190" s="143">
        <f t="shared" si="544"/>
        <v>0</v>
      </c>
      <c r="AC1190" s="133">
        <f t="shared" si="549"/>
        <v>0</v>
      </c>
      <c r="AD1190" s="142">
        <v>1</v>
      </c>
      <c r="AE1190" s="141"/>
      <c r="AF1190" s="121" t="s">
        <v>292</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292</v>
      </c>
      <c r="V1191" s="133">
        <f t="shared" si="542"/>
        <v>0</v>
      </c>
      <c r="W1191" s="133">
        <f>VLOOKUP(U1191,Sheet1!$B$6:$C$45,2,FALSE)*V1191</f>
        <v>0</v>
      </c>
      <c r="X1191" s="141"/>
      <c r="Y1191" s="121" t="s">
        <v>292</v>
      </c>
      <c r="Z1191" s="146">
        <f>VLOOKUP(Takeoffs!Y1191,Sheet1!$B$6:$C$124,2,FALSE)</f>
        <v>0</v>
      </c>
      <c r="AA1191" s="146">
        <f t="shared" si="543"/>
        <v>0</v>
      </c>
      <c r="AB1191" s="143">
        <f t="shared" si="544"/>
        <v>0</v>
      </c>
      <c r="AC1191" s="133">
        <f t="shared" si="549"/>
        <v>0</v>
      </c>
      <c r="AD1191" s="142">
        <v>1</v>
      </c>
      <c r="AE1191" s="141"/>
      <c r="AF1191" s="121" t="s">
        <v>292</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292</v>
      </c>
      <c r="V1192" s="133">
        <f t="shared" si="542"/>
        <v>0</v>
      </c>
      <c r="W1192" s="133">
        <f>VLOOKUP(U1192,Sheet1!$B$6:$C$45,2,FALSE)*V1192</f>
        <v>0</v>
      </c>
      <c r="X1192" s="141"/>
      <c r="Y1192" s="121" t="s">
        <v>292</v>
      </c>
      <c r="Z1192" s="146">
        <f>VLOOKUP(Takeoffs!Y1192,Sheet1!$B$6:$C$124,2,FALSE)</f>
        <v>0</v>
      </c>
      <c r="AA1192" s="146">
        <f t="shared" si="543"/>
        <v>0</v>
      </c>
      <c r="AB1192" s="143">
        <f t="shared" si="544"/>
        <v>0</v>
      </c>
      <c r="AC1192" s="133">
        <f t="shared" si="549"/>
        <v>0</v>
      </c>
      <c r="AD1192" s="142">
        <v>1</v>
      </c>
      <c r="AE1192" s="141"/>
      <c r="AF1192" s="121" t="s">
        <v>292</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292</v>
      </c>
      <c r="V1193" s="133">
        <f t="shared" si="542"/>
        <v>0</v>
      </c>
      <c r="W1193" s="133">
        <f>VLOOKUP(U1193,Sheet1!$B$6:$C$45,2,FALSE)*V1193</f>
        <v>0</v>
      </c>
      <c r="X1193" s="141"/>
      <c r="Y1193" s="121" t="s">
        <v>292</v>
      </c>
      <c r="Z1193" s="146">
        <f>VLOOKUP(Takeoffs!Y1193,Sheet1!$B$6:$C$124,2,FALSE)</f>
        <v>0</v>
      </c>
      <c r="AA1193" s="146">
        <f t="shared" si="543"/>
        <v>0</v>
      </c>
      <c r="AB1193" s="143">
        <f t="shared" si="544"/>
        <v>0</v>
      </c>
      <c r="AC1193" s="133">
        <f t="shared" si="549"/>
        <v>0</v>
      </c>
      <c r="AD1193" s="142">
        <v>1</v>
      </c>
      <c r="AE1193" s="141"/>
      <c r="AF1193" s="121" t="s">
        <v>292</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292</v>
      </c>
      <c r="V1194" s="133">
        <f t="shared" si="542"/>
        <v>0</v>
      </c>
      <c r="W1194" s="133">
        <f>VLOOKUP(U1194,Sheet1!$B$6:$C$45,2,FALSE)*V1194</f>
        <v>0</v>
      </c>
      <c r="X1194" s="141"/>
      <c r="Y1194" s="121" t="s">
        <v>292</v>
      </c>
      <c r="Z1194" s="146">
        <f>VLOOKUP(Takeoffs!Y1194,Sheet1!$B$6:$C$124,2,FALSE)</f>
        <v>0</v>
      </c>
      <c r="AA1194" s="146">
        <f t="shared" si="543"/>
        <v>0</v>
      </c>
      <c r="AB1194" s="143">
        <f t="shared" si="544"/>
        <v>0</v>
      </c>
      <c r="AC1194" s="133">
        <f t="shared" si="549"/>
        <v>0</v>
      </c>
      <c r="AD1194" s="142">
        <v>1</v>
      </c>
      <c r="AE1194" s="141"/>
      <c r="AF1194" s="121" t="s">
        <v>292</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377</v>
      </c>
      <c r="L1195" s="128" t="s">
        <v>378</v>
      </c>
      <c r="N1195" s="129"/>
      <c r="O1195" s="154" t="s">
        <v>357</v>
      </c>
      <c r="P1195" s="155">
        <f>V1195+AA1195+AH1195</f>
        <v>0</v>
      </c>
      <c r="Q1195" s="155"/>
      <c r="R1195" s="155"/>
      <c r="S1195" s="154"/>
      <c r="T1195" s="156"/>
      <c r="U1195" s="157" t="s">
        <v>351</v>
      </c>
      <c r="V1195" s="156">
        <f>W1195*80</f>
        <v>0</v>
      </c>
      <c r="W1195" s="158">
        <f>SUM(W1174:W1194)</f>
        <v>0</v>
      </c>
      <c r="X1195" s="159"/>
      <c r="Y1195" s="156" t="s">
        <v>352</v>
      </c>
      <c r="Z1195" s="116"/>
      <c r="AA1195" s="116">
        <f>SUM(AA1174:AA1194)</f>
        <v>0</v>
      </c>
      <c r="AB1195" s="149"/>
      <c r="AC1195" s="149"/>
      <c r="AD1195" s="149"/>
      <c r="AE1195" s="149"/>
      <c r="AF1195" s="156" t="s">
        <v>356</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hidden="1" x14ac:dyDescent="0.8">
      <c r="A1196" s="262">
        <f>ROW()</f>
        <v>1196</v>
      </c>
      <c r="B1196" s="234" t="s">
        <v>491</v>
      </c>
      <c r="C1196" s="217" t="str">
        <f>N1174</f>
        <v>installation of VRF central controller</v>
      </c>
      <c r="D1196" s="260" t="s">
        <v>677</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367</v>
      </c>
      <c r="N1196" s="160" t="str">
        <f>N1174</f>
        <v>installation of VRF central controller</v>
      </c>
      <c r="O1196" s="160" t="s">
        <v>365</v>
      </c>
      <c r="P1196" s="171" t="e">
        <f>P1195/M1174</f>
        <v>#DIV/0!</v>
      </c>
      <c r="Q1196" s="161"/>
      <c r="R1196" s="161"/>
      <c r="S1196" s="160"/>
      <c r="T1196" s="161"/>
      <c r="U1196" s="571" t="s">
        <v>366</v>
      </c>
      <c r="V1196" s="571"/>
      <c r="W1196" s="162" t="e">
        <f>W1195/M1174</f>
        <v>#DIV/0!</v>
      </c>
      <c r="X1196" s="163"/>
      <c r="Y1196" s="570" t="s">
        <v>365</v>
      </c>
      <c r="Z1196" s="570"/>
      <c r="AA1196" s="164" t="e">
        <f>AA1195/M1174</f>
        <v>#DIV/0!</v>
      </c>
      <c r="AB1196" s="161"/>
      <c r="AC1196" s="161"/>
      <c r="AD1196" s="161"/>
      <c r="AE1196" s="161"/>
      <c r="AF1196" s="570" t="s">
        <v>365</v>
      </c>
      <c r="AG1196" s="570"/>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452</v>
      </c>
      <c r="M1197" s="116" t="s">
        <v>107</v>
      </c>
      <c r="N1197" s="116" t="s">
        <v>108</v>
      </c>
      <c r="O1197" s="170" t="s">
        <v>386</v>
      </c>
      <c r="P1197" s="572" t="s">
        <v>375</v>
      </c>
      <c r="Q1197" s="572"/>
      <c r="R1197" s="101" t="s">
        <v>452</v>
      </c>
      <c r="S1197" s="116" t="s">
        <v>0</v>
      </c>
      <c r="T1197" s="118"/>
      <c r="U1197" s="116" t="s">
        <v>287</v>
      </c>
      <c r="V1197" s="116" t="s">
        <v>288</v>
      </c>
      <c r="W1197" s="116" t="s">
        <v>291</v>
      </c>
      <c r="X1197" s="140"/>
      <c r="Y1197" s="116" t="s">
        <v>289</v>
      </c>
      <c r="Z1197" s="116" t="s">
        <v>354</v>
      </c>
      <c r="AA1197" s="116" t="s">
        <v>355</v>
      </c>
      <c r="AB1197" s="116" t="s">
        <v>317</v>
      </c>
      <c r="AC1197" s="116" t="s">
        <v>318</v>
      </c>
      <c r="AD1197" s="116" t="s">
        <v>316</v>
      </c>
      <c r="AE1197" s="140"/>
      <c r="AF1197" s="116" t="s">
        <v>293</v>
      </c>
      <c r="AG1197" s="116" t="s">
        <v>354</v>
      </c>
      <c r="AH1197" s="116" t="s">
        <v>355</v>
      </c>
      <c r="AI1197" s="116" t="s">
        <v>296</v>
      </c>
      <c r="AJ1197" s="116" t="s">
        <v>294</v>
      </c>
      <c r="AK1197" s="116" t="s">
        <v>295</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574</v>
      </c>
      <c r="O1198" s="121" t="s">
        <v>133</v>
      </c>
      <c r="P1198" s="169" t="s">
        <v>379</v>
      </c>
      <c r="Q1198" s="169" t="s">
        <v>375</v>
      </c>
      <c r="R1198" s="169"/>
      <c r="S1198" s="133">
        <f>M1198</f>
        <v>0</v>
      </c>
      <c r="T1198" s="119"/>
      <c r="U1198" s="121" t="s">
        <v>292</v>
      </c>
      <c r="V1198" s="133">
        <f>S1198</f>
        <v>0</v>
      </c>
      <c r="W1198" s="133">
        <f>VLOOKUP(U1198,Sheet1!$B$6:$C$45,2,FALSE)*V1198</f>
        <v>0</v>
      </c>
      <c r="X1198" s="141"/>
      <c r="Y1198" s="121" t="s">
        <v>292</v>
      </c>
      <c r="Z1198" s="146">
        <f>VLOOKUP(Takeoffs!Y1198,Sheet1!$B$6:$C$124,2,FALSE)</f>
        <v>0</v>
      </c>
      <c r="AA1198" s="146">
        <f>Z1198*AB1198</f>
        <v>0</v>
      </c>
      <c r="AB1198" s="143">
        <f>AD1198*AC1198</f>
        <v>0</v>
      </c>
      <c r="AC1198" s="133">
        <f>S1198</f>
        <v>0</v>
      </c>
      <c r="AD1198" s="142">
        <v>1</v>
      </c>
      <c r="AE1198" s="141"/>
      <c r="AF1198" s="121" t="s">
        <v>292</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308</v>
      </c>
      <c r="P1199" s="121"/>
      <c r="Q1199" s="121"/>
      <c r="R1199" s="121"/>
      <c r="S1199" s="133">
        <f>M1198</f>
        <v>0</v>
      </c>
      <c r="T1199" s="120"/>
      <c r="U1199" s="121" t="s">
        <v>292</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575</v>
      </c>
      <c r="P1200" s="121"/>
      <c r="Q1200" s="121"/>
      <c r="R1200" s="121"/>
      <c r="S1200" s="133">
        <f>M1198</f>
        <v>0</v>
      </c>
      <c r="T1200" s="120"/>
      <c r="U1200" s="117" t="s">
        <v>297</v>
      </c>
      <c r="V1200" s="133">
        <f t="shared" si="552"/>
        <v>0</v>
      </c>
      <c r="W1200" s="133">
        <f>VLOOKUP(U1200,Sheet1!$B$6:$C$45,2,FALSE)*V1200</f>
        <v>0</v>
      </c>
      <c r="X1200" s="141"/>
      <c r="Y1200" s="121" t="s">
        <v>292</v>
      </c>
      <c r="Z1200" s="146">
        <f>VLOOKUP(Takeoffs!Y1200,Sheet1!$B$6:$C$124,2,FALSE)</f>
        <v>0</v>
      </c>
      <c r="AA1200" s="146">
        <f t="shared" si="553"/>
        <v>0</v>
      </c>
      <c r="AB1200" s="143">
        <f t="shared" si="554"/>
        <v>0</v>
      </c>
      <c r="AC1200" s="133">
        <f t="shared" si="555"/>
        <v>0</v>
      </c>
      <c r="AD1200" s="142">
        <v>1</v>
      </c>
      <c r="AE1200" s="141"/>
      <c r="AF1200" s="121" t="s">
        <v>292</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406</v>
      </c>
      <c r="P1201" s="121"/>
      <c r="Q1201" s="121"/>
      <c r="R1201" s="121"/>
      <c r="S1201" s="133">
        <f>M1198</f>
        <v>0</v>
      </c>
      <c r="T1201" s="120"/>
      <c r="U1201" s="121" t="s">
        <v>292</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292</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292</v>
      </c>
      <c r="V1202" s="133">
        <f t="shared" si="552"/>
        <v>0</v>
      </c>
      <c r="W1202" s="133">
        <f>VLOOKUP(U1202,Sheet1!$B$6:$C$45,2,FALSE)*V1202</f>
        <v>0</v>
      </c>
      <c r="X1202" s="141"/>
      <c r="Y1202" s="121" t="s">
        <v>292</v>
      </c>
      <c r="Z1202" s="146">
        <f>VLOOKUP(Takeoffs!Y1202,Sheet1!$B$6:$C$124,2,FALSE)</f>
        <v>0</v>
      </c>
      <c r="AA1202" s="146">
        <f t="shared" si="553"/>
        <v>0</v>
      </c>
      <c r="AB1202" s="143">
        <f t="shared" si="554"/>
        <v>0</v>
      </c>
      <c r="AC1202" s="133">
        <f t="shared" si="555"/>
        <v>0</v>
      </c>
      <c r="AD1202" s="142">
        <v>1</v>
      </c>
      <c r="AE1202" s="141"/>
      <c r="AF1202" s="121" t="s">
        <v>292</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292</v>
      </c>
      <c r="V1203" s="133">
        <f t="shared" si="552"/>
        <v>0</v>
      </c>
      <c r="W1203" s="133">
        <f>VLOOKUP(U1203,Sheet1!$B$6:$C$45,2,FALSE)*V1203</f>
        <v>0</v>
      </c>
      <c r="X1203" s="141"/>
      <c r="Y1203" s="121" t="s">
        <v>292</v>
      </c>
      <c r="Z1203" s="146">
        <f>VLOOKUP(Takeoffs!Y1203,Sheet1!$B$6:$C$124,2,FALSE)</f>
        <v>0</v>
      </c>
      <c r="AA1203" s="146">
        <f t="shared" si="553"/>
        <v>0</v>
      </c>
      <c r="AB1203" s="143">
        <f t="shared" si="554"/>
        <v>0</v>
      </c>
      <c r="AC1203" s="133">
        <f t="shared" si="555"/>
        <v>0</v>
      </c>
      <c r="AD1203" s="142">
        <v>1</v>
      </c>
      <c r="AE1203" s="141"/>
      <c r="AF1203" s="121" t="s">
        <v>292</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292</v>
      </c>
      <c r="V1204" s="133">
        <f t="shared" si="552"/>
        <v>0</v>
      </c>
      <c r="W1204" s="133">
        <f>VLOOKUP(U1204,Sheet1!$B$6:$C$45,2,FALSE)*V1204</f>
        <v>0</v>
      </c>
      <c r="X1204" s="141"/>
      <c r="Y1204" s="121" t="s">
        <v>292</v>
      </c>
      <c r="Z1204" s="146">
        <f>VLOOKUP(Takeoffs!Y1204,Sheet1!$B$6:$C$124,2,FALSE)</f>
        <v>0</v>
      </c>
      <c r="AA1204" s="146">
        <f t="shared" si="553"/>
        <v>0</v>
      </c>
      <c r="AB1204" s="143">
        <f t="shared" si="554"/>
        <v>0</v>
      </c>
      <c r="AC1204" s="133">
        <f t="shared" si="555"/>
        <v>0</v>
      </c>
      <c r="AD1204" s="142">
        <v>1</v>
      </c>
      <c r="AE1204" s="141"/>
      <c r="AF1204" s="121" t="s">
        <v>292</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292</v>
      </c>
      <c r="V1205" s="133">
        <f t="shared" si="552"/>
        <v>0</v>
      </c>
      <c r="W1205" s="133">
        <f>VLOOKUP(U1205,Sheet1!$B$6:$C$45,2,FALSE)*V1205</f>
        <v>0</v>
      </c>
      <c r="X1205" s="141"/>
      <c r="Y1205" s="121" t="s">
        <v>292</v>
      </c>
      <c r="Z1205" s="146">
        <f>VLOOKUP(Takeoffs!Y1205,Sheet1!$B$6:$C$124,2,FALSE)</f>
        <v>0</v>
      </c>
      <c r="AA1205" s="146">
        <f t="shared" si="553"/>
        <v>0</v>
      </c>
      <c r="AB1205" s="143">
        <f t="shared" si="554"/>
        <v>0</v>
      </c>
      <c r="AC1205" s="133">
        <f t="shared" si="555"/>
        <v>0</v>
      </c>
      <c r="AD1205" s="142">
        <v>1</v>
      </c>
      <c r="AE1205" s="141"/>
      <c r="AF1205" s="121" t="s">
        <v>292</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292</v>
      </c>
      <c r="V1206" s="133">
        <f t="shared" si="552"/>
        <v>0</v>
      </c>
      <c r="W1206" s="133">
        <f>VLOOKUP(U1206,Sheet1!$B$6:$C$45,2,FALSE)*V1206</f>
        <v>0</v>
      </c>
      <c r="X1206" s="141"/>
      <c r="Y1206" s="121" t="s">
        <v>292</v>
      </c>
      <c r="Z1206" s="146">
        <f>VLOOKUP(Takeoffs!Y1206,Sheet1!$B$6:$C$124,2,FALSE)</f>
        <v>0</v>
      </c>
      <c r="AA1206" s="146">
        <f t="shared" si="553"/>
        <v>0</v>
      </c>
      <c r="AB1206" s="143">
        <f t="shared" si="554"/>
        <v>0</v>
      </c>
      <c r="AC1206" s="133">
        <f t="shared" si="555"/>
        <v>0</v>
      </c>
      <c r="AD1206" s="142">
        <v>1</v>
      </c>
      <c r="AE1206" s="141"/>
      <c r="AF1206" s="121" t="s">
        <v>292</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292</v>
      </c>
      <c r="V1207" s="133">
        <f t="shared" si="552"/>
        <v>0</v>
      </c>
      <c r="W1207" s="133">
        <f>VLOOKUP(U1207,Sheet1!$B$6:$C$45,2,FALSE)*V1207</f>
        <v>0</v>
      </c>
      <c r="X1207" s="141"/>
      <c r="Y1207" s="121" t="s">
        <v>292</v>
      </c>
      <c r="Z1207" s="146">
        <f>VLOOKUP(Takeoffs!Y1207,Sheet1!$B$6:$C$124,2,FALSE)</f>
        <v>0</v>
      </c>
      <c r="AA1207" s="146">
        <f t="shared" si="553"/>
        <v>0</v>
      </c>
      <c r="AB1207" s="143">
        <f t="shared" si="554"/>
        <v>0</v>
      </c>
      <c r="AC1207" s="133">
        <f t="shared" si="555"/>
        <v>0</v>
      </c>
      <c r="AD1207" s="142">
        <v>1</v>
      </c>
      <c r="AE1207" s="141"/>
      <c r="AF1207" s="121" t="s">
        <v>292</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292</v>
      </c>
      <c r="V1208" s="133">
        <f t="shared" si="552"/>
        <v>0</v>
      </c>
      <c r="W1208" s="133">
        <f>VLOOKUP(U1208,Sheet1!$B$6:$C$45,2,FALSE)*V1208</f>
        <v>0</v>
      </c>
      <c r="X1208" s="141"/>
      <c r="Y1208" s="121" t="s">
        <v>292</v>
      </c>
      <c r="Z1208" s="146">
        <f>VLOOKUP(Takeoffs!Y1208,Sheet1!$B$6:$C$124,2,FALSE)</f>
        <v>0</v>
      </c>
      <c r="AA1208" s="146">
        <f t="shared" si="553"/>
        <v>0</v>
      </c>
      <c r="AB1208" s="143">
        <f t="shared" si="554"/>
        <v>0</v>
      </c>
      <c r="AC1208" s="133">
        <f t="shared" si="555"/>
        <v>0</v>
      </c>
      <c r="AD1208" s="142">
        <v>1</v>
      </c>
      <c r="AE1208" s="141"/>
      <c r="AF1208" s="121" t="s">
        <v>292</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292</v>
      </c>
      <c r="V1209" s="133">
        <f t="shared" si="552"/>
        <v>0</v>
      </c>
      <c r="W1209" s="133">
        <f>VLOOKUP(U1209,Sheet1!$B$6:$C$45,2,FALSE)*V1209</f>
        <v>0</v>
      </c>
      <c r="X1209" s="141"/>
      <c r="Y1209" s="121" t="s">
        <v>292</v>
      </c>
      <c r="Z1209" s="146">
        <f>VLOOKUP(Takeoffs!Y1209,Sheet1!$B$6:$C$124,2,FALSE)</f>
        <v>0</v>
      </c>
      <c r="AA1209" s="146">
        <f t="shared" si="553"/>
        <v>0</v>
      </c>
      <c r="AB1209" s="143">
        <f t="shared" si="554"/>
        <v>0</v>
      </c>
      <c r="AC1209" s="133">
        <f t="shared" si="555"/>
        <v>0</v>
      </c>
      <c r="AD1209" s="142">
        <v>1</v>
      </c>
      <c r="AE1209" s="141"/>
      <c r="AF1209" s="121" t="s">
        <v>292</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292</v>
      </c>
      <c r="V1210" s="133">
        <f t="shared" si="552"/>
        <v>0</v>
      </c>
      <c r="W1210" s="133">
        <f>VLOOKUP(U1210,Sheet1!$B$6:$C$45,2,FALSE)*V1210</f>
        <v>0</v>
      </c>
      <c r="X1210" s="141"/>
      <c r="Y1210" s="121" t="s">
        <v>292</v>
      </c>
      <c r="Z1210" s="146">
        <f>VLOOKUP(Takeoffs!Y1210,Sheet1!$B$6:$C$124,2,FALSE)</f>
        <v>0</v>
      </c>
      <c r="AA1210" s="146">
        <f t="shared" si="553"/>
        <v>0</v>
      </c>
      <c r="AB1210" s="143">
        <f t="shared" si="554"/>
        <v>0</v>
      </c>
      <c r="AC1210" s="133">
        <f t="shared" si="555"/>
        <v>0</v>
      </c>
      <c r="AD1210" s="142">
        <v>1</v>
      </c>
      <c r="AE1210" s="141"/>
      <c r="AF1210" s="121" t="s">
        <v>292</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292</v>
      </c>
      <c r="V1211" s="133">
        <f t="shared" si="552"/>
        <v>0</v>
      </c>
      <c r="W1211" s="133">
        <f>VLOOKUP(U1211,Sheet1!$B$6:$C$45,2,FALSE)*V1211</f>
        <v>0</v>
      </c>
      <c r="X1211" s="141"/>
      <c r="Y1211" s="121" t="s">
        <v>292</v>
      </c>
      <c r="Z1211" s="146">
        <f>VLOOKUP(Takeoffs!Y1211,Sheet1!$B$6:$C$124,2,FALSE)</f>
        <v>0</v>
      </c>
      <c r="AA1211" s="146">
        <f t="shared" si="553"/>
        <v>0</v>
      </c>
      <c r="AB1211" s="143">
        <f t="shared" si="554"/>
        <v>0</v>
      </c>
      <c r="AC1211" s="133">
        <f t="shared" si="555"/>
        <v>0</v>
      </c>
      <c r="AD1211" s="142">
        <v>1</v>
      </c>
      <c r="AE1211" s="141"/>
      <c r="AF1211" s="121" t="s">
        <v>292</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292</v>
      </c>
      <c r="V1212" s="133">
        <f t="shared" si="552"/>
        <v>0</v>
      </c>
      <c r="W1212" s="133">
        <f>VLOOKUP(U1212,Sheet1!$B$6:$C$45,2,FALSE)*V1212</f>
        <v>0</v>
      </c>
      <c r="X1212" s="141"/>
      <c r="Y1212" s="121" t="s">
        <v>292</v>
      </c>
      <c r="Z1212" s="146">
        <f>VLOOKUP(Takeoffs!Y1212,Sheet1!$B$6:$C$124,2,FALSE)</f>
        <v>0</v>
      </c>
      <c r="AA1212" s="146">
        <f t="shared" si="553"/>
        <v>0</v>
      </c>
      <c r="AB1212" s="143">
        <f t="shared" si="554"/>
        <v>0</v>
      </c>
      <c r="AC1212" s="133">
        <f t="shared" si="555"/>
        <v>0</v>
      </c>
      <c r="AD1212" s="142">
        <v>1</v>
      </c>
      <c r="AE1212" s="141"/>
      <c r="AF1212" s="121" t="s">
        <v>292</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292</v>
      </c>
      <c r="V1213" s="133">
        <f t="shared" si="552"/>
        <v>0</v>
      </c>
      <c r="W1213" s="133">
        <f>VLOOKUP(U1213,Sheet1!$B$6:$C$45,2,FALSE)*V1213</f>
        <v>0</v>
      </c>
      <c r="X1213" s="141"/>
      <c r="Y1213" s="121" t="s">
        <v>292</v>
      </c>
      <c r="Z1213" s="146">
        <f>VLOOKUP(Takeoffs!Y1213,Sheet1!$B$6:$C$124,2,FALSE)</f>
        <v>0</v>
      </c>
      <c r="AA1213" s="146">
        <f t="shared" si="553"/>
        <v>0</v>
      </c>
      <c r="AB1213" s="143">
        <f t="shared" si="554"/>
        <v>0</v>
      </c>
      <c r="AC1213" s="133">
        <f t="shared" si="555"/>
        <v>0</v>
      </c>
      <c r="AD1213" s="142">
        <v>1</v>
      </c>
      <c r="AE1213" s="141"/>
      <c r="AF1213" s="121" t="s">
        <v>292</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292</v>
      </c>
      <c r="V1214" s="133">
        <f t="shared" si="552"/>
        <v>0</v>
      </c>
      <c r="W1214" s="133">
        <f>VLOOKUP(U1214,Sheet1!$B$6:$C$45,2,FALSE)*V1214</f>
        <v>0</v>
      </c>
      <c r="X1214" s="141"/>
      <c r="Y1214" s="121" t="s">
        <v>292</v>
      </c>
      <c r="Z1214" s="146">
        <f>VLOOKUP(Takeoffs!Y1214,Sheet1!$B$6:$C$124,2,FALSE)</f>
        <v>0</v>
      </c>
      <c r="AA1214" s="146">
        <f t="shared" si="553"/>
        <v>0</v>
      </c>
      <c r="AB1214" s="143">
        <f t="shared" si="554"/>
        <v>0</v>
      </c>
      <c r="AC1214" s="133">
        <f t="shared" si="555"/>
        <v>0</v>
      </c>
      <c r="AD1214" s="142">
        <v>1</v>
      </c>
      <c r="AE1214" s="141"/>
      <c r="AF1214" s="121" t="s">
        <v>292</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292</v>
      </c>
      <c r="V1215" s="133">
        <f t="shared" si="552"/>
        <v>0</v>
      </c>
      <c r="W1215" s="133">
        <f>VLOOKUP(U1215,Sheet1!$B$6:$C$45,2,FALSE)*V1215</f>
        <v>0</v>
      </c>
      <c r="X1215" s="141"/>
      <c r="Y1215" s="121" t="s">
        <v>292</v>
      </c>
      <c r="Z1215" s="146">
        <f>VLOOKUP(Takeoffs!Y1215,Sheet1!$B$6:$C$124,2,FALSE)</f>
        <v>0</v>
      </c>
      <c r="AA1215" s="146">
        <f t="shared" si="553"/>
        <v>0</v>
      </c>
      <c r="AB1215" s="143">
        <f t="shared" si="554"/>
        <v>0</v>
      </c>
      <c r="AC1215" s="133">
        <f t="shared" si="555"/>
        <v>0</v>
      </c>
      <c r="AD1215" s="142">
        <v>1</v>
      </c>
      <c r="AE1215" s="141"/>
      <c r="AF1215" s="121" t="s">
        <v>292</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292</v>
      </c>
      <c r="V1216" s="133">
        <f t="shared" si="552"/>
        <v>0</v>
      </c>
      <c r="W1216" s="133">
        <f>VLOOKUP(U1216,Sheet1!$B$6:$C$45,2,FALSE)*V1216</f>
        <v>0</v>
      </c>
      <c r="X1216" s="141"/>
      <c r="Y1216" s="121" t="s">
        <v>292</v>
      </c>
      <c r="Z1216" s="146">
        <f>VLOOKUP(Takeoffs!Y1216,Sheet1!$B$6:$C$124,2,FALSE)</f>
        <v>0</v>
      </c>
      <c r="AA1216" s="146">
        <f t="shared" si="553"/>
        <v>0</v>
      </c>
      <c r="AB1216" s="143">
        <f t="shared" si="554"/>
        <v>0</v>
      </c>
      <c r="AC1216" s="133">
        <f t="shared" si="555"/>
        <v>0</v>
      </c>
      <c r="AD1216" s="142">
        <v>1</v>
      </c>
      <c r="AE1216" s="141"/>
      <c r="AF1216" s="121" t="s">
        <v>292</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292</v>
      </c>
      <c r="V1217" s="133">
        <f t="shared" si="552"/>
        <v>0</v>
      </c>
      <c r="W1217" s="133">
        <f>VLOOKUP(U1217,Sheet1!$B$6:$C$45,2,FALSE)*V1217</f>
        <v>0</v>
      </c>
      <c r="X1217" s="141"/>
      <c r="Y1217" s="121" t="s">
        <v>292</v>
      </c>
      <c r="Z1217" s="146">
        <f>VLOOKUP(Takeoffs!Y1217,Sheet1!$B$6:$C$124,2,FALSE)</f>
        <v>0</v>
      </c>
      <c r="AA1217" s="146">
        <f t="shared" si="553"/>
        <v>0</v>
      </c>
      <c r="AB1217" s="143">
        <f t="shared" si="554"/>
        <v>0</v>
      </c>
      <c r="AC1217" s="133">
        <f t="shared" si="555"/>
        <v>0</v>
      </c>
      <c r="AD1217" s="142">
        <v>1</v>
      </c>
      <c r="AE1217" s="141"/>
      <c r="AF1217" s="121" t="s">
        <v>292</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292</v>
      </c>
      <c r="V1218" s="133">
        <f t="shared" si="552"/>
        <v>0</v>
      </c>
      <c r="W1218" s="133">
        <f>VLOOKUP(U1218,Sheet1!$B$6:$C$45,2,FALSE)*V1218</f>
        <v>0</v>
      </c>
      <c r="X1218" s="141"/>
      <c r="Y1218" s="121" t="s">
        <v>292</v>
      </c>
      <c r="Z1218" s="146">
        <f>VLOOKUP(Takeoffs!Y1218,Sheet1!$B$6:$C$124,2,FALSE)</f>
        <v>0</v>
      </c>
      <c r="AA1218" s="146">
        <f t="shared" si="553"/>
        <v>0</v>
      </c>
      <c r="AB1218" s="143">
        <f t="shared" si="554"/>
        <v>0</v>
      </c>
      <c r="AC1218" s="133">
        <f t="shared" si="555"/>
        <v>0</v>
      </c>
      <c r="AD1218" s="142">
        <v>1</v>
      </c>
      <c r="AE1218" s="141"/>
      <c r="AF1218" s="121" t="s">
        <v>292</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377</v>
      </c>
      <c r="L1219" s="128" t="s">
        <v>378</v>
      </c>
      <c r="N1219" s="129"/>
      <c r="O1219" s="130" t="s">
        <v>357</v>
      </c>
      <c r="P1219" s="82">
        <f>V1219+AA1219+AH1219</f>
        <v>0</v>
      </c>
      <c r="Q1219" s="131"/>
      <c r="R1219" s="131"/>
      <c r="S1219" s="130"/>
      <c r="T1219" s="127"/>
      <c r="U1219" s="126" t="s">
        <v>351</v>
      </c>
      <c r="V1219" s="127">
        <f>W1219*80</f>
        <v>0</v>
      </c>
      <c r="W1219" s="147">
        <f>SUM(W1198:W1218)</f>
        <v>0</v>
      </c>
      <c r="X1219" s="148"/>
      <c r="Y1219" s="127" t="s">
        <v>352</v>
      </c>
      <c r="Z1219" s="116"/>
      <c r="AA1219" s="116">
        <f>SUM(AA1198:AA1218)</f>
        <v>0</v>
      </c>
      <c r="AB1219" s="149"/>
      <c r="AC1219" s="149"/>
      <c r="AD1219" s="149"/>
      <c r="AE1219" s="149"/>
      <c r="AF1219" s="127" t="s">
        <v>356</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hidden="1" x14ac:dyDescent="0.8">
      <c r="A1220" s="262">
        <f>ROW()</f>
        <v>1220</v>
      </c>
      <c r="B1220" s="234" t="s">
        <v>491</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367</v>
      </c>
      <c r="N1220" s="160" t="str">
        <f>N1198</f>
        <v>MSSB powered VRF outdoor units</v>
      </c>
      <c r="O1220" s="160" t="s">
        <v>365</v>
      </c>
      <c r="P1220" s="161" t="e">
        <f>P1219/M1198</f>
        <v>#DIV/0!</v>
      </c>
      <c r="Q1220" s="161"/>
      <c r="R1220" s="161"/>
      <c r="S1220" s="160"/>
      <c r="T1220" s="161"/>
      <c r="U1220" s="571" t="s">
        <v>366</v>
      </c>
      <c r="V1220" s="571"/>
      <c r="W1220" s="162" t="e">
        <f>W1219/M1198</f>
        <v>#DIV/0!</v>
      </c>
      <c r="X1220" s="163"/>
      <c r="Y1220" s="570" t="s">
        <v>365</v>
      </c>
      <c r="Z1220" s="570"/>
      <c r="AA1220" s="164" t="e">
        <f>AA1219/M1198</f>
        <v>#DIV/0!</v>
      </c>
      <c r="AB1220" s="161"/>
      <c r="AC1220" s="161"/>
      <c r="AD1220" s="161"/>
      <c r="AE1220" s="161"/>
      <c r="AF1220" s="570" t="s">
        <v>365</v>
      </c>
      <c r="AG1220" s="570"/>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452</v>
      </c>
      <c r="M1221" s="2" t="s">
        <v>107</v>
      </c>
      <c r="N1221" s="2" t="s">
        <v>108</v>
      </c>
      <c r="O1221" s="97" t="s">
        <v>386</v>
      </c>
      <c r="P1221" s="572" t="s">
        <v>375</v>
      </c>
      <c r="Q1221" s="572"/>
      <c r="R1221" s="101" t="s">
        <v>452</v>
      </c>
      <c r="S1221" s="2" t="s">
        <v>0</v>
      </c>
      <c r="T1221" s="9"/>
      <c r="U1221" s="2" t="s">
        <v>287</v>
      </c>
      <c r="V1221" s="2" t="s">
        <v>288</v>
      </c>
      <c r="W1221" s="2" t="s">
        <v>291</v>
      </c>
      <c r="X1221" s="58"/>
      <c r="Y1221" s="2" t="s">
        <v>289</v>
      </c>
      <c r="Z1221" s="2" t="s">
        <v>354</v>
      </c>
      <c r="AA1221" s="2" t="s">
        <v>355</v>
      </c>
      <c r="AB1221" s="2" t="s">
        <v>317</v>
      </c>
      <c r="AC1221" s="2" t="s">
        <v>318</v>
      </c>
      <c r="AD1221" s="2" t="s">
        <v>316</v>
      </c>
      <c r="AE1221" s="58"/>
      <c r="AF1221" s="2" t="s">
        <v>293</v>
      </c>
      <c r="AG1221" s="2" t="s">
        <v>354</v>
      </c>
      <c r="AH1221" s="2" t="s">
        <v>355</v>
      </c>
      <c r="AI1221" s="2" t="s">
        <v>296</v>
      </c>
      <c r="AJ1221" s="2" t="s">
        <v>294</v>
      </c>
      <c r="AK1221" s="2" t="s">
        <v>295</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635</v>
      </c>
      <c r="O1222" s="12" t="s">
        <v>133</v>
      </c>
      <c r="P1222" s="96" t="s">
        <v>379</v>
      </c>
      <c r="Q1222" s="96" t="s">
        <v>375</v>
      </c>
      <c r="R1222" s="96"/>
      <c r="S1222" s="28">
        <f>M1222</f>
        <v>0</v>
      </c>
      <c r="T1222" s="10"/>
      <c r="U1222" s="12" t="s">
        <v>292</v>
      </c>
      <c r="V1222" s="28">
        <f>S1222</f>
        <v>0</v>
      </c>
      <c r="W1222" s="28">
        <f>VLOOKUP(U1222,Sheet1!$B$6:$C$45,2,FALSE)*V1222</f>
        <v>0</v>
      </c>
      <c r="X1222" s="59"/>
      <c r="Y1222" s="12" t="s">
        <v>292</v>
      </c>
      <c r="Z1222" s="68">
        <f>VLOOKUP(Takeoffs!Y1222,Sheet1!$B$6:$C$124,2,FALSE)</f>
        <v>0</v>
      </c>
      <c r="AA1222" s="68">
        <f>Z1222*AB1222</f>
        <v>0</v>
      </c>
      <c r="AB1222" s="63">
        <f>AD1222*AC1222</f>
        <v>0</v>
      </c>
      <c r="AC1222" s="28">
        <f>S1222</f>
        <v>0</v>
      </c>
      <c r="AD1222" s="61">
        <v>1</v>
      </c>
      <c r="AE1222" s="59"/>
      <c r="AF1222" s="12" t="s">
        <v>292</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446</v>
      </c>
      <c r="P1223" s="12" t="s">
        <v>444</v>
      </c>
      <c r="Q1223" s="12" t="s">
        <v>445</v>
      </c>
      <c r="R1223" s="12"/>
      <c r="S1223" s="28">
        <f>M1222</f>
        <v>0</v>
      </c>
      <c r="T1223" s="11"/>
      <c r="U1223" s="12" t="s">
        <v>302</v>
      </c>
      <c r="V1223" s="28">
        <f t="shared" ref="V1223:V1242" si="561">S1223</f>
        <v>0</v>
      </c>
      <c r="W1223" s="28">
        <f>VLOOKUP(U1223,Sheet1!$B$6:$C$45,2,FALSE)*V1223</f>
        <v>0</v>
      </c>
      <c r="X1223" s="59"/>
      <c r="Y1223" s="12" t="s">
        <v>292</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292</v>
      </c>
      <c r="V1224" s="28">
        <f t="shared" si="561"/>
        <v>0</v>
      </c>
      <c r="W1224" s="28">
        <f>VLOOKUP(U1224,Sheet1!$B$6:$C$45,2,FALSE)*V1224</f>
        <v>0</v>
      </c>
      <c r="X1224" s="59"/>
      <c r="Y1224" s="12" t="s">
        <v>292</v>
      </c>
      <c r="Z1224" s="68">
        <f>VLOOKUP(Takeoffs!Y1224,Sheet1!$B$6:$C$124,2,FALSE)</f>
        <v>0</v>
      </c>
      <c r="AA1224" s="68">
        <f t="shared" si="562"/>
        <v>0</v>
      </c>
      <c r="AB1224" s="63">
        <f t="shared" si="563"/>
        <v>0</v>
      </c>
      <c r="AC1224" s="28">
        <f>S1224</f>
        <v>0</v>
      </c>
      <c r="AD1224" s="61">
        <v>1</v>
      </c>
      <c r="AE1224" s="59"/>
      <c r="AF1224" s="12" t="s">
        <v>292</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292</v>
      </c>
      <c r="V1225" s="28">
        <f t="shared" si="561"/>
        <v>0</v>
      </c>
      <c r="W1225" s="28">
        <f>VLOOKUP(U1225,Sheet1!$B$6:$C$45,2,FALSE)*V1225</f>
        <v>0</v>
      </c>
      <c r="X1225" s="59"/>
      <c r="Y1225" s="12" t="s">
        <v>292</v>
      </c>
      <c r="Z1225" s="68">
        <f>VLOOKUP(Takeoffs!Y1225,Sheet1!$B$6:$C$124,2,FALSE)</f>
        <v>0</v>
      </c>
      <c r="AA1225" s="68">
        <f t="shared" si="562"/>
        <v>0</v>
      </c>
      <c r="AB1225" s="63">
        <f t="shared" si="563"/>
        <v>0</v>
      </c>
      <c r="AC1225" s="28">
        <f t="shared" ref="AC1225:AC1242" si="569">S1225</f>
        <v>0</v>
      </c>
      <c r="AD1225" s="61">
        <v>1</v>
      </c>
      <c r="AE1225" s="59"/>
      <c r="AF1225" s="12" t="s">
        <v>292</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292</v>
      </c>
      <c r="V1226" s="28">
        <f t="shared" si="561"/>
        <v>0</v>
      </c>
      <c r="W1226" s="28">
        <f>VLOOKUP(U1226,Sheet1!$B$6:$C$45,2,FALSE)*V1226</f>
        <v>0</v>
      </c>
      <c r="X1226" s="59"/>
      <c r="Y1226" s="12" t="s">
        <v>292</v>
      </c>
      <c r="Z1226" s="68">
        <f>VLOOKUP(Takeoffs!Y1226,Sheet1!$B$6:$C$124,2,FALSE)</f>
        <v>0</v>
      </c>
      <c r="AA1226" s="68">
        <f t="shared" si="562"/>
        <v>0</v>
      </c>
      <c r="AB1226" s="63">
        <f t="shared" si="563"/>
        <v>0</v>
      </c>
      <c r="AC1226" s="28">
        <f t="shared" si="569"/>
        <v>0</v>
      </c>
      <c r="AD1226" s="61">
        <v>1</v>
      </c>
      <c r="AE1226" s="59"/>
      <c r="AF1226" s="12" t="s">
        <v>292</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292</v>
      </c>
      <c r="V1227" s="28">
        <f t="shared" si="561"/>
        <v>0</v>
      </c>
      <c r="W1227" s="28">
        <f>VLOOKUP(U1227,Sheet1!$B$6:$C$45,2,FALSE)*V1227</f>
        <v>0</v>
      </c>
      <c r="X1227" s="59"/>
      <c r="Y1227" s="12" t="s">
        <v>292</v>
      </c>
      <c r="Z1227" s="68">
        <f>VLOOKUP(Takeoffs!Y1227,Sheet1!$B$6:$C$124,2,FALSE)</f>
        <v>0</v>
      </c>
      <c r="AA1227" s="68">
        <f t="shared" si="562"/>
        <v>0</v>
      </c>
      <c r="AB1227" s="63">
        <f t="shared" si="563"/>
        <v>0</v>
      </c>
      <c r="AC1227" s="28">
        <f t="shared" si="569"/>
        <v>0</v>
      </c>
      <c r="AD1227" s="61">
        <v>1</v>
      </c>
      <c r="AE1227" s="59"/>
      <c r="AF1227" s="12" t="s">
        <v>292</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292</v>
      </c>
      <c r="V1228" s="28">
        <f t="shared" si="561"/>
        <v>0</v>
      </c>
      <c r="W1228" s="28">
        <f>VLOOKUP(U1228,Sheet1!$B$6:$C$45,2,FALSE)*V1228</f>
        <v>0</v>
      </c>
      <c r="X1228" s="59"/>
      <c r="Y1228" s="12" t="s">
        <v>292</v>
      </c>
      <c r="Z1228" s="68">
        <f>VLOOKUP(Takeoffs!Y1228,Sheet1!$B$6:$C$124,2,FALSE)</f>
        <v>0</v>
      </c>
      <c r="AA1228" s="68">
        <f t="shared" si="562"/>
        <v>0</v>
      </c>
      <c r="AB1228" s="63">
        <f t="shared" si="563"/>
        <v>0</v>
      </c>
      <c r="AC1228" s="28">
        <f t="shared" si="569"/>
        <v>0</v>
      </c>
      <c r="AD1228" s="61">
        <v>1</v>
      </c>
      <c r="AE1228" s="59"/>
      <c r="AF1228" s="12" t="s">
        <v>292</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292</v>
      </c>
      <c r="V1229" s="28">
        <f t="shared" si="561"/>
        <v>0</v>
      </c>
      <c r="W1229" s="28">
        <f>VLOOKUP(U1229,Sheet1!$B$6:$C$45,2,FALSE)*V1229</f>
        <v>0</v>
      </c>
      <c r="X1229" s="59"/>
      <c r="Y1229" s="12" t="s">
        <v>292</v>
      </c>
      <c r="Z1229" s="68">
        <f>VLOOKUP(Takeoffs!Y1229,Sheet1!$B$6:$C$124,2,FALSE)</f>
        <v>0</v>
      </c>
      <c r="AA1229" s="68">
        <f t="shared" si="562"/>
        <v>0</v>
      </c>
      <c r="AB1229" s="63">
        <f t="shared" si="563"/>
        <v>0</v>
      </c>
      <c r="AC1229" s="28">
        <f t="shared" si="569"/>
        <v>0</v>
      </c>
      <c r="AD1229" s="61">
        <v>1</v>
      </c>
      <c r="AE1229" s="59"/>
      <c r="AF1229" s="12" t="s">
        <v>292</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292</v>
      </c>
      <c r="V1230" s="28">
        <f t="shared" si="561"/>
        <v>0</v>
      </c>
      <c r="W1230" s="28">
        <f>VLOOKUP(U1230,Sheet1!$B$6:$C$45,2,FALSE)*V1230</f>
        <v>0</v>
      </c>
      <c r="X1230" s="59"/>
      <c r="Y1230" s="12" t="s">
        <v>292</v>
      </c>
      <c r="Z1230" s="68">
        <f>VLOOKUP(Takeoffs!Y1230,Sheet1!$B$6:$C$124,2,FALSE)</f>
        <v>0</v>
      </c>
      <c r="AA1230" s="68">
        <f t="shared" si="562"/>
        <v>0</v>
      </c>
      <c r="AB1230" s="63">
        <f t="shared" si="563"/>
        <v>0</v>
      </c>
      <c r="AC1230" s="28">
        <f t="shared" si="569"/>
        <v>0</v>
      </c>
      <c r="AD1230" s="61">
        <v>1</v>
      </c>
      <c r="AE1230" s="59"/>
      <c r="AF1230" s="12" t="s">
        <v>292</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292</v>
      </c>
      <c r="V1231" s="28">
        <f t="shared" si="561"/>
        <v>0</v>
      </c>
      <c r="W1231" s="28">
        <f>VLOOKUP(U1231,Sheet1!$B$6:$C$45,2,FALSE)*V1231</f>
        <v>0</v>
      </c>
      <c r="X1231" s="59"/>
      <c r="Y1231" s="12" t="s">
        <v>292</v>
      </c>
      <c r="Z1231" s="68">
        <f>VLOOKUP(Takeoffs!Y1231,Sheet1!$B$6:$C$124,2,FALSE)</f>
        <v>0</v>
      </c>
      <c r="AA1231" s="68">
        <f t="shared" si="562"/>
        <v>0</v>
      </c>
      <c r="AB1231" s="63">
        <f t="shared" si="563"/>
        <v>0</v>
      </c>
      <c r="AC1231" s="28">
        <f t="shared" si="569"/>
        <v>0</v>
      </c>
      <c r="AD1231" s="61">
        <v>1</v>
      </c>
      <c r="AE1231" s="59"/>
      <c r="AF1231" s="12" t="s">
        <v>292</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292</v>
      </c>
      <c r="V1232" s="28">
        <f t="shared" si="561"/>
        <v>0</v>
      </c>
      <c r="W1232" s="28">
        <f>VLOOKUP(U1232,Sheet1!$B$6:$C$45,2,FALSE)*V1232</f>
        <v>0</v>
      </c>
      <c r="X1232" s="59"/>
      <c r="Y1232" s="12" t="s">
        <v>292</v>
      </c>
      <c r="Z1232" s="68">
        <f>VLOOKUP(Takeoffs!Y1232,Sheet1!$B$6:$C$124,2,FALSE)</f>
        <v>0</v>
      </c>
      <c r="AA1232" s="68">
        <f t="shared" si="562"/>
        <v>0</v>
      </c>
      <c r="AB1232" s="63">
        <f t="shared" si="563"/>
        <v>0</v>
      </c>
      <c r="AC1232" s="28">
        <f t="shared" si="569"/>
        <v>0</v>
      </c>
      <c r="AD1232" s="61">
        <v>1</v>
      </c>
      <c r="AE1232" s="59"/>
      <c r="AF1232" s="12" t="s">
        <v>292</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292</v>
      </c>
      <c r="V1233" s="28">
        <f t="shared" si="561"/>
        <v>0</v>
      </c>
      <c r="W1233" s="28">
        <f>VLOOKUP(U1233,Sheet1!$B$6:$C$45,2,FALSE)*V1233</f>
        <v>0</v>
      </c>
      <c r="X1233" s="59"/>
      <c r="Y1233" s="12" t="s">
        <v>292</v>
      </c>
      <c r="Z1233" s="68">
        <f>VLOOKUP(Takeoffs!Y1233,Sheet1!$B$6:$C$124,2,FALSE)</f>
        <v>0</v>
      </c>
      <c r="AA1233" s="68">
        <f t="shared" si="562"/>
        <v>0</v>
      </c>
      <c r="AB1233" s="63">
        <f t="shared" si="563"/>
        <v>0</v>
      </c>
      <c r="AC1233" s="28">
        <f t="shared" si="569"/>
        <v>0</v>
      </c>
      <c r="AD1233" s="61">
        <v>1</v>
      </c>
      <c r="AE1233" s="59"/>
      <c r="AF1233" s="12" t="s">
        <v>292</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292</v>
      </c>
      <c r="V1234" s="28">
        <f t="shared" si="561"/>
        <v>0</v>
      </c>
      <c r="W1234" s="28">
        <f>VLOOKUP(U1234,Sheet1!$B$6:$C$45,2,FALSE)*V1234</f>
        <v>0</v>
      </c>
      <c r="X1234" s="59"/>
      <c r="Y1234" s="12" t="s">
        <v>292</v>
      </c>
      <c r="Z1234" s="68">
        <f>VLOOKUP(Takeoffs!Y1234,Sheet1!$B$6:$C$124,2,FALSE)</f>
        <v>0</v>
      </c>
      <c r="AA1234" s="68">
        <f t="shared" si="562"/>
        <v>0</v>
      </c>
      <c r="AB1234" s="63">
        <f t="shared" si="563"/>
        <v>0</v>
      </c>
      <c r="AC1234" s="28">
        <f t="shared" si="569"/>
        <v>0</v>
      </c>
      <c r="AD1234" s="61">
        <v>1</v>
      </c>
      <c r="AE1234" s="59"/>
      <c r="AF1234" s="12" t="s">
        <v>292</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292</v>
      </c>
      <c r="V1235" s="28">
        <f t="shared" si="561"/>
        <v>0</v>
      </c>
      <c r="W1235" s="28">
        <f>VLOOKUP(U1235,Sheet1!$B$6:$C$45,2,FALSE)*V1235</f>
        <v>0</v>
      </c>
      <c r="X1235" s="59"/>
      <c r="Y1235" s="12" t="s">
        <v>292</v>
      </c>
      <c r="Z1235" s="68">
        <f>VLOOKUP(Takeoffs!Y1235,Sheet1!$B$6:$C$124,2,FALSE)</f>
        <v>0</v>
      </c>
      <c r="AA1235" s="68">
        <f t="shared" si="562"/>
        <v>0</v>
      </c>
      <c r="AB1235" s="63">
        <f t="shared" si="563"/>
        <v>0</v>
      </c>
      <c r="AC1235" s="28">
        <f t="shared" si="569"/>
        <v>0</v>
      </c>
      <c r="AD1235" s="61">
        <v>1</v>
      </c>
      <c r="AE1235" s="59"/>
      <c r="AF1235" s="12" t="s">
        <v>292</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292</v>
      </c>
      <c r="V1236" s="28">
        <f t="shared" si="561"/>
        <v>0</v>
      </c>
      <c r="W1236" s="28">
        <f>VLOOKUP(U1236,Sheet1!$B$6:$C$45,2,FALSE)*V1236</f>
        <v>0</v>
      </c>
      <c r="X1236" s="59"/>
      <c r="Y1236" s="12" t="s">
        <v>292</v>
      </c>
      <c r="Z1236" s="68">
        <f>VLOOKUP(Takeoffs!Y1236,Sheet1!$B$6:$C$124,2,FALSE)</f>
        <v>0</v>
      </c>
      <c r="AA1236" s="68">
        <f t="shared" si="562"/>
        <v>0</v>
      </c>
      <c r="AB1236" s="63">
        <f t="shared" si="563"/>
        <v>0</v>
      </c>
      <c r="AC1236" s="28">
        <f t="shared" si="569"/>
        <v>0</v>
      </c>
      <c r="AD1236" s="61">
        <v>1</v>
      </c>
      <c r="AE1236" s="59"/>
      <c r="AF1236" s="12" t="s">
        <v>292</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292</v>
      </c>
      <c r="V1237" s="28">
        <f t="shared" si="561"/>
        <v>0</v>
      </c>
      <c r="W1237" s="28">
        <f>VLOOKUP(U1237,Sheet1!$B$6:$C$45,2,FALSE)*V1237</f>
        <v>0</v>
      </c>
      <c r="X1237" s="59"/>
      <c r="Y1237" s="12" t="s">
        <v>292</v>
      </c>
      <c r="Z1237" s="68">
        <f>VLOOKUP(Takeoffs!Y1237,Sheet1!$B$6:$C$124,2,FALSE)</f>
        <v>0</v>
      </c>
      <c r="AA1237" s="68">
        <f t="shared" si="562"/>
        <v>0</v>
      </c>
      <c r="AB1237" s="63">
        <f t="shared" si="563"/>
        <v>0</v>
      </c>
      <c r="AC1237" s="28">
        <f t="shared" si="569"/>
        <v>0</v>
      </c>
      <c r="AD1237" s="61">
        <v>1</v>
      </c>
      <c r="AE1237" s="59"/>
      <c r="AF1237" s="12" t="s">
        <v>292</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292</v>
      </c>
      <c r="V1238" s="28">
        <f t="shared" si="561"/>
        <v>0</v>
      </c>
      <c r="W1238" s="28">
        <f>VLOOKUP(U1238,Sheet1!$B$6:$C$45,2,FALSE)*V1238</f>
        <v>0</v>
      </c>
      <c r="X1238" s="59"/>
      <c r="Y1238" s="12" t="s">
        <v>292</v>
      </c>
      <c r="Z1238" s="68">
        <f>VLOOKUP(Takeoffs!Y1238,Sheet1!$B$6:$C$124,2,FALSE)</f>
        <v>0</v>
      </c>
      <c r="AA1238" s="68">
        <f t="shared" si="562"/>
        <v>0</v>
      </c>
      <c r="AB1238" s="63">
        <f t="shared" si="563"/>
        <v>0</v>
      </c>
      <c r="AC1238" s="28">
        <f t="shared" si="569"/>
        <v>0</v>
      </c>
      <c r="AD1238" s="61">
        <v>1</v>
      </c>
      <c r="AE1238" s="59"/>
      <c r="AF1238" s="12" t="s">
        <v>292</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292</v>
      </c>
      <c r="V1239" s="28">
        <f t="shared" si="561"/>
        <v>0</v>
      </c>
      <c r="W1239" s="28">
        <f>VLOOKUP(U1239,Sheet1!$B$6:$C$45,2,FALSE)*V1239</f>
        <v>0</v>
      </c>
      <c r="X1239" s="59"/>
      <c r="Y1239" s="12" t="s">
        <v>292</v>
      </c>
      <c r="Z1239" s="68">
        <f>VLOOKUP(Takeoffs!Y1239,Sheet1!$B$6:$C$124,2,FALSE)</f>
        <v>0</v>
      </c>
      <c r="AA1239" s="68">
        <f t="shared" si="562"/>
        <v>0</v>
      </c>
      <c r="AB1239" s="63">
        <f t="shared" si="563"/>
        <v>0</v>
      </c>
      <c r="AC1239" s="28">
        <f t="shared" si="569"/>
        <v>0</v>
      </c>
      <c r="AD1239" s="61">
        <v>1</v>
      </c>
      <c r="AE1239" s="59"/>
      <c r="AF1239" s="12" t="s">
        <v>292</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292</v>
      </c>
      <c r="V1240" s="28">
        <f t="shared" si="561"/>
        <v>0</v>
      </c>
      <c r="W1240" s="28">
        <f>VLOOKUP(U1240,Sheet1!$B$6:$C$45,2,FALSE)*V1240</f>
        <v>0</v>
      </c>
      <c r="X1240" s="59"/>
      <c r="Y1240" s="12" t="s">
        <v>292</v>
      </c>
      <c r="Z1240" s="68">
        <f>VLOOKUP(Takeoffs!Y1240,Sheet1!$B$6:$C$124,2,FALSE)</f>
        <v>0</v>
      </c>
      <c r="AA1240" s="68">
        <f t="shared" si="562"/>
        <v>0</v>
      </c>
      <c r="AB1240" s="63">
        <f t="shared" si="563"/>
        <v>0</v>
      </c>
      <c r="AC1240" s="28">
        <f t="shared" si="569"/>
        <v>0</v>
      </c>
      <c r="AD1240" s="61">
        <v>1</v>
      </c>
      <c r="AE1240" s="59"/>
      <c r="AF1240" s="12" t="s">
        <v>292</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292</v>
      </c>
      <c r="V1241" s="28">
        <f t="shared" si="561"/>
        <v>0</v>
      </c>
      <c r="W1241" s="28">
        <f>VLOOKUP(U1241,Sheet1!$B$6:$C$45,2,FALSE)*V1241</f>
        <v>0</v>
      </c>
      <c r="X1241" s="59"/>
      <c r="Y1241" s="12" t="s">
        <v>292</v>
      </c>
      <c r="Z1241" s="68">
        <f>VLOOKUP(Takeoffs!Y1241,Sheet1!$B$6:$C$124,2,FALSE)</f>
        <v>0</v>
      </c>
      <c r="AA1241" s="68">
        <f t="shared" si="562"/>
        <v>0</v>
      </c>
      <c r="AB1241" s="63">
        <f t="shared" si="563"/>
        <v>0</v>
      </c>
      <c r="AC1241" s="28">
        <f t="shared" si="569"/>
        <v>0</v>
      </c>
      <c r="AD1241" s="61">
        <v>1</v>
      </c>
      <c r="AE1241" s="59"/>
      <c r="AF1241" s="12" t="s">
        <v>292</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292</v>
      </c>
      <c r="V1242" s="28">
        <f t="shared" si="561"/>
        <v>0</v>
      </c>
      <c r="W1242" s="28">
        <f>VLOOKUP(U1242,Sheet1!$B$6:$C$45,2,FALSE)*V1242</f>
        <v>0</v>
      </c>
      <c r="X1242" s="59"/>
      <c r="Y1242" s="12" t="s">
        <v>292</v>
      </c>
      <c r="Z1242" s="68">
        <f>VLOOKUP(Takeoffs!Y1242,Sheet1!$B$6:$C$124,2,FALSE)</f>
        <v>0</v>
      </c>
      <c r="AA1242" s="68">
        <f t="shared" si="562"/>
        <v>0</v>
      </c>
      <c r="AB1242" s="63">
        <f t="shared" si="563"/>
        <v>0</v>
      </c>
      <c r="AC1242" s="28">
        <f t="shared" si="569"/>
        <v>0</v>
      </c>
      <c r="AD1242" s="61">
        <v>1</v>
      </c>
      <c r="AE1242" s="59"/>
      <c r="AF1242" s="12" t="s">
        <v>292</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377</v>
      </c>
      <c r="L1243" s="21" t="s">
        <v>378</v>
      </c>
      <c r="N1243" s="22"/>
      <c r="O1243" s="23" t="s">
        <v>357</v>
      </c>
      <c r="P1243" s="82">
        <f>V1243+AA1243+AH1243</f>
        <v>0</v>
      </c>
      <c r="Q1243" s="24"/>
      <c r="R1243" s="24"/>
      <c r="S1243" s="23"/>
      <c r="T1243" s="20"/>
      <c r="U1243" s="19" t="s">
        <v>351</v>
      </c>
      <c r="V1243" s="20">
        <f>W1243*80</f>
        <v>0</v>
      </c>
      <c r="W1243" s="69">
        <f>SUM(W1222:W1242)</f>
        <v>0</v>
      </c>
      <c r="X1243" s="70"/>
      <c r="Y1243" s="20" t="s">
        <v>352</v>
      </c>
      <c r="Z1243" s="2"/>
      <c r="AA1243" s="2">
        <f>SUM(AA1222:AA1242)</f>
        <v>0</v>
      </c>
      <c r="AB1243" s="71"/>
      <c r="AC1243" s="71"/>
      <c r="AD1243" s="71"/>
      <c r="AE1243" s="71"/>
      <c r="AF1243" s="20" t="s">
        <v>356</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hidden="1" x14ac:dyDescent="0.8">
      <c r="A1244" s="262">
        <f>ROW()</f>
        <v>1244</v>
      </c>
      <c r="B1244" s="234" t="s">
        <v>491</v>
      </c>
      <c r="C1244" s="217" t="str">
        <f>N1222</f>
        <v>VRF outdoor units</v>
      </c>
      <c r="D1244" s="260" t="s">
        <v>679</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367</v>
      </c>
      <c r="N1244" s="83" t="str">
        <f>N1222</f>
        <v>VRF outdoor units</v>
      </c>
      <c r="O1244" s="83" t="s">
        <v>365</v>
      </c>
      <c r="P1244" s="84" t="e">
        <f>P1243/M1222</f>
        <v>#DIV/0!</v>
      </c>
      <c r="Q1244" s="84"/>
      <c r="R1244" s="84"/>
      <c r="S1244" s="83"/>
      <c r="T1244" s="84"/>
      <c r="U1244" s="571" t="s">
        <v>366</v>
      </c>
      <c r="V1244" s="571"/>
      <c r="W1244" s="85" t="e">
        <f>W1243/M1222</f>
        <v>#DIV/0!</v>
      </c>
      <c r="X1244" s="86"/>
      <c r="Y1244" s="570" t="s">
        <v>365</v>
      </c>
      <c r="Z1244" s="570"/>
      <c r="AA1244" s="87" t="e">
        <f>AA1243/M1222</f>
        <v>#DIV/0!</v>
      </c>
      <c r="AB1244" s="84"/>
      <c r="AC1244" s="84"/>
      <c r="AD1244" s="84"/>
      <c r="AE1244" s="84"/>
      <c r="AF1244" s="570" t="s">
        <v>365</v>
      </c>
      <c r="AG1244" s="570"/>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452</v>
      </c>
      <c r="M1245" s="116" t="s">
        <v>298</v>
      </c>
      <c r="N1245" s="116" t="s">
        <v>108</v>
      </c>
      <c r="O1245" s="170" t="s">
        <v>386</v>
      </c>
      <c r="P1245" s="572" t="s">
        <v>375</v>
      </c>
      <c r="Q1245" s="572"/>
      <c r="R1245" s="101" t="s">
        <v>452</v>
      </c>
      <c r="S1245" s="116" t="s">
        <v>0</v>
      </c>
      <c r="T1245" s="118"/>
      <c r="U1245" s="116" t="s">
        <v>287</v>
      </c>
      <c r="V1245" s="116" t="s">
        <v>288</v>
      </c>
      <c r="W1245" s="116" t="s">
        <v>291</v>
      </c>
      <c r="X1245" s="140"/>
      <c r="Y1245" s="116" t="s">
        <v>289</v>
      </c>
      <c r="Z1245" s="116" t="s">
        <v>354</v>
      </c>
      <c r="AA1245" s="116" t="s">
        <v>355</v>
      </c>
      <c r="AB1245" s="116" t="s">
        <v>317</v>
      </c>
      <c r="AC1245" s="116" t="s">
        <v>318</v>
      </c>
      <c r="AD1245" s="116" t="s">
        <v>316</v>
      </c>
      <c r="AE1245" s="140"/>
      <c r="AF1245" s="116" t="s">
        <v>293</v>
      </c>
      <c r="AG1245" s="116" t="s">
        <v>354</v>
      </c>
      <c r="AH1245" s="116" t="s">
        <v>355</v>
      </c>
      <c r="AI1245" s="116" t="s">
        <v>296</v>
      </c>
      <c r="AJ1245" s="116" t="s">
        <v>294</v>
      </c>
      <c r="AK1245" s="116" t="s">
        <v>295</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592</v>
      </c>
      <c r="O1246" s="121" t="s">
        <v>138</v>
      </c>
      <c r="P1246" s="169" t="s">
        <v>379</v>
      </c>
      <c r="Q1246" s="169" t="s">
        <v>375</v>
      </c>
      <c r="R1246" s="169"/>
      <c r="S1246" s="133">
        <f>M1246</f>
        <v>0</v>
      </c>
      <c r="T1246" s="119"/>
      <c r="U1246" s="121" t="s">
        <v>292</v>
      </c>
      <c r="V1246" s="133">
        <f>S1246</f>
        <v>0</v>
      </c>
      <c r="W1246" s="133">
        <f>VLOOKUP(U1246,Sheet1!$B$6:$C$45,2,FALSE)*V1246</f>
        <v>0</v>
      </c>
      <c r="X1246" s="141"/>
      <c r="Y1246" s="121" t="s">
        <v>292</v>
      </c>
      <c r="Z1246" s="146">
        <f>VLOOKUP(Takeoffs!Y1246,Sheet1!$B$6:$C$124,2,FALSE)</f>
        <v>0</v>
      </c>
      <c r="AA1246" s="146">
        <f>Z1246*AB1246</f>
        <v>0</v>
      </c>
      <c r="AB1246" s="143">
        <f>AD1246*AC1246</f>
        <v>0</v>
      </c>
      <c r="AC1246" s="133">
        <f>S1246</f>
        <v>0</v>
      </c>
      <c r="AD1246" s="142">
        <v>1</v>
      </c>
      <c r="AE1246" s="141"/>
      <c r="AF1246" s="121" t="s">
        <v>292</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593</v>
      </c>
      <c r="Q1247" s="66" t="s">
        <v>426</v>
      </c>
      <c r="R1247" s="121"/>
      <c r="S1247" s="133">
        <f>M1246</f>
        <v>0</v>
      </c>
      <c r="T1247" s="120"/>
      <c r="U1247" s="121" t="s">
        <v>292</v>
      </c>
      <c r="V1247" s="133">
        <f t="shared" ref="V1247:V1266" si="575">S1247</f>
        <v>0</v>
      </c>
      <c r="W1247" s="133">
        <f>VLOOKUP(U1247,Sheet1!$B$6:$C$45,2,FALSE)*V1247</f>
        <v>0</v>
      </c>
      <c r="X1247" s="141"/>
      <c r="Y1247" s="121" t="s">
        <v>292</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292</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292</v>
      </c>
      <c r="V1248" s="133">
        <f t="shared" si="575"/>
        <v>0</v>
      </c>
      <c r="W1248" s="133">
        <f>VLOOKUP(U1248,Sheet1!$B$6:$C$45,2,FALSE)*V1248</f>
        <v>0</v>
      </c>
      <c r="X1248" s="141"/>
      <c r="Y1248" s="121" t="s">
        <v>292</v>
      </c>
      <c r="Z1248" s="146">
        <f>VLOOKUP(Takeoffs!Y1248,Sheet1!$B$6:$C$124,2,FALSE)</f>
        <v>0</v>
      </c>
      <c r="AA1248" s="146">
        <f t="shared" si="576"/>
        <v>0</v>
      </c>
      <c r="AB1248" s="143">
        <f t="shared" si="577"/>
        <v>0</v>
      </c>
      <c r="AC1248" s="133">
        <f t="shared" si="578"/>
        <v>0</v>
      </c>
      <c r="AD1248" s="142">
        <v>1</v>
      </c>
      <c r="AE1248" s="141"/>
      <c r="AF1248" s="121" t="s">
        <v>292</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593</v>
      </c>
      <c r="Q1249" s="66" t="s">
        <v>413</v>
      </c>
      <c r="R1249" s="121"/>
      <c r="S1249" s="133">
        <f>M1246</f>
        <v>0</v>
      </c>
      <c r="T1249" s="120"/>
      <c r="U1249" s="121" t="s">
        <v>292</v>
      </c>
      <c r="V1249" s="133">
        <f t="shared" si="575"/>
        <v>0</v>
      </c>
      <c r="W1249" s="133">
        <f>VLOOKUP(U1249,Sheet1!$B$6:$C$45,2,FALSE)*V1249</f>
        <v>0</v>
      </c>
      <c r="X1249" s="141"/>
      <c r="Y1249" s="121" t="s">
        <v>292</v>
      </c>
      <c r="Z1249" s="146">
        <f>VLOOKUP(Takeoffs!Y1249,Sheet1!$B$6:$C$124,2,FALSE)</f>
        <v>0</v>
      </c>
      <c r="AA1249" s="146">
        <f t="shared" si="576"/>
        <v>0</v>
      </c>
      <c r="AB1249" s="143">
        <f t="shared" si="577"/>
        <v>0</v>
      </c>
      <c r="AC1249" s="133">
        <f t="shared" si="578"/>
        <v>0</v>
      </c>
      <c r="AD1249" s="142">
        <v>1</v>
      </c>
      <c r="AE1249" s="141"/>
      <c r="AF1249" s="121" t="s">
        <v>292</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593</v>
      </c>
      <c r="Q1250" s="121" t="s">
        <v>594</v>
      </c>
      <c r="R1250" s="121"/>
      <c r="S1250" s="133">
        <f>M1246</f>
        <v>0</v>
      </c>
      <c r="T1250" s="120"/>
      <c r="U1250" s="121" t="s">
        <v>292</v>
      </c>
      <c r="V1250" s="133">
        <f t="shared" si="575"/>
        <v>0</v>
      </c>
      <c r="W1250" s="133">
        <f>VLOOKUP(U1250,Sheet1!$B$6:$C$45,2,FALSE)*V1250</f>
        <v>0</v>
      </c>
      <c r="X1250" s="141"/>
      <c r="Y1250" s="121" t="s">
        <v>292</v>
      </c>
      <c r="Z1250" s="146">
        <f>VLOOKUP(Takeoffs!Y1250,Sheet1!$B$6:$C$124,2,FALSE)</f>
        <v>0</v>
      </c>
      <c r="AA1250" s="146">
        <f t="shared" si="576"/>
        <v>0</v>
      </c>
      <c r="AB1250" s="143">
        <f t="shared" si="577"/>
        <v>0</v>
      </c>
      <c r="AC1250" s="133">
        <f t="shared" si="578"/>
        <v>0</v>
      </c>
      <c r="AD1250" s="142">
        <v>1</v>
      </c>
      <c r="AE1250" s="141"/>
      <c r="AF1250" s="121" t="s">
        <v>292</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292</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292</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604</v>
      </c>
      <c r="P1252" s="121" t="s">
        <v>593</v>
      </c>
      <c r="Q1252" s="121" t="s">
        <v>603</v>
      </c>
      <c r="R1252" s="121"/>
      <c r="S1252" s="133">
        <f>M1246</f>
        <v>0</v>
      </c>
      <c r="T1252" s="120"/>
      <c r="U1252" s="121" t="s">
        <v>292</v>
      </c>
      <c r="V1252" s="133">
        <f t="shared" si="575"/>
        <v>0</v>
      </c>
      <c r="W1252" s="133">
        <f>VLOOKUP(U1252,Sheet1!$B$6:$C$45,2,FALSE)*V1252</f>
        <v>0</v>
      </c>
      <c r="X1252" s="141"/>
      <c r="Y1252" s="121" t="s">
        <v>422</v>
      </c>
      <c r="Z1252" s="146">
        <f>VLOOKUP(Takeoffs!Y1252,Sheet1!$B$6:$C$124,2,FALSE)</f>
        <v>23.4</v>
      </c>
      <c r="AA1252" s="146">
        <f t="shared" si="576"/>
        <v>0</v>
      </c>
      <c r="AB1252" s="143">
        <f t="shared" si="577"/>
        <v>0</v>
      </c>
      <c r="AC1252" s="133">
        <f t="shared" si="578"/>
        <v>0</v>
      </c>
      <c r="AD1252" s="142">
        <v>1</v>
      </c>
      <c r="AE1252" s="141"/>
      <c r="AF1252" s="121" t="s">
        <v>292</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598</v>
      </c>
      <c r="P1253" s="121" t="s">
        <v>593</v>
      </c>
      <c r="Q1253" s="121" t="s">
        <v>602</v>
      </c>
      <c r="R1253" s="121"/>
      <c r="S1253" s="133">
        <f>M1246</f>
        <v>0</v>
      </c>
      <c r="T1253" s="120"/>
      <c r="U1253" s="121" t="s">
        <v>292</v>
      </c>
      <c r="V1253" s="133">
        <f t="shared" si="575"/>
        <v>0</v>
      </c>
      <c r="W1253" s="133">
        <f>VLOOKUP(U1253,Sheet1!$B$6:$C$45,2,FALSE)*V1253</f>
        <v>0</v>
      </c>
      <c r="X1253" s="141"/>
      <c r="Y1253" s="121" t="s">
        <v>292</v>
      </c>
      <c r="Z1253" s="146">
        <f>VLOOKUP(Takeoffs!Y1253,Sheet1!$B$6:$C$124,2,FALSE)</f>
        <v>0</v>
      </c>
      <c r="AA1253" s="146">
        <f t="shared" si="576"/>
        <v>0</v>
      </c>
      <c r="AB1253" s="143">
        <f t="shared" si="577"/>
        <v>0</v>
      </c>
      <c r="AC1253" s="133">
        <f t="shared" si="578"/>
        <v>0</v>
      </c>
      <c r="AD1253" s="142">
        <v>1</v>
      </c>
      <c r="AE1253" s="141"/>
      <c r="AF1253" s="121" t="s">
        <v>292</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595</v>
      </c>
      <c r="P1254" s="121" t="s">
        <v>447</v>
      </c>
      <c r="Q1254" s="121" t="s">
        <v>601</v>
      </c>
      <c r="R1254" s="121"/>
      <c r="S1254" s="133">
        <f>M1246</f>
        <v>0</v>
      </c>
      <c r="T1254" s="120"/>
      <c r="U1254" s="117" t="s">
        <v>363</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292</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596</v>
      </c>
      <c r="P1255" s="121"/>
      <c r="Q1255" s="121"/>
      <c r="R1255" s="121"/>
      <c r="S1255" s="133">
        <f>M1246</f>
        <v>0</v>
      </c>
      <c r="T1255" s="120"/>
      <c r="U1255" s="121" t="s">
        <v>292</v>
      </c>
      <c r="V1255" s="133">
        <f t="shared" si="575"/>
        <v>0</v>
      </c>
      <c r="W1255" s="133">
        <f>VLOOKUP(U1255,Sheet1!$B$6:$C$45,2,FALSE)*V1255</f>
        <v>0</v>
      </c>
      <c r="X1255" s="141"/>
      <c r="Y1255" s="121" t="s">
        <v>292</v>
      </c>
      <c r="Z1255" s="146">
        <f>VLOOKUP(Takeoffs!Y1255,Sheet1!$B$6:$C$124,2,FALSE)</f>
        <v>0</v>
      </c>
      <c r="AA1255" s="146">
        <f t="shared" si="576"/>
        <v>0</v>
      </c>
      <c r="AB1255" s="143">
        <f t="shared" si="577"/>
        <v>0</v>
      </c>
      <c r="AC1255" s="133">
        <f t="shared" si="578"/>
        <v>0</v>
      </c>
      <c r="AD1255" s="142">
        <v>1</v>
      </c>
      <c r="AE1255" s="141"/>
      <c r="AF1255" s="121" t="s">
        <v>292</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597</v>
      </c>
      <c r="P1256" s="121"/>
      <c r="Q1256" s="121"/>
      <c r="R1256" s="121"/>
      <c r="S1256" s="133">
        <f>M1246</f>
        <v>0</v>
      </c>
      <c r="T1256" s="120"/>
      <c r="U1256" s="121" t="s">
        <v>292</v>
      </c>
      <c r="V1256" s="133">
        <f t="shared" si="575"/>
        <v>0</v>
      </c>
      <c r="W1256" s="133">
        <f>VLOOKUP(U1256,Sheet1!$B$6:$C$45,2,FALSE)*V1256</f>
        <v>0</v>
      </c>
      <c r="X1256" s="141"/>
      <c r="Y1256" s="121" t="s">
        <v>292</v>
      </c>
      <c r="Z1256" s="146">
        <f>VLOOKUP(Takeoffs!Y1256,Sheet1!$B$6:$C$124,2,FALSE)</f>
        <v>0</v>
      </c>
      <c r="AA1256" s="146">
        <f t="shared" si="576"/>
        <v>0</v>
      </c>
      <c r="AB1256" s="143">
        <f t="shared" si="577"/>
        <v>0</v>
      </c>
      <c r="AC1256" s="133">
        <f t="shared" si="578"/>
        <v>0</v>
      </c>
      <c r="AD1256" s="142">
        <v>1</v>
      </c>
      <c r="AE1256" s="141"/>
      <c r="AF1256" s="121" t="s">
        <v>292</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292</v>
      </c>
      <c r="V1257" s="133">
        <f t="shared" si="575"/>
        <v>0</v>
      </c>
      <c r="W1257" s="133">
        <f>VLOOKUP(U1257,Sheet1!$B$6:$C$45,2,FALSE)*V1257</f>
        <v>0</v>
      </c>
      <c r="X1257" s="141"/>
      <c r="Y1257" s="121" t="s">
        <v>292</v>
      </c>
      <c r="Z1257" s="146">
        <f>VLOOKUP(Takeoffs!Y1257,Sheet1!$B$6:$C$124,2,FALSE)</f>
        <v>0</v>
      </c>
      <c r="AA1257" s="146">
        <f t="shared" si="576"/>
        <v>0</v>
      </c>
      <c r="AB1257" s="143">
        <f t="shared" si="577"/>
        <v>0</v>
      </c>
      <c r="AC1257" s="133">
        <f t="shared" si="578"/>
        <v>0</v>
      </c>
      <c r="AD1257" s="142">
        <v>1</v>
      </c>
      <c r="AE1257" s="141"/>
      <c r="AF1257" s="121" t="s">
        <v>292</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593</v>
      </c>
      <c r="Q1258" s="121" t="s">
        <v>599</v>
      </c>
      <c r="R1258" s="121"/>
      <c r="S1258" s="133">
        <f>M1246</f>
        <v>0</v>
      </c>
      <c r="T1258" s="120"/>
      <c r="U1258" s="121" t="s">
        <v>292</v>
      </c>
      <c r="V1258" s="133">
        <f t="shared" si="575"/>
        <v>0</v>
      </c>
      <c r="W1258" s="133">
        <f>VLOOKUP(U1258,Sheet1!$B$6:$C$45,2,FALSE)*V1258</f>
        <v>0</v>
      </c>
      <c r="X1258" s="141"/>
      <c r="Y1258" s="121" t="s">
        <v>292</v>
      </c>
      <c r="Z1258" s="146">
        <f>VLOOKUP(Takeoffs!Y1258,Sheet1!$B$6:$C$124,2,FALSE)</f>
        <v>0</v>
      </c>
      <c r="AA1258" s="146">
        <f t="shared" si="576"/>
        <v>0</v>
      </c>
      <c r="AB1258" s="143">
        <f t="shared" si="577"/>
        <v>0</v>
      </c>
      <c r="AC1258" s="133">
        <f t="shared" si="578"/>
        <v>0</v>
      </c>
      <c r="AD1258" s="142">
        <v>1</v>
      </c>
      <c r="AE1258" s="141"/>
      <c r="AF1258" s="121" t="s">
        <v>292</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292</v>
      </c>
      <c r="V1259" s="133">
        <f t="shared" si="575"/>
        <v>0</v>
      </c>
      <c r="W1259" s="133">
        <f>VLOOKUP(U1259,Sheet1!$B$6:$C$45,2,FALSE)*V1259</f>
        <v>0</v>
      </c>
      <c r="X1259" s="141"/>
      <c r="Y1259" s="121" t="s">
        <v>292</v>
      </c>
      <c r="Z1259" s="146">
        <f>VLOOKUP(Takeoffs!Y1259,Sheet1!$B$6:$C$124,2,FALSE)</f>
        <v>0</v>
      </c>
      <c r="AA1259" s="146">
        <f t="shared" si="576"/>
        <v>0</v>
      </c>
      <c r="AB1259" s="143">
        <f t="shared" si="577"/>
        <v>0</v>
      </c>
      <c r="AC1259" s="133">
        <f t="shared" si="578"/>
        <v>0</v>
      </c>
      <c r="AD1259" s="142">
        <v>1</v>
      </c>
      <c r="AE1259" s="141"/>
      <c r="AF1259" s="121" t="s">
        <v>292</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292</v>
      </c>
      <c r="V1260" s="133">
        <f t="shared" si="575"/>
        <v>0</v>
      </c>
      <c r="W1260" s="133">
        <f>VLOOKUP(U1260,Sheet1!$B$6:$C$45,2,FALSE)*V1260</f>
        <v>0</v>
      </c>
      <c r="X1260" s="141"/>
      <c r="Y1260" s="121" t="s">
        <v>292</v>
      </c>
      <c r="Z1260" s="146">
        <f>VLOOKUP(Takeoffs!Y1260,Sheet1!$B$6:$C$124,2,FALSE)</f>
        <v>0</v>
      </c>
      <c r="AA1260" s="146">
        <f t="shared" si="576"/>
        <v>0</v>
      </c>
      <c r="AB1260" s="143">
        <f t="shared" si="577"/>
        <v>0</v>
      </c>
      <c r="AC1260" s="133">
        <f t="shared" si="578"/>
        <v>0</v>
      </c>
      <c r="AD1260" s="142">
        <v>1</v>
      </c>
      <c r="AE1260" s="141"/>
      <c r="AF1260" s="121" t="s">
        <v>292</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292</v>
      </c>
      <c r="V1261" s="133">
        <f t="shared" si="575"/>
        <v>0</v>
      </c>
      <c r="W1261" s="133">
        <f>VLOOKUP(U1261,Sheet1!$B$6:$C$45,2,FALSE)*V1261</f>
        <v>0</v>
      </c>
      <c r="X1261" s="141"/>
      <c r="Y1261" s="121" t="s">
        <v>292</v>
      </c>
      <c r="Z1261" s="146">
        <f>VLOOKUP(Takeoffs!Y1261,Sheet1!$B$6:$C$124,2,FALSE)</f>
        <v>0</v>
      </c>
      <c r="AA1261" s="146">
        <f t="shared" si="576"/>
        <v>0</v>
      </c>
      <c r="AB1261" s="143">
        <f t="shared" si="577"/>
        <v>0</v>
      </c>
      <c r="AC1261" s="133">
        <f t="shared" si="578"/>
        <v>0</v>
      </c>
      <c r="AD1261" s="142">
        <v>1</v>
      </c>
      <c r="AE1261" s="141"/>
      <c r="AF1261" s="121" t="s">
        <v>292</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292</v>
      </c>
      <c r="V1262" s="133">
        <f t="shared" si="575"/>
        <v>0</v>
      </c>
      <c r="W1262" s="133">
        <f>VLOOKUP(U1262,Sheet1!$B$6:$C$45,2,FALSE)*V1262</f>
        <v>0</v>
      </c>
      <c r="X1262" s="141"/>
      <c r="Y1262" s="121" t="s">
        <v>292</v>
      </c>
      <c r="Z1262" s="146">
        <f>VLOOKUP(Takeoffs!Y1262,Sheet1!$B$6:$C$124,2,FALSE)</f>
        <v>0</v>
      </c>
      <c r="AA1262" s="146">
        <f t="shared" si="576"/>
        <v>0</v>
      </c>
      <c r="AB1262" s="143">
        <f t="shared" si="577"/>
        <v>0</v>
      </c>
      <c r="AC1262" s="133">
        <f t="shared" si="578"/>
        <v>0</v>
      </c>
      <c r="AD1262" s="142">
        <v>1</v>
      </c>
      <c r="AE1262" s="141"/>
      <c r="AF1262" s="121" t="s">
        <v>292</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292</v>
      </c>
      <c r="V1263" s="133">
        <f t="shared" si="575"/>
        <v>0</v>
      </c>
      <c r="W1263" s="133">
        <f>VLOOKUP(U1263,Sheet1!$B$6:$C$45,2,FALSE)*V1263</f>
        <v>0</v>
      </c>
      <c r="X1263" s="141"/>
      <c r="Y1263" s="121" t="s">
        <v>292</v>
      </c>
      <c r="Z1263" s="146">
        <f>VLOOKUP(Takeoffs!Y1263,Sheet1!$B$6:$C$124,2,FALSE)</f>
        <v>0</v>
      </c>
      <c r="AA1263" s="146">
        <f t="shared" si="576"/>
        <v>0</v>
      </c>
      <c r="AB1263" s="143">
        <f t="shared" si="577"/>
        <v>0</v>
      </c>
      <c r="AC1263" s="133">
        <f t="shared" si="578"/>
        <v>0</v>
      </c>
      <c r="AD1263" s="142">
        <v>1</v>
      </c>
      <c r="AE1263" s="141"/>
      <c r="AF1263" s="121" t="s">
        <v>292</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292</v>
      </c>
      <c r="V1264" s="133">
        <f t="shared" si="575"/>
        <v>0</v>
      </c>
      <c r="W1264" s="133">
        <f>VLOOKUP(U1264,Sheet1!$B$6:$C$45,2,FALSE)*V1264</f>
        <v>0</v>
      </c>
      <c r="X1264" s="141"/>
      <c r="Y1264" s="121" t="s">
        <v>292</v>
      </c>
      <c r="Z1264" s="146">
        <f>VLOOKUP(Takeoffs!Y1264,Sheet1!$B$6:$C$124,2,FALSE)</f>
        <v>0</v>
      </c>
      <c r="AA1264" s="146">
        <f t="shared" si="576"/>
        <v>0</v>
      </c>
      <c r="AB1264" s="143">
        <f t="shared" si="577"/>
        <v>0</v>
      </c>
      <c r="AC1264" s="133">
        <f t="shared" si="578"/>
        <v>0</v>
      </c>
      <c r="AD1264" s="142">
        <v>1</v>
      </c>
      <c r="AE1264" s="141"/>
      <c r="AF1264" s="121" t="s">
        <v>292</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292</v>
      </c>
      <c r="V1265" s="133">
        <f t="shared" si="575"/>
        <v>0</v>
      </c>
      <c r="W1265" s="133">
        <f>VLOOKUP(U1265,Sheet1!$B$6:$C$45,2,FALSE)*V1265</f>
        <v>0</v>
      </c>
      <c r="X1265" s="141"/>
      <c r="Y1265" s="121" t="s">
        <v>292</v>
      </c>
      <c r="Z1265" s="146">
        <f>VLOOKUP(Takeoffs!Y1265,Sheet1!$B$6:$C$124,2,FALSE)</f>
        <v>0</v>
      </c>
      <c r="AA1265" s="146">
        <f t="shared" si="576"/>
        <v>0</v>
      </c>
      <c r="AB1265" s="143">
        <f t="shared" si="577"/>
        <v>0</v>
      </c>
      <c r="AC1265" s="133">
        <f t="shared" si="578"/>
        <v>0</v>
      </c>
      <c r="AD1265" s="142">
        <v>1</v>
      </c>
      <c r="AE1265" s="141"/>
      <c r="AF1265" s="121" t="s">
        <v>292</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292</v>
      </c>
      <c r="V1266" s="133">
        <f t="shared" si="575"/>
        <v>0</v>
      </c>
      <c r="W1266" s="133">
        <f>VLOOKUP(U1266,Sheet1!$B$6:$C$45,2,FALSE)*V1266</f>
        <v>0</v>
      </c>
      <c r="X1266" s="141"/>
      <c r="Y1266" s="121" t="s">
        <v>292</v>
      </c>
      <c r="Z1266" s="146">
        <f>VLOOKUP(Takeoffs!Y1266,Sheet1!$B$6:$C$124,2,FALSE)</f>
        <v>0</v>
      </c>
      <c r="AA1266" s="146">
        <f t="shared" si="576"/>
        <v>0</v>
      </c>
      <c r="AB1266" s="143">
        <f t="shared" si="577"/>
        <v>0</v>
      </c>
      <c r="AC1266" s="133">
        <f t="shared" si="578"/>
        <v>0</v>
      </c>
      <c r="AD1266" s="142">
        <v>1</v>
      </c>
      <c r="AE1266" s="141"/>
      <c r="AF1266" s="121" t="s">
        <v>292</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377</v>
      </c>
      <c r="L1267" s="128" t="s">
        <v>378</v>
      </c>
      <c r="N1267" s="129"/>
      <c r="O1267" s="130" t="s">
        <v>357</v>
      </c>
      <c r="P1267" s="131">
        <f>V1267+AA1267+AH1267</f>
        <v>0</v>
      </c>
      <c r="Q1267" s="131"/>
      <c r="R1267" s="131"/>
      <c r="S1267" s="130"/>
      <c r="T1267" s="127"/>
      <c r="U1267" s="126" t="s">
        <v>351</v>
      </c>
      <c r="V1267" s="127">
        <f>W1267*80</f>
        <v>0</v>
      </c>
      <c r="W1267" s="147">
        <f>SUM(W1246:W1266)</f>
        <v>0</v>
      </c>
      <c r="X1267" s="148"/>
      <c r="Y1267" s="127" t="s">
        <v>352</v>
      </c>
      <c r="Z1267" s="116"/>
      <c r="AA1267" s="116">
        <f>SUM(AA1246:AA1266)</f>
        <v>0</v>
      </c>
      <c r="AB1267" s="149"/>
      <c r="AC1267" s="149"/>
      <c r="AD1267" s="149"/>
      <c r="AE1267" s="149"/>
      <c r="AF1267" s="127" t="s">
        <v>356</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hidden="1" x14ac:dyDescent="0.8">
      <c r="A1268" s="262">
        <f>ROW()</f>
        <v>1268</v>
      </c>
      <c r="B1268" s="234" t="s">
        <v>491</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367</v>
      </c>
      <c r="N1268" s="160" t="str">
        <f>N1246</f>
        <v>split AC systems - MSSB powered with run and fault lights ( Excluding field wiring option)</v>
      </c>
      <c r="O1268" s="160" t="s">
        <v>365</v>
      </c>
      <c r="P1268" s="64" t="e">
        <f>P1267/M1246</f>
        <v>#DIV/0!</v>
      </c>
      <c r="Q1268" s="161"/>
      <c r="R1268" s="161"/>
      <c r="S1268" s="160"/>
      <c r="T1268" s="161"/>
      <c r="U1268" s="571" t="s">
        <v>366</v>
      </c>
      <c r="V1268" s="571"/>
      <c r="W1268" s="162" t="e">
        <f>W1267/M1246</f>
        <v>#DIV/0!</v>
      </c>
      <c r="X1268" s="163"/>
      <c r="Y1268" s="570" t="s">
        <v>365</v>
      </c>
      <c r="Z1268" s="570"/>
      <c r="AA1268" s="164" t="e">
        <f>AA1267/M1246</f>
        <v>#DIV/0!</v>
      </c>
      <c r="AB1268" s="161"/>
      <c r="AC1268" s="161"/>
      <c r="AD1268" s="161"/>
      <c r="AE1268" s="161"/>
      <c r="AF1268" s="570" t="s">
        <v>365</v>
      </c>
      <c r="AG1268" s="570"/>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452</v>
      </c>
      <c r="M1269" s="116" t="s">
        <v>298</v>
      </c>
      <c r="N1269" s="116" t="s">
        <v>108</v>
      </c>
      <c r="O1269" s="170" t="s">
        <v>386</v>
      </c>
      <c r="P1269" s="572" t="s">
        <v>375</v>
      </c>
      <c r="Q1269" s="572"/>
      <c r="R1269" s="101" t="s">
        <v>452</v>
      </c>
      <c r="S1269" s="116" t="s">
        <v>0</v>
      </c>
      <c r="T1269" s="118"/>
      <c r="U1269" s="116" t="s">
        <v>287</v>
      </c>
      <c r="V1269" s="116" t="s">
        <v>288</v>
      </c>
      <c r="W1269" s="116" t="s">
        <v>291</v>
      </c>
      <c r="X1269" s="140"/>
      <c r="Y1269" s="116" t="s">
        <v>289</v>
      </c>
      <c r="Z1269" s="116" t="s">
        <v>354</v>
      </c>
      <c r="AA1269" s="116" t="s">
        <v>355</v>
      </c>
      <c r="AB1269" s="116" t="s">
        <v>317</v>
      </c>
      <c r="AC1269" s="116" t="s">
        <v>318</v>
      </c>
      <c r="AD1269" s="116" t="s">
        <v>316</v>
      </c>
      <c r="AE1269" s="140"/>
      <c r="AF1269" s="116" t="s">
        <v>293</v>
      </c>
      <c r="AG1269" s="116" t="s">
        <v>354</v>
      </c>
      <c r="AH1269" s="116" t="s">
        <v>355</v>
      </c>
      <c r="AI1269" s="116" t="s">
        <v>296</v>
      </c>
      <c r="AJ1269" s="116" t="s">
        <v>294</v>
      </c>
      <c r="AK1269" s="116" t="s">
        <v>295</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618</v>
      </c>
      <c r="O1270" s="121" t="s">
        <v>138</v>
      </c>
      <c r="P1270" s="169" t="s">
        <v>379</v>
      </c>
      <c r="Q1270" s="169" t="s">
        <v>375</v>
      </c>
      <c r="R1270" s="169"/>
      <c r="S1270" s="133">
        <f>M1270</f>
        <v>0</v>
      </c>
      <c r="T1270" s="119"/>
      <c r="U1270" s="121" t="s">
        <v>292</v>
      </c>
      <c r="V1270" s="133">
        <f>S1270</f>
        <v>0</v>
      </c>
      <c r="W1270" s="133">
        <f>VLOOKUP(U1270,Sheet1!$B$6:$C$45,2,FALSE)*V1270</f>
        <v>0</v>
      </c>
      <c r="X1270" s="141"/>
      <c r="Y1270" s="121" t="s">
        <v>292</v>
      </c>
      <c r="Z1270" s="146">
        <f>VLOOKUP(Takeoffs!Y1270,Sheet1!$B$6:$C$124,2,FALSE)</f>
        <v>0</v>
      </c>
      <c r="AA1270" s="146">
        <f>Z1270*AB1270</f>
        <v>0</v>
      </c>
      <c r="AB1270" s="143">
        <f>AD1270*AC1270</f>
        <v>0</v>
      </c>
      <c r="AC1270" s="133">
        <f>S1270</f>
        <v>0</v>
      </c>
      <c r="AD1270" s="142">
        <v>1</v>
      </c>
      <c r="AE1270" s="141"/>
      <c r="AF1270" s="121" t="s">
        <v>292</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593</v>
      </c>
      <c r="Q1271" s="66" t="s">
        <v>426</v>
      </c>
      <c r="R1271" s="121"/>
      <c r="S1271" s="133">
        <f>M1270</f>
        <v>0</v>
      </c>
      <c r="T1271" s="120"/>
      <c r="U1271" s="121" t="s">
        <v>292</v>
      </c>
      <c r="V1271" s="133">
        <f t="shared" ref="V1271:V1290" si="584">S1271</f>
        <v>0</v>
      </c>
      <c r="W1271" s="133">
        <f>VLOOKUP(U1271,Sheet1!$B$6:$C$45,2,FALSE)*V1271</f>
        <v>0</v>
      </c>
      <c r="X1271" s="141"/>
      <c r="Y1271" s="121" t="s">
        <v>292</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292</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292</v>
      </c>
      <c r="V1272" s="133">
        <f t="shared" si="584"/>
        <v>0</v>
      </c>
      <c r="W1272" s="133">
        <f>VLOOKUP(U1272,Sheet1!$B$6:$C$45,2,FALSE)*V1272</f>
        <v>0</v>
      </c>
      <c r="X1272" s="141"/>
      <c r="Y1272" s="121" t="s">
        <v>292</v>
      </c>
      <c r="Z1272" s="146">
        <f>VLOOKUP(Takeoffs!Y1272,Sheet1!$B$6:$C$124,2,FALSE)</f>
        <v>0</v>
      </c>
      <c r="AA1272" s="146">
        <f t="shared" si="585"/>
        <v>0</v>
      </c>
      <c r="AB1272" s="143">
        <f t="shared" si="586"/>
        <v>0</v>
      </c>
      <c r="AC1272" s="133">
        <f t="shared" si="587"/>
        <v>0</v>
      </c>
      <c r="AD1272" s="142">
        <v>1</v>
      </c>
      <c r="AE1272" s="141"/>
      <c r="AF1272" s="121" t="s">
        <v>292</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593</v>
      </c>
      <c r="Q1273" s="66" t="s">
        <v>413</v>
      </c>
      <c r="R1273" s="121"/>
      <c r="S1273" s="133">
        <f>M1270</f>
        <v>0</v>
      </c>
      <c r="T1273" s="120"/>
      <c r="U1273" s="121" t="s">
        <v>292</v>
      </c>
      <c r="V1273" s="133">
        <f t="shared" si="584"/>
        <v>0</v>
      </c>
      <c r="W1273" s="133">
        <f>VLOOKUP(U1273,Sheet1!$B$6:$C$45,2,FALSE)*V1273</f>
        <v>0</v>
      </c>
      <c r="X1273" s="141"/>
      <c r="Y1273" s="121" t="s">
        <v>292</v>
      </c>
      <c r="Z1273" s="146">
        <f>VLOOKUP(Takeoffs!Y1273,Sheet1!$B$6:$C$124,2,FALSE)</f>
        <v>0</v>
      </c>
      <c r="AA1273" s="146">
        <f t="shared" si="585"/>
        <v>0</v>
      </c>
      <c r="AB1273" s="143">
        <f t="shared" si="586"/>
        <v>0</v>
      </c>
      <c r="AC1273" s="133">
        <f t="shared" si="587"/>
        <v>0</v>
      </c>
      <c r="AD1273" s="142">
        <v>1</v>
      </c>
      <c r="AE1273" s="141"/>
      <c r="AF1273" s="121" t="s">
        <v>292</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593</v>
      </c>
      <c r="Q1274" s="121" t="s">
        <v>594</v>
      </c>
      <c r="R1274" s="121"/>
      <c r="S1274" s="133">
        <f>M1270</f>
        <v>0</v>
      </c>
      <c r="T1274" s="120"/>
      <c r="U1274" s="121" t="s">
        <v>292</v>
      </c>
      <c r="V1274" s="133">
        <f t="shared" si="584"/>
        <v>0</v>
      </c>
      <c r="W1274" s="133">
        <f>VLOOKUP(U1274,Sheet1!$B$6:$C$45,2,FALSE)*V1274</f>
        <v>0</v>
      </c>
      <c r="X1274" s="141"/>
      <c r="Y1274" s="121" t="s">
        <v>292</v>
      </c>
      <c r="Z1274" s="146">
        <f>VLOOKUP(Takeoffs!Y1274,Sheet1!$B$6:$C$124,2,FALSE)</f>
        <v>0</v>
      </c>
      <c r="AA1274" s="146">
        <f t="shared" si="585"/>
        <v>0</v>
      </c>
      <c r="AB1274" s="143">
        <f t="shared" si="586"/>
        <v>0</v>
      </c>
      <c r="AC1274" s="133">
        <f t="shared" si="587"/>
        <v>0</v>
      </c>
      <c r="AD1274" s="142">
        <v>1</v>
      </c>
      <c r="AE1274" s="141"/>
      <c r="AF1274" s="121" t="s">
        <v>292</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292</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292</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617</v>
      </c>
      <c r="P1276" s="121"/>
      <c r="Q1276" s="121"/>
      <c r="R1276" s="121"/>
      <c r="S1276" s="133">
        <f>M1270</f>
        <v>0</v>
      </c>
      <c r="T1276" s="120"/>
      <c r="U1276" s="121" t="s">
        <v>292</v>
      </c>
      <c r="V1276" s="133">
        <f t="shared" si="584"/>
        <v>0</v>
      </c>
      <c r="W1276" s="133">
        <f>VLOOKUP(U1276,Sheet1!$B$6:$C$45,2,FALSE)*V1276</f>
        <v>0</v>
      </c>
      <c r="X1276" s="141"/>
      <c r="Y1276" s="121" t="s">
        <v>422</v>
      </c>
      <c r="Z1276" s="146">
        <f>VLOOKUP(Takeoffs!Y1276,Sheet1!$B$6:$C$124,2,FALSE)</f>
        <v>23.4</v>
      </c>
      <c r="AA1276" s="146">
        <f t="shared" si="585"/>
        <v>0</v>
      </c>
      <c r="AB1276" s="143">
        <f t="shared" si="586"/>
        <v>0</v>
      </c>
      <c r="AC1276" s="133">
        <f t="shared" si="587"/>
        <v>0</v>
      </c>
      <c r="AD1276" s="142">
        <v>1</v>
      </c>
      <c r="AE1276" s="141"/>
      <c r="AF1276" s="121" t="s">
        <v>292</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292</v>
      </c>
      <c r="V1277" s="133">
        <f t="shared" si="584"/>
        <v>0</v>
      </c>
      <c r="W1277" s="133">
        <f>VLOOKUP(U1277,Sheet1!$B$6:$C$45,2,FALSE)*V1277</f>
        <v>0</v>
      </c>
      <c r="X1277" s="141"/>
      <c r="Y1277" s="121" t="s">
        <v>292</v>
      </c>
      <c r="Z1277" s="146">
        <f>VLOOKUP(Takeoffs!Y1277,Sheet1!$B$6:$C$124,2,FALSE)</f>
        <v>0</v>
      </c>
      <c r="AA1277" s="146">
        <f t="shared" si="585"/>
        <v>0</v>
      </c>
      <c r="AB1277" s="143">
        <f t="shared" si="586"/>
        <v>0</v>
      </c>
      <c r="AC1277" s="133">
        <f t="shared" si="587"/>
        <v>0</v>
      </c>
      <c r="AD1277" s="142">
        <v>1</v>
      </c>
      <c r="AE1277" s="141"/>
      <c r="AF1277" s="121" t="s">
        <v>292</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611</v>
      </c>
      <c r="P1278" s="121"/>
      <c r="Q1278" s="121"/>
      <c r="R1278" s="121"/>
      <c r="S1278" s="133">
        <f>M1270</f>
        <v>0</v>
      </c>
      <c r="T1278" s="120"/>
      <c r="U1278" s="117" t="s">
        <v>363</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292</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596</v>
      </c>
      <c r="P1279" s="121"/>
      <c r="Q1279" s="121"/>
      <c r="R1279" s="121"/>
      <c r="S1279" s="133">
        <f>M1270</f>
        <v>0</v>
      </c>
      <c r="T1279" s="120"/>
      <c r="U1279" s="121" t="s">
        <v>292</v>
      </c>
      <c r="V1279" s="133">
        <f t="shared" si="584"/>
        <v>0</v>
      </c>
      <c r="W1279" s="133">
        <f>VLOOKUP(U1279,Sheet1!$B$6:$C$45,2,FALSE)*V1279</f>
        <v>0</v>
      </c>
      <c r="X1279" s="141"/>
      <c r="Y1279" s="121" t="s">
        <v>292</v>
      </c>
      <c r="Z1279" s="146">
        <f>VLOOKUP(Takeoffs!Y1279,Sheet1!$B$6:$C$124,2,FALSE)</f>
        <v>0</v>
      </c>
      <c r="AA1279" s="146">
        <f t="shared" si="585"/>
        <v>0</v>
      </c>
      <c r="AB1279" s="143">
        <f t="shared" si="586"/>
        <v>0</v>
      </c>
      <c r="AC1279" s="133">
        <f t="shared" si="587"/>
        <v>0</v>
      </c>
      <c r="AD1279" s="142">
        <v>1</v>
      </c>
      <c r="AE1279" s="141"/>
      <c r="AF1279" s="121" t="s">
        <v>292</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597</v>
      </c>
      <c r="P1280" s="121"/>
      <c r="Q1280" s="121"/>
      <c r="R1280" s="121"/>
      <c r="S1280" s="133">
        <f>M1270</f>
        <v>0</v>
      </c>
      <c r="T1280" s="120"/>
      <c r="U1280" s="121" t="s">
        <v>292</v>
      </c>
      <c r="V1280" s="133">
        <f t="shared" si="584"/>
        <v>0</v>
      </c>
      <c r="W1280" s="133">
        <f>VLOOKUP(U1280,Sheet1!$B$6:$C$45,2,FALSE)*V1280</f>
        <v>0</v>
      </c>
      <c r="X1280" s="141"/>
      <c r="Y1280" s="121" t="s">
        <v>292</v>
      </c>
      <c r="Z1280" s="146">
        <f>VLOOKUP(Takeoffs!Y1280,Sheet1!$B$6:$C$124,2,FALSE)</f>
        <v>0</v>
      </c>
      <c r="AA1280" s="146">
        <f t="shared" si="585"/>
        <v>0</v>
      </c>
      <c r="AB1280" s="143">
        <f t="shared" si="586"/>
        <v>0</v>
      </c>
      <c r="AC1280" s="133">
        <f t="shared" si="587"/>
        <v>0</v>
      </c>
      <c r="AD1280" s="142">
        <v>1</v>
      </c>
      <c r="AE1280" s="141"/>
      <c r="AF1280" s="121" t="s">
        <v>292</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292</v>
      </c>
      <c r="V1281" s="133">
        <f t="shared" si="584"/>
        <v>0</v>
      </c>
      <c r="W1281" s="133">
        <f>VLOOKUP(U1281,Sheet1!$B$6:$C$45,2,FALSE)*V1281</f>
        <v>0</v>
      </c>
      <c r="X1281" s="141"/>
      <c r="Y1281" s="121" t="s">
        <v>292</v>
      </c>
      <c r="Z1281" s="146">
        <f>VLOOKUP(Takeoffs!Y1281,Sheet1!$B$6:$C$124,2,FALSE)</f>
        <v>0</v>
      </c>
      <c r="AA1281" s="146">
        <f t="shared" si="585"/>
        <v>0</v>
      </c>
      <c r="AB1281" s="143">
        <f t="shared" si="586"/>
        <v>0</v>
      </c>
      <c r="AC1281" s="133">
        <f t="shared" si="587"/>
        <v>0</v>
      </c>
      <c r="AD1281" s="142">
        <v>1</v>
      </c>
      <c r="AE1281" s="141"/>
      <c r="AF1281" s="121" t="s">
        <v>292</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593</v>
      </c>
      <c r="Q1282" s="121" t="s">
        <v>599</v>
      </c>
      <c r="R1282" s="121"/>
      <c r="S1282" s="133">
        <f>M1270</f>
        <v>0</v>
      </c>
      <c r="T1282" s="120"/>
      <c r="U1282" s="121" t="s">
        <v>292</v>
      </c>
      <c r="V1282" s="133">
        <f t="shared" si="584"/>
        <v>0</v>
      </c>
      <c r="W1282" s="133">
        <f>VLOOKUP(U1282,Sheet1!$B$6:$C$45,2,FALSE)*V1282</f>
        <v>0</v>
      </c>
      <c r="X1282" s="141"/>
      <c r="Y1282" s="121" t="s">
        <v>292</v>
      </c>
      <c r="Z1282" s="146">
        <f>VLOOKUP(Takeoffs!Y1282,Sheet1!$B$6:$C$124,2,FALSE)</f>
        <v>0</v>
      </c>
      <c r="AA1282" s="146">
        <f t="shared" si="585"/>
        <v>0</v>
      </c>
      <c r="AB1282" s="143">
        <f t="shared" si="586"/>
        <v>0</v>
      </c>
      <c r="AC1282" s="133">
        <f t="shared" si="587"/>
        <v>0</v>
      </c>
      <c r="AD1282" s="142">
        <v>1</v>
      </c>
      <c r="AE1282" s="141"/>
      <c r="AF1282" s="121" t="s">
        <v>292</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292</v>
      </c>
      <c r="V1283" s="133">
        <f t="shared" si="584"/>
        <v>0</v>
      </c>
      <c r="W1283" s="133">
        <f>VLOOKUP(U1283,Sheet1!$B$6:$C$45,2,FALSE)*V1283</f>
        <v>0</v>
      </c>
      <c r="X1283" s="141"/>
      <c r="Y1283" s="121" t="s">
        <v>292</v>
      </c>
      <c r="Z1283" s="146">
        <f>VLOOKUP(Takeoffs!Y1283,Sheet1!$B$6:$C$124,2,FALSE)</f>
        <v>0</v>
      </c>
      <c r="AA1283" s="146">
        <f t="shared" si="585"/>
        <v>0</v>
      </c>
      <c r="AB1283" s="143">
        <f t="shared" si="586"/>
        <v>0</v>
      </c>
      <c r="AC1283" s="133">
        <f t="shared" si="587"/>
        <v>0</v>
      </c>
      <c r="AD1283" s="142">
        <v>1</v>
      </c>
      <c r="AE1283" s="141"/>
      <c r="AF1283" s="121" t="s">
        <v>292</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292</v>
      </c>
      <c r="V1284" s="133">
        <f t="shared" si="584"/>
        <v>0</v>
      </c>
      <c r="W1284" s="133">
        <f>VLOOKUP(U1284,Sheet1!$B$6:$C$45,2,FALSE)*V1284</f>
        <v>0</v>
      </c>
      <c r="X1284" s="141"/>
      <c r="Y1284" s="121" t="s">
        <v>292</v>
      </c>
      <c r="Z1284" s="146">
        <f>VLOOKUP(Takeoffs!Y1284,Sheet1!$B$6:$C$124,2,FALSE)</f>
        <v>0</v>
      </c>
      <c r="AA1284" s="146">
        <f t="shared" si="585"/>
        <v>0</v>
      </c>
      <c r="AB1284" s="143">
        <f t="shared" si="586"/>
        <v>0</v>
      </c>
      <c r="AC1284" s="133">
        <f t="shared" si="587"/>
        <v>0</v>
      </c>
      <c r="AD1284" s="142">
        <v>1</v>
      </c>
      <c r="AE1284" s="141"/>
      <c r="AF1284" s="121" t="s">
        <v>292</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292</v>
      </c>
      <c r="V1285" s="133">
        <f t="shared" si="584"/>
        <v>0</v>
      </c>
      <c r="W1285" s="133">
        <f>VLOOKUP(U1285,Sheet1!$B$6:$C$45,2,FALSE)*V1285</f>
        <v>0</v>
      </c>
      <c r="X1285" s="141"/>
      <c r="Y1285" s="121" t="s">
        <v>292</v>
      </c>
      <c r="Z1285" s="146">
        <f>VLOOKUP(Takeoffs!Y1285,Sheet1!$B$6:$C$124,2,FALSE)</f>
        <v>0</v>
      </c>
      <c r="AA1285" s="146">
        <f t="shared" si="585"/>
        <v>0</v>
      </c>
      <c r="AB1285" s="143">
        <f t="shared" si="586"/>
        <v>0</v>
      </c>
      <c r="AC1285" s="133">
        <f t="shared" si="587"/>
        <v>0</v>
      </c>
      <c r="AD1285" s="142">
        <v>1</v>
      </c>
      <c r="AE1285" s="141"/>
      <c r="AF1285" s="121" t="s">
        <v>292</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292</v>
      </c>
      <c r="V1286" s="133">
        <f t="shared" si="584"/>
        <v>0</v>
      </c>
      <c r="W1286" s="133">
        <f>VLOOKUP(U1286,Sheet1!$B$6:$C$45,2,FALSE)*V1286</f>
        <v>0</v>
      </c>
      <c r="X1286" s="141"/>
      <c r="Y1286" s="121" t="s">
        <v>292</v>
      </c>
      <c r="Z1286" s="146">
        <f>VLOOKUP(Takeoffs!Y1286,Sheet1!$B$6:$C$124,2,FALSE)</f>
        <v>0</v>
      </c>
      <c r="AA1286" s="146">
        <f t="shared" si="585"/>
        <v>0</v>
      </c>
      <c r="AB1286" s="143">
        <f t="shared" si="586"/>
        <v>0</v>
      </c>
      <c r="AC1286" s="133">
        <f t="shared" si="587"/>
        <v>0</v>
      </c>
      <c r="AD1286" s="142">
        <v>1</v>
      </c>
      <c r="AE1286" s="141"/>
      <c r="AF1286" s="121" t="s">
        <v>292</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292</v>
      </c>
      <c r="V1287" s="133">
        <f t="shared" si="584"/>
        <v>0</v>
      </c>
      <c r="W1287" s="133">
        <f>VLOOKUP(U1287,Sheet1!$B$6:$C$45,2,FALSE)*V1287</f>
        <v>0</v>
      </c>
      <c r="X1287" s="141"/>
      <c r="Y1287" s="121" t="s">
        <v>292</v>
      </c>
      <c r="Z1287" s="146">
        <f>VLOOKUP(Takeoffs!Y1287,Sheet1!$B$6:$C$124,2,FALSE)</f>
        <v>0</v>
      </c>
      <c r="AA1287" s="146">
        <f t="shared" si="585"/>
        <v>0</v>
      </c>
      <c r="AB1287" s="143">
        <f t="shared" si="586"/>
        <v>0</v>
      </c>
      <c r="AC1287" s="133">
        <f t="shared" si="587"/>
        <v>0</v>
      </c>
      <c r="AD1287" s="142">
        <v>1</v>
      </c>
      <c r="AE1287" s="141"/>
      <c r="AF1287" s="121" t="s">
        <v>292</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292</v>
      </c>
      <c r="V1288" s="133">
        <f t="shared" si="584"/>
        <v>0</v>
      </c>
      <c r="W1288" s="133">
        <f>VLOOKUP(U1288,Sheet1!$B$6:$C$45,2,FALSE)*V1288</f>
        <v>0</v>
      </c>
      <c r="X1288" s="141"/>
      <c r="Y1288" s="121" t="s">
        <v>292</v>
      </c>
      <c r="Z1288" s="146">
        <f>VLOOKUP(Takeoffs!Y1288,Sheet1!$B$6:$C$124,2,FALSE)</f>
        <v>0</v>
      </c>
      <c r="AA1288" s="146">
        <f t="shared" si="585"/>
        <v>0</v>
      </c>
      <c r="AB1288" s="143">
        <f t="shared" si="586"/>
        <v>0</v>
      </c>
      <c r="AC1288" s="133">
        <f t="shared" si="587"/>
        <v>0</v>
      </c>
      <c r="AD1288" s="142">
        <v>1</v>
      </c>
      <c r="AE1288" s="141"/>
      <c r="AF1288" s="121" t="s">
        <v>292</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292</v>
      </c>
      <c r="V1289" s="133">
        <f t="shared" si="584"/>
        <v>0</v>
      </c>
      <c r="W1289" s="133">
        <f>VLOOKUP(U1289,Sheet1!$B$6:$C$45,2,FALSE)*V1289</f>
        <v>0</v>
      </c>
      <c r="X1289" s="141"/>
      <c r="Y1289" s="121" t="s">
        <v>292</v>
      </c>
      <c r="Z1289" s="146">
        <f>VLOOKUP(Takeoffs!Y1289,Sheet1!$B$6:$C$124,2,FALSE)</f>
        <v>0</v>
      </c>
      <c r="AA1289" s="146">
        <f t="shared" si="585"/>
        <v>0</v>
      </c>
      <c r="AB1289" s="143">
        <f t="shared" si="586"/>
        <v>0</v>
      </c>
      <c r="AC1289" s="133">
        <f t="shared" si="587"/>
        <v>0</v>
      </c>
      <c r="AD1289" s="142">
        <v>1</v>
      </c>
      <c r="AE1289" s="141"/>
      <c r="AF1289" s="121" t="s">
        <v>292</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292</v>
      </c>
      <c r="V1290" s="133">
        <f t="shared" si="584"/>
        <v>0</v>
      </c>
      <c r="W1290" s="133">
        <f>VLOOKUP(U1290,Sheet1!$B$6:$C$45,2,FALSE)*V1290</f>
        <v>0</v>
      </c>
      <c r="X1290" s="141"/>
      <c r="Y1290" s="121" t="s">
        <v>292</v>
      </c>
      <c r="Z1290" s="146">
        <f>VLOOKUP(Takeoffs!Y1290,Sheet1!$B$6:$C$124,2,FALSE)</f>
        <v>0</v>
      </c>
      <c r="AA1290" s="146">
        <f t="shared" si="585"/>
        <v>0</v>
      </c>
      <c r="AB1290" s="143">
        <f t="shared" si="586"/>
        <v>0</v>
      </c>
      <c r="AC1290" s="133">
        <f t="shared" si="587"/>
        <v>0</v>
      </c>
      <c r="AD1290" s="142">
        <v>1</v>
      </c>
      <c r="AE1290" s="141"/>
      <c r="AF1290" s="121" t="s">
        <v>292</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377</v>
      </c>
      <c r="L1291" s="128" t="s">
        <v>378</v>
      </c>
      <c r="N1291" s="129"/>
      <c r="O1291" s="130" t="s">
        <v>357</v>
      </c>
      <c r="P1291" s="131">
        <f>V1291+AA1291+AH1291</f>
        <v>0</v>
      </c>
      <c r="Q1291" s="131"/>
      <c r="R1291" s="131"/>
      <c r="S1291" s="130"/>
      <c r="T1291" s="127"/>
      <c r="U1291" s="126" t="s">
        <v>351</v>
      </c>
      <c r="V1291" s="127">
        <f>W1291*80</f>
        <v>0</v>
      </c>
      <c r="W1291" s="147">
        <f>SUM(W1270:W1290)</f>
        <v>0</v>
      </c>
      <c r="X1291" s="148"/>
      <c r="Y1291" s="127" t="s">
        <v>352</v>
      </c>
      <c r="Z1291" s="116"/>
      <c r="AA1291" s="116">
        <f>SUM(AA1270:AA1290)</f>
        <v>0</v>
      </c>
      <c r="AB1291" s="149"/>
      <c r="AC1291" s="149"/>
      <c r="AD1291" s="149"/>
      <c r="AE1291" s="149"/>
      <c r="AF1291" s="127" t="s">
        <v>356</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hidden="1" x14ac:dyDescent="0.8">
      <c r="A1292" s="262">
        <f>ROW()</f>
        <v>1292</v>
      </c>
      <c r="B1292" s="234" t="s">
        <v>491</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367</v>
      </c>
      <c r="N1292" s="160" t="str">
        <f>N1270</f>
        <v>split AC systems - MSSB powered with run lights ( Excluding field wiring option)</v>
      </c>
      <c r="O1292" s="160" t="s">
        <v>365</v>
      </c>
      <c r="P1292" s="64" t="e">
        <f>P1291/M1270</f>
        <v>#DIV/0!</v>
      </c>
      <c r="Q1292" s="161"/>
      <c r="R1292" s="161"/>
      <c r="S1292" s="160"/>
      <c r="T1292" s="161"/>
      <c r="U1292" s="571" t="s">
        <v>366</v>
      </c>
      <c r="V1292" s="571"/>
      <c r="W1292" s="162" t="e">
        <f>W1291/M1270</f>
        <v>#DIV/0!</v>
      </c>
      <c r="X1292" s="163"/>
      <c r="Y1292" s="570" t="s">
        <v>365</v>
      </c>
      <c r="Z1292" s="570"/>
      <c r="AA1292" s="164" t="e">
        <f>AA1291/M1270</f>
        <v>#DIV/0!</v>
      </c>
      <c r="AB1292" s="161"/>
      <c r="AC1292" s="161"/>
      <c r="AD1292" s="161"/>
      <c r="AE1292" s="161"/>
      <c r="AF1292" s="570" t="s">
        <v>365</v>
      </c>
      <c r="AG1292" s="570"/>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452</v>
      </c>
      <c r="M1293" s="116" t="s">
        <v>298</v>
      </c>
      <c r="N1293" s="116" t="s">
        <v>108</v>
      </c>
      <c r="O1293" s="170" t="s">
        <v>386</v>
      </c>
      <c r="P1293" s="572" t="s">
        <v>375</v>
      </c>
      <c r="Q1293" s="572"/>
      <c r="R1293" s="101" t="s">
        <v>452</v>
      </c>
      <c r="S1293" s="116" t="s">
        <v>0</v>
      </c>
      <c r="T1293" s="118"/>
      <c r="U1293" s="116" t="s">
        <v>287</v>
      </c>
      <c r="V1293" s="116" t="s">
        <v>288</v>
      </c>
      <c r="W1293" s="116" t="s">
        <v>291</v>
      </c>
      <c r="X1293" s="140"/>
      <c r="Y1293" s="116" t="s">
        <v>289</v>
      </c>
      <c r="Z1293" s="116" t="s">
        <v>354</v>
      </c>
      <c r="AA1293" s="116" t="s">
        <v>355</v>
      </c>
      <c r="AB1293" s="116" t="s">
        <v>317</v>
      </c>
      <c r="AC1293" s="116" t="s">
        <v>318</v>
      </c>
      <c r="AD1293" s="116" t="s">
        <v>316</v>
      </c>
      <c r="AE1293" s="140"/>
      <c r="AF1293" s="116" t="s">
        <v>293</v>
      </c>
      <c r="AG1293" s="116" t="s">
        <v>354</v>
      </c>
      <c r="AH1293" s="116" t="s">
        <v>355</v>
      </c>
      <c r="AI1293" s="116" t="s">
        <v>296</v>
      </c>
      <c r="AJ1293" s="116" t="s">
        <v>294</v>
      </c>
      <c r="AK1293" s="116" t="s">
        <v>295</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638</v>
      </c>
      <c r="O1294" s="121" t="s">
        <v>138</v>
      </c>
      <c r="P1294" s="169" t="s">
        <v>379</v>
      </c>
      <c r="Q1294" s="169" t="s">
        <v>375</v>
      </c>
      <c r="R1294" s="169"/>
      <c r="S1294" s="133">
        <f>M1294</f>
        <v>0</v>
      </c>
      <c r="T1294" s="119"/>
      <c r="U1294" s="121" t="s">
        <v>292</v>
      </c>
      <c r="V1294" s="133">
        <f>S1294</f>
        <v>0</v>
      </c>
      <c r="W1294" s="133">
        <f>VLOOKUP(U1294,Sheet1!$B$6:$C$45,2,FALSE)*V1294</f>
        <v>0</v>
      </c>
      <c r="X1294" s="141"/>
      <c r="Y1294" s="121" t="s">
        <v>292</v>
      </c>
      <c r="Z1294" s="146">
        <f>VLOOKUP(Takeoffs!Y1294,Sheet1!$B$6:$C$124,2,FALSE)</f>
        <v>0</v>
      </c>
      <c r="AA1294" s="146">
        <f>Z1294*AB1294</f>
        <v>0</v>
      </c>
      <c r="AB1294" s="143">
        <f>AD1294*AC1294</f>
        <v>0</v>
      </c>
      <c r="AC1294" s="133">
        <f>S1294</f>
        <v>0</v>
      </c>
      <c r="AD1294" s="142">
        <v>1</v>
      </c>
      <c r="AE1294" s="141"/>
      <c r="AF1294" s="121" t="s">
        <v>292</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426</v>
      </c>
      <c r="P1295" s="121"/>
      <c r="Q1295" s="121"/>
      <c r="R1295" s="121"/>
      <c r="S1295" s="133">
        <f>M1294</f>
        <v>0</v>
      </c>
      <c r="T1295" s="120"/>
      <c r="U1295" s="121" t="s">
        <v>292</v>
      </c>
      <c r="V1295" s="133">
        <f t="shared" ref="V1295:V1314" si="594">S1295</f>
        <v>0</v>
      </c>
      <c r="W1295" s="133">
        <f>VLOOKUP(U1295,Sheet1!$B$6:$C$45,2,FALSE)*V1295</f>
        <v>0</v>
      </c>
      <c r="X1295" s="141"/>
      <c r="Y1295" s="121" t="s">
        <v>292</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392</v>
      </c>
      <c r="P1296" s="121"/>
      <c r="Q1296" s="121"/>
      <c r="R1296" s="121"/>
      <c r="S1296" s="133">
        <f>M1294</f>
        <v>0</v>
      </c>
      <c r="T1296" s="120"/>
      <c r="U1296" s="121" t="s">
        <v>286</v>
      </c>
      <c r="V1296" s="133">
        <f t="shared" si="594"/>
        <v>0</v>
      </c>
      <c r="W1296" s="133">
        <f>VLOOKUP(U1296,Sheet1!$B$6:$C$45,2,FALSE)*V1296</f>
        <v>0</v>
      </c>
      <c r="X1296" s="141"/>
      <c r="Y1296" s="121" t="s">
        <v>292</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413</v>
      </c>
      <c r="P1297" s="121"/>
      <c r="Q1297" s="121"/>
      <c r="R1297" s="121"/>
      <c r="S1297" s="133">
        <f>M1294</f>
        <v>0</v>
      </c>
      <c r="T1297" s="120"/>
      <c r="U1297" s="121" t="s">
        <v>292</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292</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414</v>
      </c>
      <c r="P1298" s="121" t="s">
        <v>447</v>
      </c>
      <c r="Q1298" s="121" t="s">
        <v>449</v>
      </c>
      <c r="R1298" s="121"/>
      <c r="S1298" s="133">
        <f>M1294</f>
        <v>0</v>
      </c>
      <c r="T1298" s="120"/>
      <c r="U1298" s="121" t="s">
        <v>292</v>
      </c>
      <c r="V1298" s="133">
        <f t="shared" si="594"/>
        <v>0</v>
      </c>
      <c r="W1298" s="133">
        <f>VLOOKUP(U1298,Sheet1!$B$6:$C$45,2,FALSE)*V1298</f>
        <v>0</v>
      </c>
      <c r="X1298" s="141"/>
      <c r="Y1298" s="121" t="s">
        <v>292</v>
      </c>
      <c r="Z1298" s="146">
        <f>VLOOKUP(Takeoffs!Y1298,Sheet1!$B$6:$C$124,2,FALSE)</f>
        <v>0</v>
      </c>
      <c r="AA1298" s="146">
        <f t="shared" si="595"/>
        <v>0</v>
      </c>
      <c r="AB1298" s="143">
        <f t="shared" si="596"/>
        <v>0</v>
      </c>
      <c r="AC1298" s="133">
        <f t="shared" si="597"/>
        <v>0</v>
      </c>
      <c r="AD1298" s="142">
        <v>1</v>
      </c>
      <c r="AE1298" s="141"/>
      <c r="AF1298" s="121" t="s">
        <v>292</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584</v>
      </c>
      <c r="P1299" s="121"/>
      <c r="Q1299" s="121"/>
      <c r="R1299" s="121"/>
      <c r="S1299" s="133">
        <f>M1294</f>
        <v>0</v>
      </c>
      <c r="T1299" s="120"/>
      <c r="U1299" s="117" t="s">
        <v>478</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585</v>
      </c>
      <c r="P1300" s="121"/>
      <c r="Q1300" s="121"/>
      <c r="R1300" s="121"/>
      <c r="S1300" s="133">
        <f>M1294</f>
        <v>0</v>
      </c>
      <c r="T1300" s="120"/>
      <c r="U1300" s="121" t="s">
        <v>292</v>
      </c>
      <c r="V1300" s="133">
        <f t="shared" si="594"/>
        <v>0</v>
      </c>
      <c r="W1300" s="133">
        <f>VLOOKUP(U1300,Sheet1!$B$6:$C$45,2,FALSE)*V1300</f>
        <v>0</v>
      </c>
      <c r="X1300" s="141"/>
      <c r="Y1300" s="121" t="s">
        <v>292</v>
      </c>
      <c r="Z1300" s="146">
        <f>VLOOKUP(Takeoffs!Y1300,Sheet1!$B$6:$C$124,2,FALSE)</f>
        <v>0</v>
      </c>
      <c r="AA1300" s="146">
        <f t="shared" si="595"/>
        <v>0</v>
      </c>
      <c r="AB1300" s="143">
        <f t="shared" si="596"/>
        <v>0</v>
      </c>
      <c r="AC1300" s="133">
        <f t="shared" si="597"/>
        <v>0</v>
      </c>
      <c r="AD1300" s="142">
        <v>1</v>
      </c>
      <c r="AE1300" s="141"/>
      <c r="AF1300" s="121" t="s">
        <v>292</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315</v>
      </c>
      <c r="P1301" s="121"/>
      <c r="Q1301" s="121"/>
      <c r="R1301" s="121"/>
      <c r="S1301" s="133">
        <f>M1294</f>
        <v>0</v>
      </c>
      <c r="T1301" s="120"/>
      <c r="U1301" s="121" t="s">
        <v>292</v>
      </c>
      <c r="V1301" s="133">
        <f t="shared" si="594"/>
        <v>0</v>
      </c>
      <c r="W1301" s="133">
        <f>VLOOKUP(U1301,Sheet1!$B$6:$C$45,2,FALSE)*V1301</f>
        <v>0</v>
      </c>
      <c r="X1301" s="141"/>
      <c r="Y1301" s="121" t="s">
        <v>292</v>
      </c>
      <c r="Z1301" s="146">
        <f>VLOOKUP(Takeoffs!Y1301,Sheet1!$B$6:$C$124,2,FALSE)</f>
        <v>0</v>
      </c>
      <c r="AA1301" s="146">
        <f t="shared" si="595"/>
        <v>0</v>
      </c>
      <c r="AB1301" s="143">
        <f t="shared" si="596"/>
        <v>0</v>
      </c>
      <c r="AC1301" s="133">
        <f t="shared" si="597"/>
        <v>0</v>
      </c>
      <c r="AD1301" s="142">
        <v>1</v>
      </c>
      <c r="AE1301" s="141"/>
      <c r="AF1301" s="121" t="s">
        <v>292</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586</v>
      </c>
      <c r="P1302" s="121" t="s">
        <v>447</v>
      </c>
      <c r="Q1302" s="121" t="s">
        <v>587</v>
      </c>
      <c r="R1302" s="121"/>
      <c r="S1302" s="133">
        <f>M1294</f>
        <v>0</v>
      </c>
      <c r="T1302" s="120"/>
      <c r="U1302" s="117" t="s">
        <v>363</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292</v>
      </c>
      <c r="V1303" s="133">
        <f t="shared" si="594"/>
        <v>0</v>
      </c>
      <c r="W1303" s="133">
        <f>VLOOKUP(U1303,Sheet1!$B$6:$C$45,2,FALSE)*V1303</f>
        <v>0</v>
      </c>
      <c r="X1303" s="141"/>
      <c r="Y1303" s="121" t="s">
        <v>292</v>
      </c>
      <c r="Z1303" s="146">
        <f>VLOOKUP(Takeoffs!Y1303,Sheet1!$B$6:$C$124,2,FALSE)</f>
        <v>0</v>
      </c>
      <c r="AA1303" s="146">
        <f t="shared" si="595"/>
        <v>0</v>
      </c>
      <c r="AB1303" s="143">
        <f t="shared" si="596"/>
        <v>0</v>
      </c>
      <c r="AC1303" s="133">
        <f t="shared" si="597"/>
        <v>0</v>
      </c>
      <c r="AD1303" s="142">
        <v>1</v>
      </c>
      <c r="AE1303" s="141"/>
      <c r="AF1303" s="121" t="s">
        <v>292</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363</v>
      </c>
      <c r="V1304" s="133">
        <f t="shared" si="594"/>
        <v>0</v>
      </c>
      <c r="W1304" s="133">
        <f>VLOOKUP(U1304,Sheet1!$B$6:$C$45,2,FALSE)*V1304</f>
        <v>0</v>
      </c>
      <c r="X1304" s="141"/>
      <c r="Y1304" s="121" t="s">
        <v>292</v>
      </c>
      <c r="Z1304" s="146">
        <f>VLOOKUP(Takeoffs!Y1304,Sheet1!$B$6:$C$124,2,FALSE)</f>
        <v>0</v>
      </c>
      <c r="AA1304" s="146">
        <f t="shared" si="595"/>
        <v>0</v>
      </c>
      <c r="AB1304" s="143">
        <f t="shared" si="596"/>
        <v>0</v>
      </c>
      <c r="AC1304" s="133">
        <f t="shared" si="597"/>
        <v>0</v>
      </c>
      <c r="AD1304" s="142">
        <v>1</v>
      </c>
      <c r="AE1304" s="141"/>
      <c r="AF1304" s="121" t="s">
        <v>292</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363</v>
      </c>
      <c r="V1305" s="133">
        <f t="shared" si="594"/>
        <v>0</v>
      </c>
      <c r="W1305" s="133">
        <f>VLOOKUP(U1305,Sheet1!$B$6:$C$45,2,FALSE)*V1305</f>
        <v>0</v>
      </c>
      <c r="X1305" s="141"/>
      <c r="Y1305" s="121" t="s">
        <v>292</v>
      </c>
      <c r="Z1305" s="146">
        <f>VLOOKUP(Takeoffs!Y1305,Sheet1!$B$6:$C$124,2,FALSE)</f>
        <v>0</v>
      </c>
      <c r="AA1305" s="146">
        <f t="shared" si="595"/>
        <v>0</v>
      </c>
      <c r="AB1305" s="143">
        <f t="shared" si="596"/>
        <v>0</v>
      </c>
      <c r="AC1305" s="133">
        <f t="shared" si="597"/>
        <v>0</v>
      </c>
      <c r="AD1305" s="142">
        <v>1</v>
      </c>
      <c r="AE1305" s="141"/>
      <c r="AF1305" s="121" t="s">
        <v>292</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292</v>
      </c>
      <c r="V1306" s="133">
        <f t="shared" si="594"/>
        <v>0</v>
      </c>
      <c r="W1306" s="133">
        <f>VLOOKUP(U1306,Sheet1!$B$6:$C$45,2,FALSE)*V1306</f>
        <v>0</v>
      </c>
      <c r="X1306" s="141"/>
      <c r="Y1306" s="121" t="s">
        <v>292</v>
      </c>
      <c r="Z1306" s="146">
        <f>VLOOKUP(Takeoffs!Y1306,Sheet1!$B$6:$C$124,2,FALSE)</f>
        <v>0</v>
      </c>
      <c r="AA1306" s="146">
        <f t="shared" si="595"/>
        <v>0</v>
      </c>
      <c r="AB1306" s="143">
        <f t="shared" si="596"/>
        <v>0</v>
      </c>
      <c r="AC1306" s="133">
        <f t="shared" si="597"/>
        <v>0</v>
      </c>
      <c r="AD1306" s="142">
        <v>1</v>
      </c>
      <c r="AE1306" s="141"/>
      <c r="AF1306" s="121" t="s">
        <v>292</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292</v>
      </c>
      <c r="V1307" s="133">
        <f t="shared" si="594"/>
        <v>0</v>
      </c>
      <c r="W1307" s="133">
        <f>VLOOKUP(U1307,Sheet1!$B$6:$C$45,2,FALSE)*V1307</f>
        <v>0</v>
      </c>
      <c r="X1307" s="141"/>
      <c r="Y1307" s="121" t="s">
        <v>292</v>
      </c>
      <c r="Z1307" s="146">
        <f>VLOOKUP(Takeoffs!Y1307,Sheet1!$B$6:$C$124,2,FALSE)</f>
        <v>0</v>
      </c>
      <c r="AA1307" s="146">
        <f t="shared" si="595"/>
        <v>0</v>
      </c>
      <c r="AB1307" s="143">
        <f t="shared" si="596"/>
        <v>0</v>
      </c>
      <c r="AC1307" s="133">
        <f t="shared" si="597"/>
        <v>0</v>
      </c>
      <c r="AD1307" s="142">
        <v>1</v>
      </c>
      <c r="AE1307" s="141"/>
      <c r="AF1307" s="121" t="s">
        <v>292</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292</v>
      </c>
      <c r="V1308" s="133">
        <f t="shared" si="594"/>
        <v>0</v>
      </c>
      <c r="W1308" s="133">
        <f>VLOOKUP(U1308,Sheet1!$B$6:$C$45,2,FALSE)*V1308</f>
        <v>0</v>
      </c>
      <c r="X1308" s="141"/>
      <c r="Y1308" s="121" t="s">
        <v>292</v>
      </c>
      <c r="Z1308" s="146">
        <f>VLOOKUP(Takeoffs!Y1308,Sheet1!$B$6:$C$124,2,FALSE)</f>
        <v>0</v>
      </c>
      <c r="AA1308" s="146">
        <f t="shared" si="595"/>
        <v>0</v>
      </c>
      <c r="AB1308" s="143">
        <f t="shared" si="596"/>
        <v>0</v>
      </c>
      <c r="AC1308" s="133">
        <f t="shared" si="597"/>
        <v>0</v>
      </c>
      <c r="AD1308" s="142">
        <v>1</v>
      </c>
      <c r="AE1308" s="141"/>
      <c r="AF1308" s="121" t="s">
        <v>292</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292</v>
      </c>
      <c r="V1309" s="133">
        <f t="shared" si="594"/>
        <v>0</v>
      </c>
      <c r="W1309" s="133">
        <f>VLOOKUP(U1309,Sheet1!$B$6:$C$45,2,FALSE)*V1309</f>
        <v>0</v>
      </c>
      <c r="X1309" s="141"/>
      <c r="Y1309" s="121" t="s">
        <v>292</v>
      </c>
      <c r="Z1309" s="146">
        <f>VLOOKUP(Takeoffs!Y1309,Sheet1!$B$6:$C$124,2,FALSE)</f>
        <v>0</v>
      </c>
      <c r="AA1309" s="146">
        <f t="shared" si="595"/>
        <v>0</v>
      </c>
      <c r="AB1309" s="143">
        <f t="shared" si="596"/>
        <v>0</v>
      </c>
      <c r="AC1309" s="133">
        <f t="shared" si="597"/>
        <v>0</v>
      </c>
      <c r="AD1309" s="142">
        <v>1</v>
      </c>
      <c r="AE1309" s="141"/>
      <c r="AF1309" s="121" t="s">
        <v>292</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292</v>
      </c>
      <c r="V1310" s="133">
        <f t="shared" si="594"/>
        <v>0</v>
      </c>
      <c r="W1310" s="133">
        <f>VLOOKUP(U1310,Sheet1!$B$6:$C$45,2,FALSE)*V1310</f>
        <v>0</v>
      </c>
      <c r="X1310" s="141"/>
      <c r="Y1310" s="121" t="s">
        <v>292</v>
      </c>
      <c r="Z1310" s="146">
        <f>VLOOKUP(Takeoffs!Y1310,Sheet1!$B$6:$C$124,2,FALSE)</f>
        <v>0</v>
      </c>
      <c r="AA1310" s="146">
        <f t="shared" si="595"/>
        <v>0</v>
      </c>
      <c r="AB1310" s="143">
        <f t="shared" si="596"/>
        <v>0</v>
      </c>
      <c r="AC1310" s="133">
        <f t="shared" si="597"/>
        <v>0</v>
      </c>
      <c r="AD1310" s="142">
        <v>1</v>
      </c>
      <c r="AE1310" s="141"/>
      <c r="AF1310" s="121" t="s">
        <v>292</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292</v>
      </c>
      <c r="V1311" s="133">
        <f t="shared" si="594"/>
        <v>0</v>
      </c>
      <c r="W1311" s="133">
        <f>VLOOKUP(U1311,Sheet1!$B$6:$C$45,2,FALSE)*V1311</f>
        <v>0</v>
      </c>
      <c r="X1311" s="141"/>
      <c r="Y1311" s="121" t="s">
        <v>292</v>
      </c>
      <c r="Z1311" s="146">
        <f>VLOOKUP(Takeoffs!Y1311,Sheet1!$B$6:$C$124,2,FALSE)</f>
        <v>0</v>
      </c>
      <c r="AA1311" s="146">
        <f t="shared" si="595"/>
        <v>0</v>
      </c>
      <c r="AB1311" s="143">
        <f t="shared" si="596"/>
        <v>0</v>
      </c>
      <c r="AC1311" s="133">
        <f t="shared" si="597"/>
        <v>0</v>
      </c>
      <c r="AD1311" s="142">
        <v>1</v>
      </c>
      <c r="AE1311" s="141"/>
      <c r="AF1311" s="121" t="s">
        <v>292</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292</v>
      </c>
      <c r="V1312" s="133">
        <f t="shared" si="594"/>
        <v>0</v>
      </c>
      <c r="W1312" s="133">
        <f>VLOOKUP(U1312,Sheet1!$B$6:$C$45,2,FALSE)*V1312</f>
        <v>0</v>
      </c>
      <c r="X1312" s="141"/>
      <c r="Y1312" s="121" t="s">
        <v>292</v>
      </c>
      <c r="Z1312" s="146">
        <f>VLOOKUP(Takeoffs!Y1312,Sheet1!$B$6:$C$124,2,FALSE)</f>
        <v>0</v>
      </c>
      <c r="AA1312" s="146">
        <f t="shared" si="595"/>
        <v>0</v>
      </c>
      <c r="AB1312" s="143">
        <f t="shared" si="596"/>
        <v>0</v>
      </c>
      <c r="AC1312" s="133">
        <f t="shared" si="597"/>
        <v>0</v>
      </c>
      <c r="AD1312" s="142">
        <v>1</v>
      </c>
      <c r="AE1312" s="141"/>
      <c r="AF1312" s="121" t="s">
        <v>292</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292</v>
      </c>
      <c r="V1313" s="133">
        <f t="shared" si="594"/>
        <v>0</v>
      </c>
      <c r="W1313" s="133">
        <f>VLOOKUP(U1313,Sheet1!$B$6:$C$45,2,FALSE)*V1313</f>
        <v>0</v>
      </c>
      <c r="X1313" s="141"/>
      <c r="Y1313" s="121" t="s">
        <v>292</v>
      </c>
      <c r="Z1313" s="146">
        <f>VLOOKUP(Takeoffs!Y1313,Sheet1!$B$6:$C$124,2,FALSE)</f>
        <v>0</v>
      </c>
      <c r="AA1313" s="146">
        <f t="shared" si="595"/>
        <v>0</v>
      </c>
      <c r="AB1313" s="143">
        <f t="shared" si="596"/>
        <v>0</v>
      </c>
      <c r="AC1313" s="133">
        <f t="shared" si="597"/>
        <v>0</v>
      </c>
      <c r="AD1313" s="142">
        <v>1</v>
      </c>
      <c r="AE1313" s="141"/>
      <c r="AF1313" s="121" t="s">
        <v>292</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292</v>
      </c>
      <c r="V1314" s="133">
        <f t="shared" si="594"/>
        <v>0</v>
      </c>
      <c r="W1314" s="133">
        <f>VLOOKUP(U1314,Sheet1!$B$6:$C$45,2,FALSE)*V1314</f>
        <v>0</v>
      </c>
      <c r="X1314" s="141"/>
      <c r="Y1314" s="121" t="s">
        <v>292</v>
      </c>
      <c r="Z1314" s="146">
        <f>VLOOKUP(Takeoffs!Y1314,Sheet1!$B$6:$C$124,2,FALSE)</f>
        <v>0</v>
      </c>
      <c r="AA1314" s="146">
        <f t="shared" si="595"/>
        <v>0</v>
      </c>
      <c r="AB1314" s="143">
        <f t="shared" si="596"/>
        <v>0</v>
      </c>
      <c r="AC1314" s="133">
        <f t="shared" si="597"/>
        <v>0</v>
      </c>
      <c r="AD1314" s="142">
        <v>1</v>
      </c>
      <c r="AE1314" s="141"/>
      <c r="AF1314" s="121" t="s">
        <v>292</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377</v>
      </c>
      <c r="L1315" s="128" t="s">
        <v>378</v>
      </c>
      <c r="N1315" s="129"/>
      <c r="O1315" s="130" t="s">
        <v>357</v>
      </c>
      <c r="P1315" s="131">
        <f>V1315+AA1315+AH1315</f>
        <v>0</v>
      </c>
      <c r="Q1315" s="131"/>
      <c r="R1315" s="131"/>
      <c r="S1315" s="130"/>
      <c r="T1315" s="127"/>
      <c r="U1315" s="126" t="s">
        <v>351</v>
      </c>
      <c r="V1315" s="127">
        <f>W1315*80</f>
        <v>0</v>
      </c>
      <c r="W1315" s="147">
        <f>SUM(W1294:W1314)</f>
        <v>0</v>
      </c>
      <c r="X1315" s="148"/>
      <c r="Y1315" s="127" t="s">
        <v>352</v>
      </c>
      <c r="Z1315" s="116"/>
      <c r="AA1315" s="116">
        <f>SUM(AA1294:AA1314)</f>
        <v>0</v>
      </c>
      <c r="AB1315" s="149"/>
      <c r="AC1315" s="149"/>
      <c r="AD1315" s="149"/>
      <c r="AE1315" s="149"/>
      <c r="AF1315" s="127" t="s">
        <v>356</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hidden="1" x14ac:dyDescent="0.8">
      <c r="A1316" s="262">
        <f>ROW()</f>
        <v>1316</v>
      </c>
      <c r="B1316" s="234" t="s">
        <v>491</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367</v>
      </c>
      <c r="N1316" s="160" t="str">
        <f>N1294</f>
        <v>DX CRAC Systems - MSSB powered with run and fault lights</v>
      </c>
      <c r="O1316" s="160" t="s">
        <v>365</v>
      </c>
      <c r="P1316" s="64" t="e">
        <f>P1315/M1294</f>
        <v>#DIV/0!</v>
      </c>
      <c r="Q1316" s="161"/>
      <c r="R1316" s="161"/>
      <c r="S1316" s="160"/>
      <c r="T1316" s="161"/>
      <c r="U1316" s="571" t="s">
        <v>366</v>
      </c>
      <c r="V1316" s="571"/>
      <c r="W1316" s="162" t="e">
        <f>W1315/M1294</f>
        <v>#DIV/0!</v>
      </c>
      <c r="X1316" s="163"/>
      <c r="Y1316" s="570" t="s">
        <v>365</v>
      </c>
      <c r="Z1316" s="570"/>
      <c r="AA1316" s="164" t="e">
        <f>AA1315/M1294</f>
        <v>#DIV/0!</v>
      </c>
      <c r="AB1316" s="161"/>
      <c r="AC1316" s="161"/>
      <c r="AD1316" s="161"/>
      <c r="AE1316" s="161"/>
      <c r="AF1316" s="570" t="s">
        <v>365</v>
      </c>
      <c r="AG1316" s="570"/>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452</v>
      </c>
      <c r="M1317" s="116" t="s">
        <v>298</v>
      </c>
      <c r="N1317" s="116" t="s">
        <v>108</v>
      </c>
      <c r="O1317" s="170" t="s">
        <v>386</v>
      </c>
      <c r="P1317" s="572" t="s">
        <v>375</v>
      </c>
      <c r="Q1317" s="572"/>
      <c r="R1317" s="101" t="s">
        <v>452</v>
      </c>
      <c r="S1317" s="116" t="s">
        <v>0</v>
      </c>
      <c r="T1317" s="118"/>
      <c r="U1317" s="116" t="s">
        <v>287</v>
      </c>
      <c r="V1317" s="116" t="s">
        <v>288</v>
      </c>
      <c r="W1317" s="116" t="s">
        <v>291</v>
      </c>
      <c r="X1317" s="140"/>
      <c r="Y1317" s="116" t="s">
        <v>289</v>
      </c>
      <c r="Z1317" s="116" t="s">
        <v>354</v>
      </c>
      <c r="AA1317" s="116" t="s">
        <v>355</v>
      </c>
      <c r="AB1317" s="116" t="s">
        <v>317</v>
      </c>
      <c r="AC1317" s="116" t="s">
        <v>318</v>
      </c>
      <c r="AD1317" s="116" t="s">
        <v>316</v>
      </c>
      <c r="AE1317" s="140"/>
      <c r="AF1317" s="116" t="s">
        <v>293</v>
      </c>
      <c r="AG1317" s="116" t="s">
        <v>354</v>
      </c>
      <c r="AH1317" s="116" t="s">
        <v>355</v>
      </c>
      <c r="AI1317" s="116" t="s">
        <v>296</v>
      </c>
      <c r="AJ1317" s="116" t="s">
        <v>294</v>
      </c>
      <c r="AK1317" s="116" t="s">
        <v>295</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583</v>
      </c>
      <c r="O1318" s="121" t="s">
        <v>138</v>
      </c>
      <c r="P1318" s="169" t="s">
        <v>379</v>
      </c>
      <c r="Q1318" s="169" t="s">
        <v>375</v>
      </c>
      <c r="R1318" s="169"/>
      <c r="S1318" s="133">
        <f>M1318</f>
        <v>0</v>
      </c>
      <c r="T1318" s="119"/>
      <c r="U1318" s="121" t="s">
        <v>292</v>
      </c>
      <c r="V1318" s="133">
        <f>S1318</f>
        <v>0</v>
      </c>
      <c r="W1318" s="133">
        <f>VLOOKUP(U1318,Sheet1!$B$6:$C$45,2,FALSE)*V1318</f>
        <v>0</v>
      </c>
      <c r="X1318" s="141"/>
      <c r="Y1318" s="121" t="s">
        <v>292</v>
      </c>
      <c r="Z1318" s="146">
        <f>VLOOKUP(Takeoffs!Y1318,Sheet1!$B$6:$C$124,2,FALSE)</f>
        <v>0</v>
      </c>
      <c r="AA1318" s="146">
        <f>Z1318*AB1318</f>
        <v>0</v>
      </c>
      <c r="AB1318" s="143">
        <f>AD1318*AC1318</f>
        <v>0</v>
      </c>
      <c r="AC1318" s="133">
        <f>S1318</f>
        <v>0</v>
      </c>
      <c r="AD1318" s="142">
        <v>1</v>
      </c>
      <c r="AE1318" s="141"/>
      <c r="AF1318" s="121" t="s">
        <v>292</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426</v>
      </c>
      <c r="P1319" s="121"/>
      <c r="Q1319" s="121"/>
      <c r="R1319" s="121"/>
      <c r="S1319" s="133">
        <f>M1318</f>
        <v>0</v>
      </c>
      <c r="T1319" s="120"/>
      <c r="U1319" s="121" t="s">
        <v>292</v>
      </c>
      <c r="V1319" s="133">
        <f t="shared" ref="V1319:V1338" si="608">S1319</f>
        <v>0</v>
      </c>
      <c r="W1319" s="133">
        <f>VLOOKUP(U1319,Sheet1!$B$6:$C$45,2,FALSE)*V1319</f>
        <v>0</v>
      </c>
      <c r="X1319" s="141"/>
      <c r="Y1319" s="121" t="s">
        <v>292</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392</v>
      </c>
      <c r="P1320" s="121"/>
      <c r="Q1320" s="121"/>
      <c r="R1320" s="121"/>
      <c r="S1320" s="133">
        <f>M1318</f>
        <v>0</v>
      </c>
      <c r="T1320" s="120"/>
      <c r="U1320" s="121" t="s">
        <v>286</v>
      </c>
      <c r="V1320" s="133">
        <f t="shared" si="608"/>
        <v>0</v>
      </c>
      <c r="W1320" s="133">
        <f>VLOOKUP(U1320,Sheet1!$B$6:$C$45,2,FALSE)*V1320</f>
        <v>0</v>
      </c>
      <c r="X1320" s="141"/>
      <c r="Y1320" s="121" t="s">
        <v>292</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413</v>
      </c>
      <c r="P1321" s="121"/>
      <c r="Q1321" s="121"/>
      <c r="R1321" s="121"/>
      <c r="S1321" s="133">
        <f>M1318</f>
        <v>0</v>
      </c>
      <c r="T1321" s="120"/>
      <c r="U1321" s="121" t="s">
        <v>292</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292</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414</v>
      </c>
      <c r="P1322" s="121" t="s">
        <v>447</v>
      </c>
      <c r="Q1322" s="121" t="s">
        <v>449</v>
      </c>
      <c r="R1322" s="121"/>
      <c r="S1322" s="133">
        <f>M1318</f>
        <v>0</v>
      </c>
      <c r="T1322" s="120"/>
      <c r="U1322" s="121" t="s">
        <v>292</v>
      </c>
      <c r="V1322" s="133">
        <f t="shared" si="608"/>
        <v>0</v>
      </c>
      <c r="W1322" s="133">
        <f>VLOOKUP(U1322,Sheet1!$B$6:$C$45,2,FALSE)*V1322</f>
        <v>0</v>
      </c>
      <c r="X1322" s="141"/>
      <c r="Y1322" s="121" t="s">
        <v>292</v>
      </c>
      <c r="Z1322" s="146">
        <f>VLOOKUP(Takeoffs!Y1322,Sheet1!$B$6:$C$124,2,FALSE)</f>
        <v>0</v>
      </c>
      <c r="AA1322" s="146">
        <f t="shared" si="609"/>
        <v>0</v>
      </c>
      <c r="AB1322" s="143">
        <f t="shared" si="610"/>
        <v>0</v>
      </c>
      <c r="AC1322" s="133">
        <f t="shared" si="611"/>
        <v>0</v>
      </c>
      <c r="AD1322" s="142">
        <v>1</v>
      </c>
      <c r="AE1322" s="141"/>
      <c r="AF1322" s="121" t="s">
        <v>292</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584</v>
      </c>
      <c r="P1323" s="121"/>
      <c r="Q1323" s="121"/>
      <c r="R1323" s="121"/>
      <c r="S1323" s="133">
        <f>M1318</f>
        <v>0</v>
      </c>
      <c r="T1323" s="120"/>
      <c r="U1323" s="117" t="s">
        <v>478</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585</v>
      </c>
      <c r="P1324" s="121"/>
      <c r="Q1324" s="121"/>
      <c r="R1324" s="121"/>
      <c r="S1324" s="133">
        <f>M1318</f>
        <v>0</v>
      </c>
      <c r="T1324" s="120"/>
      <c r="U1324" s="121" t="s">
        <v>292</v>
      </c>
      <c r="V1324" s="133">
        <f t="shared" si="608"/>
        <v>0</v>
      </c>
      <c r="W1324" s="133">
        <f>VLOOKUP(U1324,Sheet1!$B$6:$C$45,2,FALSE)*V1324</f>
        <v>0</v>
      </c>
      <c r="X1324" s="141"/>
      <c r="Y1324" s="121" t="s">
        <v>292</v>
      </c>
      <c r="Z1324" s="146">
        <f>VLOOKUP(Takeoffs!Y1324,Sheet1!$B$6:$C$124,2,FALSE)</f>
        <v>0</v>
      </c>
      <c r="AA1324" s="146">
        <f t="shared" si="609"/>
        <v>0</v>
      </c>
      <c r="AB1324" s="143">
        <f t="shared" si="610"/>
        <v>0</v>
      </c>
      <c r="AC1324" s="133">
        <f t="shared" si="611"/>
        <v>0</v>
      </c>
      <c r="AD1324" s="142">
        <v>1</v>
      </c>
      <c r="AE1324" s="141"/>
      <c r="AF1324" s="121" t="s">
        <v>292</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315</v>
      </c>
      <c r="P1325" s="121"/>
      <c r="Q1325" s="121"/>
      <c r="R1325" s="121"/>
      <c r="S1325" s="133">
        <f>M1318</f>
        <v>0</v>
      </c>
      <c r="T1325" s="120"/>
      <c r="U1325" s="121" t="s">
        <v>292</v>
      </c>
      <c r="V1325" s="133">
        <f t="shared" si="608"/>
        <v>0</v>
      </c>
      <c r="W1325" s="133">
        <f>VLOOKUP(U1325,Sheet1!$B$6:$C$45,2,FALSE)*V1325</f>
        <v>0</v>
      </c>
      <c r="X1325" s="141"/>
      <c r="Y1325" s="121" t="s">
        <v>292</v>
      </c>
      <c r="Z1325" s="146">
        <f>VLOOKUP(Takeoffs!Y1325,Sheet1!$B$6:$C$124,2,FALSE)</f>
        <v>0</v>
      </c>
      <c r="AA1325" s="146">
        <f t="shared" si="609"/>
        <v>0</v>
      </c>
      <c r="AB1325" s="143">
        <f t="shared" si="610"/>
        <v>0</v>
      </c>
      <c r="AC1325" s="133">
        <f t="shared" si="611"/>
        <v>0</v>
      </c>
      <c r="AD1325" s="142">
        <v>1</v>
      </c>
      <c r="AE1325" s="141"/>
      <c r="AF1325" s="121" t="s">
        <v>292</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586</v>
      </c>
      <c r="P1326" s="121" t="s">
        <v>447</v>
      </c>
      <c r="Q1326" s="121" t="s">
        <v>587</v>
      </c>
      <c r="R1326" s="121"/>
      <c r="S1326" s="133">
        <f>M1318</f>
        <v>0</v>
      </c>
      <c r="T1326" s="120"/>
      <c r="U1326" s="117" t="s">
        <v>363</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292</v>
      </c>
      <c r="V1327" s="133">
        <f t="shared" si="608"/>
        <v>0</v>
      </c>
      <c r="W1327" s="133">
        <f>VLOOKUP(U1327,Sheet1!$B$6:$C$45,2,FALSE)*V1327</f>
        <v>0</v>
      </c>
      <c r="X1327" s="141"/>
      <c r="Y1327" s="121" t="s">
        <v>292</v>
      </c>
      <c r="Z1327" s="146">
        <f>VLOOKUP(Takeoffs!Y1327,Sheet1!$B$6:$C$124,2,FALSE)</f>
        <v>0</v>
      </c>
      <c r="AA1327" s="146">
        <f t="shared" si="609"/>
        <v>0</v>
      </c>
      <c r="AB1327" s="143">
        <f t="shared" si="610"/>
        <v>0</v>
      </c>
      <c r="AC1327" s="133">
        <f t="shared" si="611"/>
        <v>0</v>
      </c>
      <c r="AD1327" s="142">
        <v>1</v>
      </c>
      <c r="AE1327" s="141"/>
      <c r="AF1327" s="121" t="s">
        <v>292</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292</v>
      </c>
      <c r="V1328" s="133">
        <f t="shared" si="608"/>
        <v>0</v>
      </c>
      <c r="W1328" s="133">
        <f>VLOOKUP(U1328,Sheet1!$B$6:$C$45,2,FALSE)*V1328</f>
        <v>0</v>
      </c>
      <c r="X1328" s="141"/>
      <c r="Y1328" s="121" t="s">
        <v>292</v>
      </c>
      <c r="Z1328" s="146">
        <f>VLOOKUP(Takeoffs!Y1328,Sheet1!$B$6:$C$124,2,FALSE)</f>
        <v>0</v>
      </c>
      <c r="AA1328" s="146">
        <f t="shared" si="609"/>
        <v>0</v>
      </c>
      <c r="AB1328" s="143">
        <f t="shared" si="610"/>
        <v>0</v>
      </c>
      <c r="AC1328" s="133">
        <f t="shared" si="611"/>
        <v>0</v>
      </c>
      <c r="AD1328" s="142">
        <v>1</v>
      </c>
      <c r="AE1328" s="141"/>
      <c r="AF1328" s="121" t="s">
        <v>292</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292</v>
      </c>
      <c r="V1329" s="133">
        <f t="shared" si="608"/>
        <v>0</v>
      </c>
      <c r="W1329" s="133">
        <f>VLOOKUP(U1329,Sheet1!$B$6:$C$45,2,FALSE)*V1329</f>
        <v>0</v>
      </c>
      <c r="X1329" s="141"/>
      <c r="Y1329" s="121" t="s">
        <v>292</v>
      </c>
      <c r="Z1329" s="146">
        <f>VLOOKUP(Takeoffs!Y1329,Sheet1!$B$6:$C$124,2,FALSE)</f>
        <v>0</v>
      </c>
      <c r="AA1329" s="146">
        <f t="shared" si="609"/>
        <v>0</v>
      </c>
      <c r="AB1329" s="143">
        <f t="shared" si="610"/>
        <v>0</v>
      </c>
      <c r="AC1329" s="133">
        <f t="shared" si="611"/>
        <v>0</v>
      </c>
      <c r="AD1329" s="142">
        <v>1</v>
      </c>
      <c r="AE1329" s="141"/>
      <c r="AF1329" s="121" t="s">
        <v>292</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292</v>
      </c>
      <c r="V1330" s="133">
        <f t="shared" si="608"/>
        <v>0</v>
      </c>
      <c r="W1330" s="133">
        <f>VLOOKUP(U1330,Sheet1!$B$6:$C$45,2,FALSE)*V1330</f>
        <v>0</v>
      </c>
      <c r="X1330" s="141"/>
      <c r="Y1330" s="121" t="s">
        <v>292</v>
      </c>
      <c r="Z1330" s="146">
        <f>VLOOKUP(Takeoffs!Y1330,Sheet1!$B$6:$C$124,2,FALSE)</f>
        <v>0</v>
      </c>
      <c r="AA1330" s="146">
        <f t="shared" si="609"/>
        <v>0</v>
      </c>
      <c r="AB1330" s="143">
        <f t="shared" si="610"/>
        <v>0</v>
      </c>
      <c r="AC1330" s="133">
        <f t="shared" si="611"/>
        <v>0</v>
      </c>
      <c r="AD1330" s="142">
        <v>1</v>
      </c>
      <c r="AE1330" s="141"/>
      <c r="AF1330" s="121" t="s">
        <v>292</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292</v>
      </c>
      <c r="V1331" s="133">
        <f t="shared" si="608"/>
        <v>0</v>
      </c>
      <c r="W1331" s="133">
        <f>VLOOKUP(U1331,Sheet1!$B$6:$C$45,2,FALSE)*V1331</f>
        <v>0</v>
      </c>
      <c r="X1331" s="141"/>
      <c r="Y1331" s="121" t="s">
        <v>292</v>
      </c>
      <c r="Z1331" s="146">
        <f>VLOOKUP(Takeoffs!Y1331,Sheet1!$B$6:$C$124,2,FALSE)</f>
        <v>0</v>
      </c>
      <c r="AA1331" s="146">
        <f t="shared" si="609"/>
        <v>0</v>
      </c>
      <c r="AB1331" s="143">
        <f t="shared" si="610"/>
        <v>0</v>
      </c>
      <c r="AC1331" s="133">
        <f t="shared" si="611"/>
        <v>0</v>
      </c>
      <c r="AD1331" s="142">
        <v>1</v>
      </c>
      <c r="AE1331" s="141"/>
      <c r="AF1331" s="121" t="s">
        <v>292</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292</v>
      </c>
      <c r="V1332" s="133">
        <f t="shared" si="608"/>
        <v>0</v>
      </c>
      <c r="W1332" s="133">
        <f>VLOOKUP(U1332,Sheet1!$B$6:$C$45,2,FALSE)*V1332</f>
        <v>0</v>
      </c>
      <c r="X1332" s="141"/>
      <c r="Y1332" s="121" t="s">
        <v>292</v>
      </c>
      <c r="Z1332" s="146">
        <f>VLOOKUP(Takeoffs!Y1332,Sheet1!$B$6:$C$124,2,FALSE)</f>
        <v>0</v>
      </c>
      <c r="AA1332" s="146">
        <f t="shared" si="609"/>
        <v>0</v>
      </c>
      <c r="AB1332" s="143">
        <f t="shared" si="610"/>
        <v>0</v>
      </c>
      <c r="AC1332" s="133">
        <f t="shared" si="611"/>
        <v>0</v>
      </c>
      <c r="AD1332" s="142">
        <v>1</v>
      </c>
      <c r="AE1332" s="141"/>
      <c r="AF1332" s="121" t="s">
        <v>292</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292</v>
      </c>
      <c r="V1333" s="133">
        <f t="shared" si="608"/>
        <v>0</v>
      </c>
      <c r="W1333" s="133">
        <f>VLOOKUP(U1333,Sheet1!$B$6:$C$45,2,FALSE)*V1333</f>
        <v>0</v>
      </c>
      <c r="X1333" s="141"/>
      <c r="Y1333" s="121" t="s">
        <v>292</v>
      </c>
      <c r="Z1333" s="146">
        <f>VLOOKUP(Takeoffs!Y1333,Sheet1!$B$6:$C$124,2,FALSE)</f>
        <v>0</v>
      </c>
      <c r="AA1333" s="146">
        <f t="shared" si="609"/>
        <v>0</v>
      </c>
      <c r="AB1333" s="143">
        <f t="shared" si="610"/>
        <v>0</v>
      </c>
      <c r="AC1333" s="133">
        <f t="shared" si="611"/>
        <v>0</v>
      </c>
      <c r="AD1333" s="142">
        <v>1</v>
      </c>
      <c r="AE1333" s="141"/>
      <c r="AF1333" s="121" t="s">
        <v>292</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292</v>
      </c>
      <c r="V1334" s="133">
        <f t="shared" si="608"/>
        <v>0</v>
      </c>
      <c r="W1334" s="133">
        <f>VLOOKUP(U1334,Sheet1!$B$6:$C$45,2,FALSE)*V1334</f>
        <v>0</v>
      </c>
      <c r="X1334" s="141"/>
      <c r="Y1334" s="121" t="s">
        <v>292</v>
      </c>
      <c r="Z1334" s="146">
        <f>VLOOKUP(Takeoffs!Y1334,Sheet1!$B$6:$C$124,2,FALSE)</f>
        <v>0</v>
      </c>
      <c r="AA1334" s="146">
        <f t="shared" si="609"/>
        <v>0</v>
      </c>
      <c r="AB1334" s="143">
        <f t="shared" si="610"/>
        <v>0</v>
      </c>
      <c r="AC1334" s="133">
        <f t="shared" si="611"/>
        <v>0</v>
      </c>
      <c r="AD1334" s="142">
        <v>1</v>
      </c>
      <c r="AE1334" s="141"/>
      <c r="AF1334" s="121" t="s">
        <v>292</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292</v>
      </c>
      <c r="V1335" s="133">
        <f t="shared" si="608"/>
        <v>0</v>
      </c>
      <c r="W1335" s="133">
        <f>VLOOKUP(U1335,Sheet1!$B$6:$C$45,2,FALSE)*V1335</f>
        <v>0</v>
      </c>
      <c r="X1335" s="141"/>
      <c r="Y1335" s="121" t="s">
        <v>292</v>
      </c>
      <c r="Z1335" s="146">
        <f>VLOOKUP(Takeoffs!Y1335,Sheet1!$B$6:$C$124,2,FALSE)</f>
        <v>0</v>
      </c>
      <c r="AA1335" s="146">
        <f t="shared" si="609"/>
        <v>0</v>
      </c>
      <c r="AB1335" s="143">
        <f t="shared" si="610"/>
        <v>0</v>
      </c>
      <c r="AC1335" s="133">
        <f t="shared" si="611"/>
        <v>0</v>
      </c>
      <c r="AD1335" s="142">
        <v>1</v>
      </c>
      <c r="AE1335" s="141"/>
      <c r="AF1335" s="121" t="s">
        <v>292</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292</v>
      </c>
      <c r="V1336" s="133">
        <f t="shared" si="608"/>
        <v>0</v>
      </c>
      <c r="W1336" s="133">
        <f>VLOOKUP(U1336,Sheet1!$B$6:$C$45,2,FALSE)*V1336</f>
        <v>0</v>
      </c>
      <c r="X1336" s="141"/>
      <c r="Y1336" s="121" t="s">
        <v>292</v>
      </c>
      <c r="Z1336" s="146">
        <f>VLOOKUP(Takeoffs!Y1336,Sheet1!$B$6:$C$124,2,FALSE)</f>
        <v>0</v>
      </c>
      <c r="AA1336" s="146">
        <f t="shared" si="609"/>
        <v>0</v>
      </c>
      <c r="AB1336" s="143">
        <f t="shared" si="610"/>
        <v>0</v>
      </c>
      <c r="AC1336" s="133">
        <f t="shared" si="611"/>
        <v>0</v>
      </c>
      <c r="AD1336" s="142">
        <v>1</v>
      </c>
      <c r="AE1336" s="141"/>
      <c r="AF1336" s="121" t="s">
        <v>292</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292</v>
      </c>
      <c r="V1337" s="133">
        <f t="shared" si="608"/>
        <v>0</v>
      </c>
      <c r="W1337" s="133">
        <f>VLOOKUP(U1337,Sheet1!$B$6:$C$45,2,FALSE)*V1337</f>
        <v>0</v>
      </c>
      <c r="X1337" s="141"/>
      <c r="Y1337" s="121" t="s">
        <v>292</v>
      </c>
      <c r="Z1337" s="146">
        <f>VLOOKUP(Takeoffs!Y1337,Sheet1!$B$6:$C$124,2,FALSE)</f>
        <v>0</v>
      </c>
      <c r="AA1337" s="146">
        <f t="shared" si="609"/>
        <v>0</v>
      </c>
      <c r="AB1337" s="143">
        <f t="shared" si="610"/>
        <v>0</v>
      </c>
      <c r="AC1337" s="133">
        <f t="shared" si="611"/>
        <v>0</v>
      </c>
      <c r="AD1337" s="142">
        <v>1</v>
      </c>
      <c r="AE1337" s="141"/>
      <c r="AF1337" s="121" t="s">
        <v>292</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292</v>
      </c>
      <c r="V1338" s="133">
        <f t="shared" si="608"/>
        <v>0</v>
      </c>
      <c r="W1338" s="133">
        <f>VLOOKUP(U1338,Sheet1!$B$6:$C$45,2,FALSE)*V1338</f>
        <v>0</v>
      </c>
      <c r="X1338" s="141"/>
      <c r="Y1338" s="121" t="s">
        <v>292</v>
      </c>
      <c r="Z1338" s="146">
        <f>VLOOKUP(Takeoffs!Y1338,Sheet1!$B$6:$C$124,2,FALSE)</f>
        <v>0</v>
      </c>
      <c r="AA1338" s="146">
        <f t="shared" si="609"/>
        <v>0</v>
      </c>
      <c r="AB1338" s="143">
        <f t="shared" si="610"/>
        <v>0</v>
      </c>
      <c r="AC1338" s="133">
        <f t="shared" si="611"/>
        <v>0</v>
      </c>
      <c r="AD1338" s="142">
        <v>1</v>
      </c>
      <c r="AE1338" s="141"/>
      <c r="AF1338" s="121" t="s">
        <v>292</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377</v>
      </c>
      <c r="L1339" s="128" t="s">
        <v>378</v>
      </c>
      <c r="N1339" s="129"/>
      <c r="O1339" s="130" t="s">
        <v>357</v>
      </c>
      <c r="P1339" s="131">
        <f>V1339+AA1339+AH1339</f>
        <v>0</v>
      </c>
      <c r="Q1339" s="131"/>
      <c r="R1339" s="131"/>
      <c r="S1339" s="130"/>
      <c r="T1339" s="127"/>
      <c r="U1339" s="126" t="s">
        <v>351</v>
      </c>
      <c r="V1339" s="127">
        <f>W1339*80</f>
        <v>0</v>
      </c>
      <c r="W1339" s="147">
        <f>SUM(W1318:W1338)</f>
        <v>0</v>
      </c>
      <c r="X1339" s="148"/>
      <c r="Y1339" s="127" t="s">
        <v>352</v>
      </c>
      <c r="Z1339" s="116"/>
      <c r="AA1339" s="116">
        <f>SUM(AA1318:AA1338)</f>
        <v>0</v>
      </c>
      <c r="AB1339" s="149"/>
      <c r="AC1339" s="149"/>
      <c r="AD1339" s="149"/>
      <c r="AE1339" s="149"/>
      <c r="AF1339" s="127" t="s">
        <v>356</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hidden="1" x14ac:dyDescent="0.8">
      <c r="A1340" s="262">
        <f>ROW()</f>
        <v>1340</v>
      </c>
      <c r="B1340" s="234" t="s">
        <v>491</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367</v>
      </c>
      <c r="N1340" s="160" t="str">
        <f>N1318</f>
        <v>split AC systems - MSSB powered with run and fault lights</v>
      </c>
      <c r="O1340" s="160" t="s">
        <v>365</v>
      </c>
      <c r="P1340" s="64" t="e">
        <f>P1339/M1318</f>
        <v>#DIV/0!</v>
      </c>
      <c r="Q1340" s="161"/>
      <c r="R1340" s="161"/>
      <c r="S1340" s="160"/>
      <c r="T1340" s="161"/>
      <c r="U1340" s="571" t="s">
        <v>366</v>
      </c>
      <c r="V1340" s="571"/>
      <c r="W1340" s="162" t="e">
        <f>W1339/M1318</f>
        <v>#DIV/0!</v>
      </c>
      <c r="X1340" s="163"/>
      <c r="Y1340" s="570" t="s">
        <v>365</v>
      </c>
      <c r="Z1340" s="570"/>
      <c r="AA1340" s="164" t="e">
        <f>AA1339/M1318</f>
        <v>#DIV/0!</v>
      </c>
      <c r="AB1340" s="161"/>
      <c r="AC1340" s="161"/>
      <c r="AD1340" s="161"/>
      <c r="AE1340" s="161"/>
      <c r="AF1340" s="570" t="s">
        <v>365</v>
      </c>
      <c r="AG1340" s="570"/>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452</v>
      </c>
      <c r="M1341" s="116" t="s">
        <v>298</v>
      </c>
      <c r="N1341" s="116" t="s">
        <v>108</v>
      </c>
      <c r="O1341" s="170" t="s">
        <v>386</v>
      </c>
      <c r="P1341" s="572" t="s">
        <v>375</v>
      </c>
      <c r="Q1341" s="572"/>
      <c r="R1341" s="101" t="s">
        <v>452</v>
      </c>
      <c r="S1341" s="116" t="s">
        <v>0</v>
      </c>
      <c r="T1341" s="118"/>
      <c r="U1341" s="116" t="s">
        <v>287</v>
      </c>
      <c r="V1341" s="116" t="s">
        <v>288</v>
      </c>
      <c r="W1341" s="116" t="s">
        <v>291</v>
      </c>
      <c r="X1341" s="140"/>
      <c r="Y1341" s="116" t="s">
        <v>289</v>
      </c>
      <c r="Z1341" s="116" t="s">
        <v>354</v>
      </c>
      <c r="AA1341" s="116" t="s">
        <v>355</v>
      </c>
      <c r="AB1341" s="116" t="s">
        <v>317</v>
      </c>
      <c r="AC1341" s="116" t="s">
        <v>318</v>
      </c>
      <c r="AD1341" s="116" t="s">
        <v>316</v>
      </c>
      <c r="AE1341" s="140"/>
      <c r="AF1341" s="116" t="s">
        <v>293</v>
      </c>
      <c r="AG1341" s="116" t="s">
        <v>354</v>
      </c>
      <c r="AH1341" s="116" t="s">
        <v>355</v>
      </c>
      <c r="AI1341" s="116" t="s">
        <v>296</v>
      </c>
      <c r="AJ1341" s="116" t="s">
        <v>294</v>
      </c>
      <c r="AK1341" s="116" t="s">
        <v>295</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694</v>
      </c>
      <c r="O1342" s="121" t="s">
        <v>138</v>
      </c>
      <c r="P1342" s="169" t="s">
        <v>379</v>
      </c>
      <c r="Q1342" s="169" t="s">
        <v>375</v>
      </c>
      <c r="R1342" s="169"/>
      <c r="S1342" s="133">
        <f>M1342</f>
        <v>0</v>
      </c>
      <c r="T1342" s="119"/>
      <c r="U1342" s="121" t="s">
        <v>292</v>
      </c>
      <c r="V1342" s="133">
        <f>S1342</f>
        <v>0</v>
      </c>
      <c r="W1342" s="133">
        <f>VLOOKUP(U1342,Sheet1!$B$6:$C$45,2,FALSE)*V1342</f>
        <v>0</v>
      </c>
      <c r="X1342" s="141"/>
      <c r="Y1342" s="121" t="s">
        <v>292</v>
      </c>
      <c r="Z1342" s="146">
        <f>VLOOKUP(Takeoffs!Y1342,Sheet1!$B$6:$C$124,2,FALSE)</f>
        <v>0</v>
      </c>
      <c r="AA1342" s="146">
        <f>Z1342*AB1342</f>
        <v>0</v>
      </c>
      <c r="AB1342" s="143">
        <f>AD1342*AC1342</f>
        <v>0</v>
      </c>
      <c r="AC1342" s="133">
        <f>S1342</f>
        <v>0</v>
      </c>
      <c r="AD1342" s="142">
        <v>1</v>
      </c>
      <c r="AE1342" s="141"/>
      <c r="AF1342" s="121" t="s">
        <v>292</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426</v>
      </c>
      <c r="P1343" s="121"/>
      <c r="Q1343" s="121"/>
      <c r="R1343" s="121"/>
      <c r="S1343" s="133">
        <f>M1342</f>
        <v>0</v>
      </c>
      <c r="T1343" s="120"/>
      <c r="U1343" s="117" t="s">
        <v>690</v>
      </c>
      <c r="V1343" s="133">
        <f t="shared" ref="V1343:V1362" si="617">S1343</f>
        <v>0</v>
      </c>
      <c r="W1343" s="133">
        <f>VLOOKUP(U1343,Sheet1!$B$6:$C$45,2,FALSE)*V1343</f>
        <v>0</v>
      </c>
      <c r="X1343" s="141"/>
      <c r="Y1343" s="121" t="s">
        <v>292</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392</v>
      </c>
      <c r="P1344" s="121"/>
      <c r="Q1344" s="121"/>
      <c r="R1344" s="121"/>
      <c r="S1344" s="133">
        <f>M1342</f>
        <v>0</v>
      </c>
      <c r="T1344" s="120"/>
      <c r="U1344" s="117" t="s">
        <v>302</v>
      </c>
      <c r="V1344" s="133">
        <f t="shared" si="617"/>
        <v>0</v>
      </c>
      <c r="W1344" s="133">
        <f>VLOOKUP(U1344,Sheet1!$B$6:$C$45,2,FALSE)*V1344</f>
        <v>0</v>
      </c>
      <c r="X1344" s="141"/>
      <c r="Y1344" s="121" t="s">
        <v>292</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413</v>
      </c>
      <c r="P1345" s="121"/>
      <c r="Q1345" s="121"/>
      <c r="R1345" s="121"/>
      <c r="S1345" s="133">
        <f>M1342</f>
        <v>0</v>
      </c>
      <c r="T1345" s="120"/>
      <c r="U1345" s="121" t="s">
        <v>292</v>
      </c>
      <c r="V1345" s="133">
        <f t="shared" si="617"/>
        <v>0</v>
      </c>
      <c r="W1345" s="133">
        <f>VLOOKUP(U1345,Sheet1!$B$6:$C$45,2,FALSE)*V1345</f>
        <v>0</v>
      </c>
      <c r="X1345" s="141"/>
      <c r="Y1345" s="121" t="s">
        <v>292</v>
      </c>
      <c r="Z1345" s="146">
        <f>VLOOKUP(Takeoffs!Y1345,Sheet1!$B$6:$C$124,2,FALSE)</f>
        <v>0</v>
      </c>
      <c r="AA1345" s="146">
        <f t="shared" si="618"/>
        <v>0</v>
      </c>
      <c r="AB1345" s="143">
        <f t="shared" si="619"/>
        <v>0</v>
      </c>
      <c r="AC1345" s="133">
        <f t="shared" si="620"/>
        <v>0</v>
      </c>
      <c r="AD1345" s="142">
        <v>2</v>
      </c>
      <c r="AE1345" s="141"/>
      <c r="AF1345" s="121" t="s">
        <v>292</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447</v>
      </c>
      <c r="Q1346" s="121" t="s">
        <v>689</v>
      </c>
      <c r="R1346" s="121"/>
      <c r="S1346" s="133">
        <f>M1342</f>
        <v>0</v>
      </c>
      <c r="T1346" s="120"/>
      <c r="U1346" s="121" t="s">
        <v>292</v>
      </c>
      <c r="V1346" s="133">
        <f t="shared" si="617"/>
        <v>0</v>
      </c>
      <c r="W1346" s="133">
        <f>VLOOKUP(U1346,Sheet1!$B$6:$C$45,2,FALSE)*V1346</f>
        <v>0</v>
      </c>
      <c r="X1346" s="141"/>
      <c r="Y1346" s="121" t="s">
        <v>292</v>
      </c>
      <c r="Z1346" s="146">
        <f>VLOOKUP(Takeoffs!Y1346,Sheet1!$B$6:$C$124,2,FALSE)</f>
        <v>0</v>
      </c>
      <c r="AA1346" s="146">
        <f t="shared" si="618"/>
        <v>0</v>
      </c>
      <c r="AB1346" s="143">
        <f t="shared" si="619"/>
        <v>0</v>
      </c>
      <c r="AC1346" s="133">
        <f t="shared" si="620"/>
        <v>0</v>
      </c>
      <c r="AD1346" s="142">
        <v>1</v>
      </c>
      <c r="AE1346" s="141"/>
      <c r="AF1346" s="121" t="s">
        <v>292</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507</v>
      </c>
      <c r="P1347" s="121" t="s">
        <v>420</v>
      </c>
      <c r="Q1347" s="121" t="s">
        <v>691</v>
      </c>
      <c r="R1347" s="121"/>
      <c r="S1347" s="133">
        <f>M1342</f>
        <v>0</v>
      </c>
      <c r="T1347" s="120"/>
      <c r="U1347" s="121" t="s">
        <v>292</v>
      </c>
      <c r="V1347" s="133">
        <f t="shared" si="617"/>
        <v>0</v>
      </c>
      <c r="W1347" s="133">
        <f>VLOOKUP(U1347,Sheet1!$B$6:$C$45,2,FALSE)*V1347</f>
        <v>0</v>
      </c>
      <c r="X1347" s="141"/>
      <c r="Y1347" s="121" t="s">
        <v>292</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292</v>
      </c>
      <c r="V1348" s="133">
        <f t="shared" si="617"/>
        <v>0</v>
      </c>
      <c r="W1348" s="133">
        <f>VLOOKUP(U1348,Sheet1!$B$6:$C$45,2,FALSE)*V1348</f>
        <v>0</v>
      </c>
      <c r="X1348" s="141"/>
      <c r="Y1348" s="121" t="s">
        <v>292</v>
      </c>
      <c r="Z1348" s="146">
        <f>VLOOKUP(Takeoffs!Y1348,Sheet1!$B$6:$C$124,2,FALSE)</f>
        <v>0</v>
      </c>
      <c r="AA1348" s="146">
        <f t="shared" si="618"/>
        <v>0</v>
      </c>
      <c r="AB1348" s="143">
        <f t="shared" si="619"/>
        <v>0</v>
      </c>
      <c r="AC1348" s="133">
        <f t="shared" si="620"/>
        <v>0</v>
      </c>
      <c r="AD1348" s="142">
        <v>1</v>
      </c>
      <c r="AE1348" s="141"/>
      <c r="AF1348" s="121" t="s">
        <v>292</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292</v>
      </c>
      <c r="V1349" s="133">
        <f t="shared" si="617"/>
        <v>0</v>
      </c>
      <c r="W1349" s="133">
        <f>VLOOKUP(U1349,Sheet1!$B$6:$C$45,2,FALSE)*V1349</f>
        <v>0</v>
      </c>
      <c r="X1349" s="141"/>
      <c r="Y1349" s="121" t="s">
        <v>292</v>
      </c>
      <c r="Z1349" s="146">
        <f>VLOOKUP(Takeoffs!Y1349,Sheet1!$B$6:$C$124,2,FALSE)</f>
        <v>0</v>
      </c>
      <c r="AA1349" s="146">
        <f t="shared" si="618"/>
        <v>0</v>
      </c>
      <c r="AB1349" s="143">
        <f t="shared" si="619"/>
        <v>0</v>
      </c>
      <c r="AC1349" s="133">
        <f t="shared" si="620"/>
        <v>0</v>
      </c>
      <c r="AD1349" s="142">
        <v>1</v>
      </c>
      <c r="AE1349" s="141"/>
      <c r="AF1349" s="121" t="s">
        <v>292</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292</v>
      </c>
      <c r="V1350" s="133">
        <f t="shared" si="617"/>
        <v>0</v>
      </c>
      <c r="W1350" s="133">
        <f>VLOOKUP(U1350,Sheet1!$B$6:$C$45,2,FALSE)*V1350</f>
        <v>0</v>
      </c>
      <c r="X1350" s="141"/>
      <c r="Y1350" s="121" t="s">
        <v>292</v>
      </c>
      <c r="Z1350" s="146">
        <f>VLOOKUP(Takeoffs!Y1350,Sheet1!$B$6:$C$124,2,FALSE)</f>
        <v>0</v>
      </c>
      <c r="AA1350" s="146">
        <f t="shared" si="618"/>
        <v>0</v>
      </c>
      <c r="AB1350" s="143">
        <f t="shared" si="619"/>
        <v>0</v>
      </c>
      <c r="AC1350" s="133">
        <f t="shared" si="620"/>
        <v>0</v>
      </c>
      <c r="AD1350" s="142">
        <v>1</v>
      </c>
      <c r="AE1350" s="141"/>
      <c r="AF1350" s="121" t="s">
        <v>292</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292</v>
      </c>
      <c r="V1351" s="133">
        <f t="shared" si="617"/>
        <v>0</v>
      </c>
      <c r="W1351" s="133">
        <f>VLOOKUP(U1351,Sheet1!$B$6:$C$45,2,FALSE)*V1351</f>
        <v>0</v>
      </c>
      <c r="X1351" s="141"/>
      <c r="Y1351" s="121" t="s">
        <v>292</v>
      </c>
      <c r="Z1351" s="146">
        <f>VLOOKUP(Takeoffs!Y1351,Sheet1!$B$6:$C$124,2,FALSE)</f>
        <v>0</v>
      </c>
      <c r="AA1351" s="146">
        <f t="shared" si="618"/>
        <v>0</v>
      </c>
      <c r="AB1351" s="143">
        <f t="shared" si="619"/>
        <v>0</v>
      </c>
      <c r="AC1351" s="133">
        <f t="shared" si="620"/>
        <v>0</v>
      </c>
      <c r="AD1351" s="142">
        <v>1</v>
      </c>
      <c r="AE1351" s="141"/>
      <c r="AF1351" s="121" t="s">
        <v>292</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292</v>
      </c>
      <c r="V1352" s="133">
        <f t="shared" si="617"/>
        <v>0</v>
      </c>
      <c r="W1352" s="133">
        <f>VLOOKUP(U1352,Sheet1!$B$6:$C$45,2,FALSE)*V1352</f>
        <v>0</v>
      </c>
      <c r="X1352" s="141"/>
      <c r="Y1352" s="121" t="s">
        <v>292</v>
      </c>
      <c r="Z1352" s="146">
        <f>VLOOKUP(Takeoffs!Y1352,Sheet1!$B$6:$C$124,2,FALSE)</f>
        <v>0</v>
      </c>
      <c r="AA1352" s="146">
        <f t="shared" si="618"/>
        <v>0</v>
      </c>
      <c r="AB1352" s="143">
        <f t="shared" si="619"/>
        <v>0</v>
      </c>
      <c r="AC1352" s="133">
        <f t="shared" si="620"/>
        <v>0</v>
      </c>
      <c r="AD1352" s="142">
        <v>1</v>
      </c>
      <c r="AE1352" s="141"/>
      <c r="AF1352" s="121" t="s">
        <v>292</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292</v>
      </c>
      <c r="V1353" s="133">
        <f t="shared" si="617"/>
        <v>0</v>
      </c>
      <c r="W1353" s="133">
        <f>VLOOKUP(U1353,Sheet1!$B$6:$C$45,2,FALSE)*V1353</f>
        <v>0</v>
      </c>
      <c r="X1353" s="141"/>
      <c r="Y1353" s="121" t="s">
        <v>292</v>
      </c>
      <c r="Z1353" s="146">
        <f>VLOOKUP(Takeoffs!Y1353,Sheet1!$B$6:$C$124,2,FALSE)</f>
        <v>0</v>
      </c>
      <c r="AA1353" s="146">
        <f t="shared" si="618"/>
        <v>0</v>
      </c>
      <c r="AB1353" s="143">
        <f t="shared" si="619"/>
        <v>0</v>
      </c>
      <c r="AC1353" s="133">
        <f t="shared" si="620"/>
        <v>0</v>
      </c>
      <c r="AD1353" s="142">
        <v>1</v>
      </c>
      <c r="AE1353" s="141"/>
      <c r="AF1353" s="121" t="s">
        <v>292</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292</v>
      </c>
      <c r="V1354" s="133">
        <f t="shared" si="617"/>
        <v>0</v>
      </c>
      <c r="W1354" s="133">
        <f>VLOOKUP(U1354,Sheet1!$B$6:$C$45,2,FALSE)*V1354</f>
        <v>0</v>
      </c>
      <c r="X1354" s="141"/>
      <c r="Y1354" s="121" t="s">
        <v>292</v>
      </c>
      <c r="Z1354" s="146">
        <f>VLOOKUP(Takeoffs!Y1354,Sheet1!$B$6:$C$124,2,FALSE)</f>
        <v>0</v>
      </c>
      <c r="AA1354" s="146">
        <f t="shared" si="618"/>
        <v>0</v>
      </c>
      <c r="AB1354" s="143">
        <f t="shared" si="619"/>
        <v>0</v>
      </c>
      <c r="AC1354" s="133">
        <f t="shared" si="620"/>
        <v>0</v>
      </c>
      <c r="AD1354" s="142">
        <v>1</v>
      </c>
      <c r="AE1354" s="141"/>
      <c r="AF1354" s="121" t="s">
        <v>292</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292</v>
      </c>
      <c r="V1355" s="133">
        <f t="shared" si="617"/>
        <v>0</v>
      </c>
      <c r="W1355" s="133">
        <f>VLOOKUP(U1355,Sheet1!$B$6:$C$45,2,FALSE)*V1355</f>
        <v>0</v>
      </c>
      <c r="X1355" s="141"/>
      <c r="Y1355" s="121" t="s">
        <v>292</v>
      </c>
      <c r="Z1355" s="146">
        <f>VLOOKUP(Takeoffs!Y1355,Sheet1!$B$6:$C$124,2,FALSE)</f>
        <v>0</v>
      </c>
      <c r="AA1355" s="146">
        <f t="shared" si="618"/>
        <v>0</v>
      </c>
      <c r="AB1355" s="143">
        <f t="shared" si="619"/>
        <v>0</v>
      </c>
      <c r="AC1355" s="133">
        <f t="shared" si="620"/>
        <v>0</v>
      </c>
      <c r="AD1355" s="142">
        <v>1</v>
      </c>
      <c r="AE1355" s="141"/>
      <c r="AF1355" s="121" t="s">
        <v>292</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292</v>
      </c>
      <c r="V1356" s="133">
        <f t="shared" si="617"/>
        <v>0</v>
      </c>
      <c r="W1356" s="133">
        <f>VLOOKUP(U1356,Sheet1!$B$6:$C$45,2,FALSE)*V1356</f>
        <v>0</v>
      </c>
      <c r="X1356" s="141"/>
      <c r="Y1356" s="121" t="s">
        <v>292</v>
      </c>
      <c r="Z1356" s="146">
        <f>VLOOKUP(Takeoffs!Y1356,Sheet1!$B$6:$C$124,2,FALSE)</f>
        <v>0</v>
      </c>
      <c r="AA1356" s="146">
        <f t="shared" si="618"/>
        <v>0</v>
      </c>
      <c r="AB1356" s="143">
        <f t="shared" si="619"/>
        <v>0</v>
      </c>
      <c r="AC1356" s="133">
        <f t="shared" si="620"/>
        <v>0</v>
      </c>
      <c r="AD1356" s="142">
        <v>1</v>
      </c>
      <c r="AE1356" s="141"/>
      <c r="AF1356" s="121" t="s">
        <v>292</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292</v>
      </c>
      <c r="V1357" s="133">
        <f t="shared" si="617"/>
        <v>0</v>
      </c>
      <c r="W1357" s="133">
        <f>VLOOKUP(U1357,Sheet1!$B$6:$C$45,2,FALSE)*V1357</f>
        <v>0</v>
      </c>
      <c r="X1357" s="141"/>
      <c r="Y1357" s="121" t="s">
        <v>292</v>
      </c>
      <c r="Z1357" s="146">
        <f>VLOOKUP(Takeoffs!Y1357,Sheet1!$B$6:$C$124,2,FALSE)</f>
        <v>0</v>
      </c>
      <c r="AA1357" s="146">
        <f t="shared" si="618"/>
        <v>0</v>
      </c>
      <c r="AB1357" s="143">
        <f t="shared" si="619"/>
        <v>0</v>
      </c>
      <c r="AC1357" s="133">
        <f t="shared" si="620"/>
        <v>0</v>
      </c>
      <c r="AD1357" s="142">
        <v>1</v>
      </c>
      <c r="AE1357" s="141"/>
      <c r="AF1357" s="121" t="s">
        <v>292</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292</v>
      </c>
      <c r="V1358" s="133">
        <f t="shared" si="617"/>
        <v>0</v>
      </c>
      <c r="W1358" s="133">
        <f>VLOOKUP(U1358,Sheet1!$B$6:$C$45,2,FALSE)*V1358</f>
        <v>0</v>
      </c>
      <c r="X1358" s="141"/>
      <c r="Y1358" s="121" t="s">
        <v>292</v>
      </c>
      <c r="Z1358" s="146">
        <f>VLOOKUP(Takeoffs!Y1358,Sheet1!$B$6:$C$124,2,FALSE)</f>
        <v>0</v>
      </c>
      <c r="AA1358" s="146">
        <f t="shared" si="618"/>
        <v>0</v>
      </c>
      <c r="AB1358" s="143">
        <f t="shared" si="619"/>
        <v>0</v>
      </c>
      <c r="AC1358" s="133">
        <f t="shared" si="620"/>
        <v>0</v>
      </c>
      <c r="AD1358" s="142">
        <v>1</v>
      </c>
      <c r="AE1358" s="141"/>
      <c r="AF1358" s="121" t="s">
        <v>292</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292</v>
      </c>
      <c r="V1359" s="133">
        <f t="shared" si="617"/>
        <v>0</v>
      </c>
      <c r="W1359" s="133">
        <f>VLOOKUP(U1359,Sheet1!$B$6:$C$45,2,FALSE)*V1359</f>
        <v>0</v>
      </c>
      <c r="X1359" s="141"/>
      <c r="Y1359" s="121" t="s">
        <v>292</v>
      </c>
      <c r="Z1359" s="146">
        <f>VLOOKUP(Takeoffs!Y1359,Sheet1!$B$6:$C$124,2,FALSE)</f>
        <v>0</v>
      </c>
      <c r="AA1359" s="146">
        <f t="shared" si="618"/>
        <v>0</v>
      </c>
      <c r="AB1359" s="143">
        <f t="shared" si="619"/>
        <v>0</v>
      </c>
      <c r="AC1359" s="133">
        <f t="shared" si="620"/>
        <v>0</v>
      </c>
      <c r="AD1359" s="142">
        <v>1</v>
      </c>
      <c r="AE1359" s="141"/>
      <c r="AF1359" s="121" t="s">
        <v>292</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292</v>
      </c>
      <c r="V1360" s="133">
        <f t="shared" si="617"/>
        <v>0</v>
      </c>
      <c r="W1360" s="133">
        <f>VLOOKUP(U1360,Sheet1!$B$6:$C$45,2,FALSE)*V1360</f>
        <v>0</v>
      </c>
      <c r="X1360" s="141"/>
      <c r="Y1360" s="121" t="s">
        <v>292</v>
      </c>
      <c r="Z1360" s="146">
        <f>VLOOKUP(Takeoffs!Y1360,Sheet1!$B$6:$C$124,2,FALSE)</f>
        <v>0</v>
      </c>
      <c r="AA1360" s="146">
        <f t="shared" si="618"/>
        <v>0</v>
      </c>
      <c r="AB1360" s="143">
        <f t="shared" si="619"/>
        <v>0</v>
      </c>
      <c r="AC1360" s="133">
        <f t="shared" si="620"/>
        <v>0</v>
      </c>
      <c r="AD1360" s="142">
        <v>1</v>
      </c>
      <c r="AE1360" s="141"/>
      <c r="AF1360" s="121" t="s">
        <v>292</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292</v>
      </c>
      <c r="V1361" s="133">
        <f t="shared" si="617"/>
        <v>0</v>
      </c>
      <c r="W1361" s="133">
        <f>VLOOKUP(U1361,Sheet1!$B$6:$C$45,2,FALSE)*V1361</f>
        <v>0</v>
      </c>
      <c r="X1361" s="141"/>
      <c r="Y1361" s="121" t="s">
        <v>292</v>
      </c>
      <c r="Z1361" s="146">
        <f>VLOOKUP(Takeoffs!Y1361,Sheet1!$B$6:$C$124,2,FALSE)</f>
        <v>0</v>
      </c>
      <c r="AA1361" s="146">
        <f t="shared" si="618"/>
        <v>0</v>
      </c>
      <c r="AB1361" s="143">
        <f t="shared" si="619"/>
        <v>0</v>
      </c>
      <c r="AC1361" s="133">
        <f t="shared" si="620"/>
        <v>0</v>
      </c>
      <c r="AD1361" s="142">
        <v>1</v>
      </c>
      <c r="AE1361" s="141"/>
      <c r="AF1361" s="121" t="s">
        <v>292</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292</v>
      </c>
      <c r="V1362" s="133">
        <f t="shared" si="617"/>
        <v>0</v>
      </c>
      <c r="W1362" s="133">
        <f>VLOOKUP(U1362,Sheet1!$B$6:$C$45,2,FALSE)*V1362</f>
        <v>0</v>
      </c>
      <c r="X1362" s="141"/>
      <c r="Y1362" s="121" t="s">
        <v>292</v>
      </c>
      <c r="Z1362" s="146">
        <f>VLOOKUP(Takeoffs!Y1362,Sheet1!$B$6:$C$124,2,FALSE)</f>
        <v>0</v>
      </c>
      <c r="AA1362" s="146">
        <f t="shared" si="618"/>
        <v>0</v>
      </c>
      <c r="AB1362" s="143">
        <f t="shared" si="619"/>
        <v>0</v>
      </c>
      <c r="AC1362" s="133">
        <f t="shared" si="620"/>
        <v>0</v>
      </c>
      <c r="AD1362" s="142">
        <v>1</v>
      </c>
      <c r="AE1362" s="141"/>
      <c r="AF1362" s="121" t="s">
        <v>292</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377</v>
      </c>
      <c r="L1363" s="128" t="s">
        <v>378</v>
      </c>
      <c r="N1363" s="129"/>
      <c r="O1363" s="130" t="s">
        <v>357</v>
      </c>
      <c r="P1363" s="131">
        <f>V1363+AA1363+AH1363</f>
        <v>0</v>
      </c>
      <c r="Q1363" s="131"/>
      <c r="R1363" s="131"/>
      <c r="S1363" s="130"/>
      <c r="T1363" s="127"/>
      <c r="U1363" s="126" t="s">
        <v>351</v>
      </c>
      <c r="V1363" s="127">
        <f>W1363*80</f>
        <v>0</v>
      </c>
      <c r="W1363" s="147">
        <f>SUM(W1342:W1362)</f>
        <v>0</v>
      </c>
      <c r="X1363" s="148"/>
      <c r="Y1363" s="127" t="s">
        <v>352</v>
      </c>
      <c r="Z1363" s="116"/>
      <c r="AA1363" s="116">
        <f>SUM(AA1342:AA1362)</f>
        <v>0</v>
      </c>
      <c r="AB1363" s="149"/>
      <c r="AC1363" s="149"/>
      <c r="AD1363" s="149"/>
      <c r="AE1363" s="149"/>
      <c r="AF1363" s="127" t="s">
        <v>356</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hidden="1" x14ac:dyDescent="0.8">
      <c r="A1364" s="262">
        <f>ROW()</f>
        <v>1364</v>
      </c>
      <c r="B1364" s="234" t="s">
        <v>491</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367</v>
      </c>
      <c r="N1364" s="160" t="str">
        <f>N1342</f>
        <v>Multihead split AC systems (local power supply) - 4 indoor units with wireless controlers</v>
      </c>
      <c r="O1364" s="160" t="s">
        <v>365</v>
      </c>
      <c r="P1364" s="64" t="e">
        <f>P1363/M1342</f>
        <v>#DIV/0!</v>
      </c>
      <c r="Q1364" s="161"/>
      <c r="R1364" s="161"/>
      <c r="S1364" s="160"/>
      <c r="T1364" s="161"/>
      <c r="U1364" s="571" t="s">
        <v>366</v>
      </c>
      <c r="V1364" s="571"/>
      <c r="W1364" s="162" t="e">
        <f>W1363/M1342</f>
        <v>#DIV/0!</v>
      </c>
      <c r="X1364" s="163"/>
      <c r="Y1364" s="570" t="s">
        <v>365</v>
      </c>
      <c r="Z1364" s="570"/>
      <c r="AA1364" s="164" t="e">
        <f>AA1363/M1342</f>
        <v>#DIV/0!</v>
      </c>
      <c r="AB1364" s="161"/>
      <c r="AC1364" s="161"/>
      <c r="AD1364" s="161"/>
      <c r="AE1364" s="161"/>
      <c r="AF1364" s="570" t="s">
        <v>365</v>
      </c>
      <c r="AG1364" s="570"/>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452</v>
      </c>
      <c r="M1365" s="116" t="s">
        <v>298</v>
      </c>
      <c r="N1365" s="116" t="s">
        <v>108</v>
      </c>
      <c r="O1365" s="170" t="s">
        <v>386</v>
      </c>
      <c r="P1365" s="572" t="s">
        <v>375</v>
      </c>
      <c r="Q1365" s="572"/>
      <c r="R1365" s="101" t="s">
        <v>452</v>
      </c>
      <c r="S1365" s="116" t="s">
        <v>0</v>
      </c>
      <c r="T1365" s="118"/>
      <c r="U1365" s="116" t="s">
        <v>287</v>
      </c>
      <c r="V1365" s="116" t="s">
        <v>288</v>
      </c>
      <c r="W1365" s="116" t="s">
        <v>291</v>
      </c>
      <c r="X1365" s="140"/>
      <c r="Y1365" s="116" t="s">
        <v>289</v>
      </c>
      <c r="Z1365" s="116" t="s">
        <v>354</v>
      </c>
      <c r="AA1365" s="116" t="s">
        <v>355</v>
      </c>
      <c r="AB1365" s="116" t="s">
        <v>317</v>
      </c>
      <c r="AC1365" s="116" t="s">
        <v>318</v>
      </c>
      <c r="AD1365" s="116" t="s">
        <v>316</v>
      </c>
      <c r="AE1365" s="140"/>
      <c r="AF1365" s="116" t="s">
        <v>293</v>
      </c>
      <c r="AG1365" s="116" t="s">
        <v>354</v>
      </c>
      <c r="AH1365" s="116" t="s">
        <v>355</v>
      </c>
      <c r="AI1365" s="116" t="s">
        <v>296</v>
      </c>
      <c r="AJ1365" s="116" t="s">
        <v>294</v>
      </c>
      <c r="AK1365" s="116" t="s">
        <v>295</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693</v>
      </c>
      <c r="O1366" s="121" t="s">
        <v>138</v>
      </c>
      <c r="P1366" s="169" t="s">
        <v>379</v>
      </c>
      <c r="Q1366" s="169" t="s">
        <v>375</v>
      </c>
      <c r="R1366" s="169"/>
      <c r="S1366" s="133">
        <f>M1366</f>
        <v>0</v>
      </c>
      <c r="T1366" s="119"/>
      <c r="U1366" s="121" t="s">
        <v>292</v>
      </c>
      <c r="V1366" s="133">
        <f>S1366</f>
        <v>0</v>
      </c>
      <c r="W1366" s="133">
        <f>VLOOKUP(U1366,Sheet1!$B$6:$C$45,2,FALSE)*V1366</f>
        <v>0</v>
      </c>
      <c r="X1366" s="141"/>
      <c r="Y1366" s="121" t="s">
        <v>292</v>
      </c>
      <c r="Z1366" s="146">
        <f>VLOOKUP(Takeoffs!Y1366,Sheet1!$B$6:$C$124,2,FALSE)</f>
        <v>0</v>
      </c>
      <c r="AA1366" s="146">
        <f>Z1366*AB1366</f>
        <v>0</v>
      </c>
      <c r="AB1366" s="143">
        <f>AD1366*AC1366</f>
        <v>0</v>
      </c>
      <c r="AC1366" s="133">
        <f>S1366</f>
        <v>0</v>
      </c>
      <c r="AD1366" s="142">
        <v>1</v>
      </c>
      <c r="AE1366" s="141"/>
      <c r="AF1366" s="121" t="s">
        <v>292</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426</v>
      </c>
      <c r="P1367" s="121"/>
      <c r="Q1367" s="121"/>
      <c r="R1367" s="121"/>
      <c r="S1367" s="133">
        <f>M1366</f>
        <v>0</v>
      </c>
      <c r="T1367" s="120"/>
      <c r="U1367" s="117" t="s">
        <v>364</v>
      </c>
      <c r="V1367" s="133">
        <f t="shared" ref="V1367:V1386" si="632">S1367</f>
        <v>0</v>
      </c>
      <c r="W1367" s="133">
        <f>VLOOKUP(U1367,Sheet1!$B$6:$C$45,2,FALSE)*V1367</f>
        <v>0</v>
      </c>
      <c r="X1367" s="141"/>
      <c r="Y1367" s="121" t="s">
        <v>292</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392</v>
      </c>
      <c r="P1368" s="121"/>
      <c r="Q1368" s="121"/>
      <c r="R1368" s="121"/>
      <c r="S1368" s="133">
        <f>M1366</f>
        <v>0</v>
      </c>
      <c r="T1368" s="120"/>
      <c r="U1368" s="117" t="s">
        <v>302</v>
      </c>
      <c r="V1368" s="133">
        <f t="shared" si="632"/>
        <v>0</v>
      </c>
      <c r="W1368" s="133">
        <f>VLOOKUP(U1368,Sheet1!$B$6:$C$45,2,FALSE)*V1368</f>
        <v>0</v>
      </c>
      <c r="X1368" s="141"/>
      <c r="Y1368" s="121" t="s">
        <v>292</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413</v>
      </c>
      <c r="P1369" s="121"/>
      <c r="Q1369" s="121"/>
      <c r="R1369" s="121"/>
      <c r="S1369" s="133">
        <f>M1366</f>
        <v>0</v>
      </c>
      <c r="T1369" s="120"/>
      <c r="U1369" s="121" t="s">
        <v>292</v>
      </c>
      <c r="V1369" s="133">
        <f t="shared" si="632"/>
        <v>0</v>
      </c>
      <c r="W1369" s="133">
        <f>VLOOKUP(U1369,Sheet1!$B$6:$C$45,2,FALSE)*V1369</f>
        <v>0</v>
      </c>
      <c r="X1369" s="141"/>
      <c r="Y1369" s="121" t="s">
        <v>292</v>
      </c>
      <c r="Z1369" s="146">
        <f>VLOOKUP(Takeoffs!Y1369,Sheet1!$B$6:$C$124,2,FALSE)</f>
        <v>0</v>
      </c>
      <c r="AA1369" s="146">
        <f t="shared" si="633"/>
        <v>0</v>
      </c>
      <c r="AB1369" s="143">
        <f t="shared" si="634"/>
        <v>0</v>
      </c>
      <c r="AC1369" s="133">
        <f t="shared" si="635"/>
        <v>0</v>
      </c>
      <c r="AD1369" s="142">
        <v>2</v>
      </c>
      <c r="AE1369" s="141"/>
      <c r="AF1369" s="121" t="s">
        <v>292</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447</v>
      </c>
      <c r="Q1370" s="121" t="s">
        <v>689</v>
      </c>
      <c r="R1370" s="121"/>
      <c r="S1370" s="133">
        <f>M1366</f>
        <v>0</v>
      </c>
      <c r="T1370" s="120"/>
      <c r="U1370" s="121" t="s">
        <v>292</v>
      </c>
      <c r="V1370" s="133">
        <f t="shared" si="632"/>
        <v>0</v>
      </c>
      <c r="W1370" s="133">
        <f>VLOOKUP(U1370,Sheet1!$B$6:$C$45,2,FALSE)*V1370</f>
        <v>0</v>
      </c>
      <c r="X1370" s="141"/>
      <c r="Y1370" s="121" t="s">
        <v>292</v>
      </c>
      <c r="Z1370" s="146">
        <f>VLOOKUP(Takeoffs!Y1370,Sheet1!$B$6:$C$124,2,FALSE)</f>
        <v>0</v>
      </c>
      <c r="AA1370" s="146">
        <f t="shared" si="633"/>
        <v>0</v>
      </c>
      <c r="AB1370" s="143">
        <f t="shared" si="634"/>
        <v>0</v>
      </c>
      <c r="AC1370" s="133">
        <f t="shared" si="635"/>
        <v>0</v>
      </c>
      <c r="AD1370" s="142">
        <v>1</v>
      </c>
      <c r="AE1370" s="141"/>
      <c r="AF1370" s="121" t="s">
        <v>292</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507</v>
      </c>
      <c r="P1371" s="121" t="s">
        <v>420</v>
      </c>
      <c r="Q1371" s="121" t="s">
        <v>691</v>
      </c>
      <c r="R1371" s="121"/>
      <c r="S1371" s="133">
        <f>M1366</f>
        <v>0</v>
      </c>
      <c r="T1371" s="120"/>
      <c r="U1371" s="121" t="s">
        <v>292</v>
      </c>
      <c r="V1371" s="133">
        <f t="shared" si="632"/>
        <v>0</v>
      </c>
      <c r="W1371" s="133">
        <f>VLOOKUP(U1371,Sheet1!$B$6:$C$45,2,FALSE)*V1371</f>
        <v>0</v>
      </c>
      <c r="X1371" s="141"/>
      <c r="Y1371" s="121" t="s">
        <v>292</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292</v>
      </c>
      <c r="V1372" s="133">
        <f t="shared" si="632"/>
        <v>0</v>
      </c>
      <c r="W1372" s="133">
        <f>VLOOKUP(U1372,Sheet1!$B$6:$C$45,2,FALSE)*V1372</f>
        <v>0</v>
      </c>
      <c r="X1372" s="141"/>
      <c r="Y1372" s="121" t="s">
        <v>292</v>
      </c>
      <c r="Z1372" s="146">
        <f>VLOOKUP(Takeoffs!Y1372,Sheet1!$B$6:$C$124,2,FALSE)</f>
        <v>0</v>
      </c>
      <c r="AA1372" s="146">
        <f t="shared" si="633"/>
        <v>0</v>
      </c>
      <c r="AB1372" s="143">
        <f t="shared" si="634"/>
        <v>0</v>
      </c>
      <c r="AC1372" s="133">
        <f t="shared" si="635"/>
        <v>0</v>
      </c>
      <c r="AD1372" s="142">
        <v>1</v>
      </c>
      <c r="AE1372" s="141"/>
      <c r="AF1372" s="121" t="s">
        <v>292</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292</v>
      </c>
      <c r="V1373" s="133">
        <f t="shared" si="632"/>
        <v>0</v>
      </c>
      <c r="W1373" s="133">
        <f>VLOOKUP(U1373,Sheet1!$B$6:$C$45,2,FALSE)*V1373</f>
        <v>0</v>
      </c>
      <c r="X1373" s="141"/>
      <c r="Y1373" s="121" t="s">
        <v>292</v>
      </c>
      <c r="Z1373" s="146">
        <f>VLOOKUP(Takeoffs!Y1373,Sheet1!$B$6:$C$124,2,FALSE)</f>
        <v>0</v>
      </c>
      <c r="AA1373" s="146">
        <f t="shared" si="633"/>
        <v>0</v>
      </c>
      <c r="AB1373" s="143">
        <f t="shared" si="634"/>
        <v>0</v>
      </c>
      <c r="AC1373" s="133">
        <f t="shared" si="635"/>
        <v>0</v>
      </c>
      <c r="AD1373" s="142">
        <v>1</v>
      </c>
      <c r="AE1373" s="141"/>
      <c r="AF1373" s="121" t="s">
        <v>292</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292</v>
      </c>
      <c r="V1374" s="133">
        <f t="shared" si="632"/>
        <v>0</v>
      </c>
      <c r="W1374" s="133">
        <f>VLOOKUP(U1374,Sheet1!$B$6:$C$45,2,FALSE)*V1374</f>
        <v>0</v>
      </c>
      <c r="X1374" s="141"/>
      <c r="Y1374" s="121" t="s">
        <v>292</v>
      </c>
      <c r="Z1374" s="146">
        <f>VLOOKUP(Takeoffs!Y1374,Sheet1!$B$6:$C$124,2,FALSE)</f>
        <v>0</v>
      </c>
      <c r="AA1374" s="146">
        <f t="shared" si="633"/>
        <v>0</v>
      </c>
      <c r="AB1374" s="143">
        <f t="shared" si="634"/>
        <v>0</v>
      </c>
      <c r="AC1374" s="133">
        <f t="shared" si="635"/>
        <v>0</v>
      </c>
      <c r="AD1374" s="142">
        <v>1</v>
      </c>
      <c r="AE1374" s="141"/>
      <c r="AF1374" s="121" t="s">
        <v>292</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292</v>
      </c>
      <c r="V1375" s="133">
        <f t="shared" si="632"/>
        <v>0</v>
      </c>
      <c r="W1375" s="133">
        <f>VLOOKUP(U1375,Sheet1!$B$6:$C$45,2,FALSE)*V1375</f>
        <v>0</v>
      </c>
      <c r="X1375" s="141"/>
      <c r="Y1375" s="121" t="s">
        <v>292</v>
      </c>
      <c r="Z1375" s="146">
        <f>VLOOKUP(Takeoffs!Y1375,Sheet1!$B$6:$C$124,2,FALSE)</f>
        <v>0</v>
      </c>
      <c r="AA1375" s="146">
        <f t="shared" si="633"/>
        <v>0</v>
      </c>
      <c r="AB1375" s="143">
        <f t="shared" si="634"/>
        <v>0</v>
      </c>
      <c r="AC1375" s="133">
        <f t="shared" si="635"/>
        <v>0</v>
      </c>
      <c r="AD1375" s="142">
        <v>1</v>
      </c>
      <c r="AE1375" s="141"/>
      <c r="AF1375" s="121" t="s">
        <v>292</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292</v>
      </c>
      <c r="V1376" s="133">
        <f t="shared" si="632"/>
        <v>0</v>
      </c>
      <c r="W1376" s="133">
        <f>VLOOKUP(U1376,Sheet1!$B$6:$C$45,2,FALSE)*V1376</f>
        <v>0</v>
      </c>
      <c r="X1376" s="141"/>
      <c r="Y1376" s="121" t="s">
        <v>292</v>
      </c>
      <c r="Z1376" s="146">
        <f>VLOOKUP(Takeoffs!Y1376,Sheet1!$B$6:$C$124,2,FALSE)</f>
        <v>0</v>
      </c>
      <c r="AA1376" s="146">
        <f t="shared" si="633"/>
        <v>0</v>
      </c>
      <c r="AB1376" s="143">
        <f t="shared" si="634"/>
        <v>0</v>
      </c>
      <c r="AC1376" s="133">
        <f t="shared" si="635"/>
        <v>0</v>
      </c>
      <c r="AD1376" s="142">
        <v>1</v>
      </c>
      <c r="AE1376" s="141"/>
      <c r="AF1376" s="121" t="s">
        <v>292</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292</v>
      </c>
      <c r="V1377" s="133">
        <f t="shared" si="632"/>
        <v>0</v>
      </c>
      <c r="W1377" s="133">
        <f>VLOOKUP(U1377,Sheet1!$B$6:$C$45,2,FALSE)*V1377</f>
        <v>0</v>
      </c>
      <c r="X1377" s="141"/>
      <c r="Y1377" s="121" t="s">
        <v>292</v>
      </c>
      <c r="Z1377" s="146">
        <f>VLOOKUP(Takeoffs!Y1377,Sheet1!$B$6:$C$124,2,FALSE)</f>
        <v>0</v>
      </c>
      <c r="AA1377" s="146">
        <f t="shared" si="633"/>
        <v>0</v>
      </c>
      <c r="AB1377" s="143">
        <f t="shared" si="634"/>
        <v>0</v>
      </c>
      <c r="AC1377" s="133">
        <f t="shared" si="635"/>
        <v>0</v>
      </c>
      <c r="AD1377" s="142">
        <v>1</v>
      </c>
      <c r="AE1377" s="141"/>
      <c r="AF1377" s="121" t="s">
        <v>292</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292</v>
      </c>
      <c r="V1378" s="133">
        <f t="shared" si="632"/>
        <v>0</v>
      </c>
      <c r="W1378" s="133">
        <f>VLOOKUP(U1378,Sheet1!$B$6:$C$45,2,FALSE)*V1378</f>
        <v>0</v>
      </c>
      <c r="X1378" s="141"/>
      <c r="Y1378" s="121" t="s">
        <v>292</v>
      </c>
      <c r="Z1378" s="146">
        <f>VLOOKUP(Takeoffs!Y1378,Sheet1!$B$6:$C$124,2,FALSE)</f>
        <v>0</v>
      </c>
      <c r="AA1378" s="146">
        <f t="shared" si="633"/>
        <v>0</v>
      </c>
      <c r="AB1378" s="143">
        <f t="shared" si="634"/>
        <v>0</v>
      </c>
      <c r="AC1378" s="133">
        <f t="shared" si="635"/>
        <v>0</v>
      </c>
      <c r="AD1378" s="142">
        <v>1</v>
      </c>
      <c r="AE1378" s="141"/>
      <c r="AF1378" s="121" t="s">
        <v>292</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292</v>
      </c>
      <c r="V1379" s="133">
        <f t="shared" si="632"/>
        <v>0</v>
      </c>
      <c r="W1379" s="133">
        <f>VLOOKUP(U1379,Sheet1!$B$6:$C$45,2,FALSE)*V1379</f>
        <v>0</v>
      </c>
      <c r="X1379" s="141"/>
      <c r="Y1379" s="121" t="s">
        <v>292</v>
      </c>
      <c r="Z1379" s="146">
        <f>VLOOKUP(Takeoffs!Y1379,Sheet1!$B$6:$C$124,2,FALSE)</f>
        <v>0</v>
      </c>
      <c r="AA1379" s="146">
        <f t="shared" si="633"/>
        <v>0</v>
      </c>
      <c r="AB1379" s="143">
        <f t="shared" si="634"/>
        <v>0</v>
      </c>
      <c r="AC1379" s="133">
        <f t="shared" si="635"/>
        <v>0</v>
      </c>
      <c r="AD1379" s="142">
        <v>1</v>
      </c>
      <c r="AE1379" s="141"/>
      <c r="AF1379" s="121" t="s">
        <v>292</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292</v>
      </c>
      <c r="V1380" s="133">
        <f t="shared" si="632"/>
        <v>0</v>
      </c>
      <c r="W1380" s="133">
        <f>VLOOKUP(U1380,Sheet1!$B$6:$C$45,2,FALSE)*V1380</f>
        <v>0</v>
      </c>
      <c r="X1380" s="141"/>
      <c r="Y1380" s="121" t="s">
        <v>292</v>
      </c>
      <c r="Z1380" s="146">
        <f>VLOOKUP(Takeoffs!Y1380,Sheet1!$B$6:$C$124,2,FALSE)</f>
        <v>0</v>
      </c>
      <c r="AA1380" s="146">
        <f t="shared" si="633"/>
        <v>0</v>
      </c>
      <c r="AB1380" s="143">
        <f t="shared" si="634"/>
        <v>0</v>
      </c>
      <c r="AC1380" s="133">
        <f t="shared" si="635"/>
        <v>0</v>
      </c>
      <c r="AD1380" s="142">
        <v>1</v>
      </c>
      <c r="AE1380" s="141"/>
      <c r="AF1380" s="121" t="s">
        <v>292</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292</v>
      </c>
      <c r="V1381" s="133">
        <f t="shared" si="632"/>
        <v>0</v>
      </c>
      <c r="W1381" s="133">
        <f>VLOOKUP(U1381,Sheet1!$B$6:$C$45,2,FALSE)*V1381</f>
        <v>0</v>
      </c>
      <c r="X1381" s="141"/>
      <c r="Y1381" s="121" t="s">
        <v>292</v>
      </c>
      <c r="Z1381" s="146">
        <f>VLOOKUP(Takeoffs!Y1381,Sheet1!$B$6:$C$124,2,FALSE)</f>
        <v>0</v>
      </c>
      <c r="AA1381" s="146">
        <f t="shared" si="633"/>
        <v>0</v>
      </c>
      <c r="AB1381" s="143">
        <f t="shared" si="634"/>
        <v>0</v>
      </c>
      <c r="AC1381" s="133">
        <f t="shared" si="635"/>
        <v>0</v>
      </c>
      <c r="AD1381" s="142">
        <v>1</v>
      </c>
      <c r="AE1381" s="141"/>
      <c r="AF1381" s="121" t="s">
        <v>292</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292</v>
      </c>
      <c r="V1382" s="133">
        <f t="shared" si="632"/>
        <v>0</v>
      </c>
      <c r="W1382" s="133">
        <f>VLOOKUP(U1382,Sheet1!$B$6:$C$45,2,FALSE)*V1382</f>
        <v>0</v>
      </c>
      <c r="X1382" s="141"/>
      <c r="Y1382" s="121" t="s">
        <v>292</v>
      </c>
      <c r="Z1382" s="146">
        <f>VLOOKUP(Takeoffs!Y1382,Sheet1!$B$6:$C$124,2,FALSE)</f>
        <v>0</v>
      </c>
      <c r="AA1382" s="146">
        <f t="shared" si="633"/>
        <v>0</v>
      </c>
      <c r="AB1382" s="143">
        <f t="shared" si="634"/>
        <v>0</v>
      </c>
      <c r="AC1382" s="133">
        <f t="shared" si="635"/>
        <v>0</v>
      </c>
      <c r="AD1382" s="142">
        <v>1</v>
      </c>
      <c r="AE1382" s="141"/>
      <c r="AF1382" s="121" t="s">
        <v>292</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292</v>
      </c>
      <c r="V1383" s="133">
        <f t="shared" si="632"/>
        <v>0</v>
      </c>
      <c r="W1383" s="133">
        <f>VLOOKUP(U1383,Sheet1!$B$6:$C$45,2,FALSE)*V1383</f>
        <v>0</v>
      </c>
      <c r="X1383" s="141"/>
      <c r="Y1383" s="121" t="s">
        <v>292</v>
      </c>
      <c r="Z1383" s="146">
        <f>VLOOKUP(Takeoffs!Y1383,Sheet1!$B$6:$C$124,2,FALSE)</f>
        <v>0</v>
      </c>
      <c r="AA1383" s="146">
        <f t="shared" si="633"/>
        <v>0</v>
      </c>
      <c r="AB1383" s="143">
        <f t="shared" si="634"/>
        <v>0</v>
      </c>
      <c r="AC1383" s="133">
        <f t="shared" si="635"/>
        <v>0</v>
      </c>
      <c r="AD1383" s="142">
        <v>1</v>
      </c>
      <c r="AE1383" s="141"/>
      <c r="AF1383" s="121" t="s">
        <v>292</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292</v>
      </c>
      <c r="V1384" s="133">
        <f t="shared" si="632"/>
        <v>0</v>
      </c>
      <c r="W1384" s="133">
        <f>VLOOKUP(U1384,Sheet1!$B$6:$C$45,2,FALSE)*V1384</f>
        <v>0</v>
      </c>
      <c r="X1384" s="141"/>
      <c r="Y1384" s="121" t="s">
        <v>292</v>
      </c>
      <c r="Z1384" s="146">
        <f>VLOOKUP(Takeoffs!Y1384,Sheet1!$B$6:$C$124,2,FALSE)</f>
        <v>0</v>
      </c>
      <c r="AA1384" s="146">
        <f t="shared" si="633"/>
        <v>0</v>
      </c>
      <c r="AB1384" s="143">
        <f t="shared" si="634"/>
        <v>0</v>
      </c>
      <c r="AC1384" s="133">
        <f t="shared" si="635"/>
        <v>0</v>
      </c>
      <c r="AD1384" s="142">
        <v>1</v>
      </c>
      <c r="AE1384" s="141"/>
      <c r="AF1384" s="121" t="s">
        <v>292</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292</v>
      </c>
      <c r="V1385" s="133">
        <f t="shared" si="632"/>
        <v>0</v>
      </c>
      <c r="W1385" s="133">
        <f>VLOOKUP(U1385,Sheet1!$B$6:$C$45,2,FALSE)*V1385</f>
        <v>0</v>
      </c>
      <c r="X1385" s="141"/>
      <c r="Y1385" s="121" t="s">
        <v>292</v>
      </c>
      <c r="Z1385" s="146">
        <f>VLOOKUP(Takeoffs!Y1385,Sheet1!$B$6:$C$124,2,FALSE)</f>
        <v>0</v>
      </c>
      <c r="AA1385" s="146">
        <f t="shared" si="633"/>
        <v>0</v>
      </c>
      <c r="AB1385" s="143">
        <f t="shared" si="634"/>
        <v>0</v>
      </c>
      <c r="AC1385" s="133">
        <f t="shared" si="635"/>
        <v>0</v>
      </c>
      <c r="AD1385" s="142">
        <v>1</v>
      </c>
      <c r="AE1385" s="141"/>
      <c r="AF1385" s="121" t="s">
        <v>292</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292</v>
      </c>
      <c r="V1386" s="133">
        <f t="shared" si="632"/>
        <v>0</v>
      </c>
      <c r="W1386" s="133">
        <f>VLOOKUP(U1386,Sheet1!$B$6:$C$45,2,FALSE)*V1386</f>
        <v>0</v>
      </c>
      <c r="X1386" s="141"/>
      <c r="Y1386" s="121" t="s">
        <v>292</v>
      </c>
      <c r="Z1386" s="146">
        <f>VLOOKUP(Takeoffs!Y1386,Sheet1!$B$6:$C$124,2,FALSE)</f>
        <v>0</v>
      </c>
      <c r="AA1386" s="146">
        <f t="shared" si="633"/>
        <v>0</v>
      </c>
      <c r="AB1386" s="143">
        <f t="shared" si="634"/>
        <v>0</v>
      </c>
      <c r="AC1386" s="133">
        <f t="shared" si="635"/>
        <v>0</v>
      </c>
      <c r="AD1386" s="142">
        <v>1</v>
      </c>
      <c r="AE1386" s="141"/>
      <c r="AF1386" s="121" t="s">
        <v>292</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377</v>
      </c>
      <c r="L1387" s="128" t="s">
        <v>378</v>
      </c>
      <c r="N1387" s="129"/>
      <c r="O1387" s="130" t="s">
        <v>357</v>
      </c>
      <c r="P1387" s="131">
        <f>V1387+AA1387+AH1387</f>
        <v>0</v>
      </c>
      <c r="Q1387" s="131"/>
      <c r="R1387" s="131"/>
      <c r="S1387" s="130"/>
      <c r="T1387" s="127"/>
      <c r="U1387" s="126" t="s">
        <v>351</v>
      </c>
      <c r="V1387" s="127">
        <f>W1387*80</f>
        <v>0</v>
      </c>
      <c r="W1387" s="147">
        <f>SUM(W1366:W1386)</f>
        <v>0</v>
      </c>
      <c r="X1387" s="148"/>
      <c r="Y1387" s="127" t="s">
        <v>352</v>
      </c>
      <c r="Z1387" s="116"/>
      <c r="AA1387" s="116">
        <f>SUM(AA1366:AA1386)</f>
        <v>0</v>
      </c>
      <c r="AB1387" s="149"/>
      <c r="AC1387" s="149"/>
      <c r="AD1387" s="149"/>
      <c r="AE1387" s="149"/>
      <c r="AF1387" s="127" t="s">
        <v>356</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hidden="1" x14ac:dyDescent="0.8">
      <c r="A1388" s="262">
        <f>ROW()</f>
        <v>1388</v>
      </c>
      <c r="B1388" s="234" t="s">
        <v>491</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367</v>
      </c>
      <c r="N1388" s="160" t="str">
        <f>N1366</f>
        <v>Multihead split AC systems (local power supply) - 3 indoor units with wireless controlers</v>
      </c>
      <c r="O1388" s="160" t="s">
        <v>365</v>
      </c>
      <c r="P1388" s="64" t="e">
        <f>P1387/M1366</f>
        <v>#DIV/0!</v>
      </c>
      <c r="Q1388" s="161"/>
      <c r="R1388" s="161"/>
      <c r="S1388" s="160"/>
      <c r="T1388" s="161"/>
      <c r="U1388" s="571" t="s">
        <v>366</v>
      </c>
      <c r="V1388" s="571"/>
      <c r="W1388" s="162" t="e">
        <f>W1387/M1366</f>
        <v>#DIV/0!</v>
      </c>
      <c r="X1388" s="163"/>
      <c r="Y1388" s="570" t="s">
        <v>365</v>
      </c>
      <c r="Z1388" s="570"/>
      <c r="AA1388" s="164" t="e">
        <f>AA1387/M1366</f>
        <v>#DIV/0!</v>
      </c>
      <c r="AB1388" s="161"/>
      <c r="AC1388" s="161"/>
      <c r="AD1388" s="161"/>
      <c r="AE1388" s="161"/>
      <c r="AF1388" s="570" t="s">
        <v>365</v>
      </c>
      <c r="AG1388" s="570"/>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452</v>
      </c>
      <c r="M1389" s="116" t="s">
        <v>298</v>
      </c>
      <c r="N1389" s="116" t="s">
        <v>108</v>
      </c>
      <c r="O1389" s="170" t="s">
        <v>386</v>
      </c>
      <c r="P1389" s="572" t="s">
        <v>375</v>
      </c>
      <c r="Q1389" s="572"/>
      <c r="R1389" s="101" t="s">
        <v>452</v>
      </c>
      <c r="S1389" s="116" t="s">
        <v>0</v>
      </c>
      <c r="T1389" s="118"/>
      <c r="U1389" s="116" t="s">
        <v>287</v>
      </c>
      <c r="V1389" s="116" t="s">
        <v>288</v>
      </c>
      <c r="W1389" s="116" t="s">
        <v>291</v>
      </c>
      <c r="X1389" s="140"/>
      <c r="Y1389" s="116" t="s">
        <v>289</v>
      </c>
      <c r="Z1389" s="116" t="s">
        <v>354</v>
      </c>
      <c r="AA1389" s="116" t="s">
        <v>355</v>
      </c>
      <c r="AB1389" s="116" t="s">
        <v>317</v>
      </c>
      <c r="AC1389" s="116" t="s">
        <v>318</v>
      </c>
      <c r="AD1389" s="116" t="s">
        <v>316</v>
      </c>
      <c r="AE1389" s="140"/>
      <c r="AF1389" s="116" t="s">
        <v>293</v>
      </c>
      <c r="AG1389" s="116" t="s">
        <v>354</v>
      </c>
      <c r="AH1389" s="116" t="s">
        <v>355</v>
      </c>
      <c r="AI1389" s="116" t="s">
        <v>296</v>
      </c>
      <c r="AJ1389" s="116" t="s">
        <v>294</v>
      </c>
      <c r="AK1389" s="116" t="s">
        <v>295</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692</v>
      </c>
      <c r="O1390" s="121" t="s">
        <v>138</v>
      </c>
      <c r="P1390" s="169" t="s">
        <v>379</v>
      </c>
      <c r="Q1390" s="169" t="s">
        <v>375</v>
      </c>
      <c r="R1390" s="169"/>
      <c r="S1390" s="133">
        <f>M1390</f>
        <v>0</v>
      </c>
      <c r="T1390" s="119"/>
      <c r="U1390" s="121" t="s">
        <v>292</v>
      </c>
      <c r="V1390" s="133">
        <f>S1390</f>
        <v>0</v>
      </c>
      <c r="W1390" s="133">
        <f>VLOOKUP(U1390,Sheet1!$B$6:$C$45,2,FALSE)*V1390</f>
        <v>0</v>
      </c>
      <c r="X1390" s="141"/>
      <c r="Y1390" s="121" t="s">
        <v>292</v>
      </c>
      <c r="Z1390" s="146">
        <f>VLOOKUP(Takeoffs!Y1390,Sheet1!$B$6:$C$124,2,FALSE)</f>
        <v>0</v>
      </c>
      <c r="AA1390" s="146">
        <f>Z1390*AB1390</f>
        <v>0</v>
      </c>
      <c r="AB1390" s="143">
        <f>AD1390*AC1390</f>
        <v>0</v>
      </c>
      <c r="AC1390" s="133">
        <f>S1390</f>
        <v>0</v>
      </c>
      <c r="AD1390" s="142">
        <v>1</v>
      </c>
      <c r="AE1390" s="141"/>
      <c r="AF1390" s="121" t="s">
        <v>292</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426</v>
      </c>
      <c r="P1391" s="121"/>
      <c r="Q1391" s="121"/>
      <c r="R1391" s="121"/>
      <c r="S1391" s="133">
        <f>M1390</f>
        <v>0</v>
      </c>
      <c r="T1391" s="120"/>
      <c r="U1391" s="117" t="s">
        <v>600</v>
      </c>
      <c r="V1391" s="133">
        <f t="shared" ref="V1391:V1410" si="642">S1391</f>
        <v>0</v>
      </c>
      <c r="W1391" s="133">
        <f>VLOOKUP(U1391,Sheet1!$B$6:$C$45,2,FALSE)*V1391</f>
        <v>0</v>
      </c>
      <c r="X1391" s="141"/>
      <c r="Y1391" s="121" t="s">
        <v>292</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392</v>
      </c>
      <c r="P1392" s="121"/>
      <c r="Q1392" s="121"/>
      <c r="R1392" s="121"/>
      <c r="S1392" s="133">
        <f>M1390</f>
        <v>0</v>
      </c>
      <c r="T1392" s="120"/>
      <c r="U1392" s="117" t="s">
        <v>302</v>
      </c>
      <c r="V1392" s="133">
        <f t="shared" si="642"/>
        <v>0</v>
      </c>
      <c r="W1392" s="133">
        <f>VLOOKUP(U1392,Sheet1!$B$6:$C$45,2,FALSE)*V1392</f>
        <v>0</v>
      </c>
      <c r="X1392" s="141"/>
      <c r="Y1392" s="121" t="s">
        <v>292</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413</v>
      </c>
      <c r="P1393" s="121"/>
      <c r="Q1393" s="121"/>
      <c r="R1393" s="121"/>
      <c r="S1393" s="133">
        <f>M1390</f>
        <v>0</v>
      </c>
      <c r="T1393" s="120"/>
      <c r="U1393" s="121" t="s">
        <v>292</v>
      </c>
      <c r="V1393" s="133">
        <f t="shared" si="642"/>
        <v>0</v>
      </c>
      <c r="W1393" s="133">
        <f>VLOOKUP(U1393,Sheet1!$B$6:$C$45,2,FALSE)*V1393</f>
        <v>0</v>
      </c>
      <c r="X1393" s="141"/>
      <c r="Y1393" s="121" t="s">
        <v>292</v>
      </c>
      <c r="Z1393" s="146">
        <f>VLOOKUP(Takeoffs!Y1393,Sheet1!$B$6:$C$124,2,FALSE)</f>
        <v>0</v>
      </c>
      <c r="AA1393" s="146">
        <f t="shared" si="643"/>
        <v>0</v>
      </c>
      <c r="AB1393" s="143">
        <f t="shared" si="644"/>
        <v>0</v>
      </c>
      <c r="AC1393" s="133">
        <f t="shared" si="645"/>
        <v>0</v>
      </c>
      <c r="AD1393" s="142">
        <v>2</v>
      </c>
      <c r="AE1393" s="141"/>
      <c r="AF1393" s="121" t="s">
        <v>292</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447</v>
      </c>
      <c r="Q1394" s="121" t="s">
        <v>689</v>
      </c>
      <c r="R1394" s="121"/>
      <c r="S1394" s="133">
        <f>M1390</f>
        <v>0</v>
      </c>
      <c r="T1394" s="120"/>
      <c r="U1394" s="121" t="s">
        <v>292</v>
      </c>
      <c r="V1394" s="133">
        <f t="shared" si="642"/>
        <v>0</v>
      </c>
      <c r="W1394" s="133">
        <f>VLOOKUP(U1394,Sheet1!$B$6:$C$45,2,FALSE)*V1394</f>
        <v>0</v>
      </c>
      <c r="X1394" s="141"/>
      <c r="Y1394" s="121" t="s">
        <v>292</v>
      </c>
      <c r="Z1394" s="146">
        <f>VLOOKUP(Takeoffs!Y1394,Sheet1!$B$6:$C$124,2,FALSE)</f>
        <v>0</v>
      </c>
      <c r="AA1394" s="146">
        <f t="shared" si="643"/>
        <v>0</v>
      </c>
      <c r="AB1394" s="143">
        <f t="shared" si="644"/>
        <v>0</v>
      </c>
      <c r="AC1394" s="133">
        <f t="shared" si="645"/>
        <v>0</v>
      </c>
      <c r="AD1394" s="142">
        <v>1</v>
      </c>
      <c r="AE1394" s="141"/>
      <c r="AF1394" s="121" t="s">
        <v>292</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507</v>
      </c>
      <c r="P1395" s="121" t="s">
        <v>420</v>
      </c>
      <c r="Q1395" s="121" t="s">
        <v>691</v>
      </c>
      <c r="R1395" s="121"/>
      <c r="S1395" s="133">
        <f>M1390</f>
        <v>0</v>
      </c>
      <c r="T1395" s="120"/>
      <c r="U1395" s="121" t="s">
        <v>292</v>
      </c>
      <c r="V1395" s="133">
        <f t="shared" si="642"/>
        <v>0</v>
      </c>
      <c r="W1395" s="133">
        <f>VLOOKUP(U1395,Sheet1!$B$6:$C$45,2,FALSE)*V1395</f>
        <v>0</v>
      </c>
      <c r="X1395" s="141"/>
      <c r="Y1395" s="121" t="s">
        <v>292</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292</v>
      </c>
      <c r="V1396" s="133">
        <f t="shared" si="642"/>
        <v>0</v>
      </c>
      <c r="W1396" s="133">
        <f>VLOOKUP(U1396,Sheet1!$B$6:$C$45,2,FALSE)*V1396</f>
        <v>0</v>
      </c>
      <c r="X1396" s="141"/>
      <c r="Y1396" s="121" t="s">
        <v>292</v>
      </c>
      <c r="Z1396" s="146">
        <f>VLOOKUP(Takeoffs!Y1396,Sheet1!$B$6:$C$124,2,FALSE)</f>
        <v>0</v>
      </c>
      <c r="AA1396" s="146">
        <f t="shared" si="643"/>
        <v>0</v>
      </c>
      <c r="AB1396" s="143">
        <f t="shared" si="644"/>
        <v>0</v>
      </c>
      <c r="AC1396" s="133">
        <f t="shared" si="645"/>
        <v>0</v>
      </c>
      <c r="AD1396" s="142">
        <v>1</v>
      </c>
      <c r="AE1396" s="141"/>
      <c r="AF1396" s="121" t="s">
        <v>292</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292</v>
      </c>
      <c r="V1397" s="133">
        <f t="shared" si="642"/>
        <v>0</v>
      </c>
      <c r="W1397" s="133">
        <f>VLOOKUP(U1397,Sheet1!$B$6:$C$45,2,FALSE)*V1397</f>
        <v>0</v>
      </c>
      <c r="X1397" s="141"/>
      <c r="Y1397" s="121" t="s">
        <v>292</v>
      </c>
      <c r="Z1397" s="146">
        <f>VLOOKUP(Takeoffs!Y1397,Sheet1!$B$6:$C$124,2,FALSE)</f>
        <v>0</v>
      </c>
      <c r="AA1397" s="146">
        <f t="shared" si="643"/>
        <v>0</v>
      </c>
      <c r="AB1397" s="143">
        <f t="shared" si="644"/>
        <v>0</v>
      </c>
      <c r="AC1397" s="133">
        <f t="shared" si="645"/>
        <v>0</v>
      </c>
      <c r="AD1397" s="142">
        <v>1</v>
      </c>
      <c r="AE1397" s="141"/>
      <c r="AF1397" s="121" t="s">
        <v>292</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292</v>
      </c>
      <c r="V1398" s="133">
        <f t="shared" si="642"/>
        <v>0</v>
      </c>
      <c r="W1398" s="133">
        <f>VLOOKUP(U1398,Sheet1!$B$6:$C$45,2,FALSE)*V1398</f>
        <v>0</v>
      </c>
      <c r="X1398" s="141"/>
      <c r="Y1398" s="121" t="s">
        <v>292</v>
      </c>
      <c r="Z1398" s="146">
        <f>VLOOKUP(Takeoffs!Y1398,Sheet1!$B$6:$C$124,2,FALSE)</f>
        <v>0</v>
      </c>
      <c r="AA1398" s="146">
        <f t="shared" si="643"/>
        <v>0</v>
      </c>
      <c r="AB1398" s="143">
        <f t="shared" si="644"/>
        <v>0</v>
      </c>
      <c r="AC1398" s="133">
        <f t="shared" si="645"/>
        <v>0</v>
      </c>
      <c r="AD1398" s="142">
        <v>1</v>
      </c>
      <c r="AE1398" s="141"/>
      <c r="AF1398" s="121" t="s">
        <v>292</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292</v>
      </c>
      <c r="V1399" s="133">
        <f t="shared" si="642"/>
        <v>0</v>
      </c>
      <c r="W1399" s="133">
        <f>VLOOKUP(U1399,Sheet1!$B$6:$C$45,2,FALSE)*V1399</f>
        <v>0</v>
      </c>
      <c r="X1399" s="141"/>
      <c r="Y1399" s="121" t="s">
        <v>292</v>
      </c>
      <c r="Z1399" s="146">
        <f>VLOOKUP(Takeoffs!Y1399,Sheet1!$B$6:$C$124,2,FALSE)</f>
        <v>0</v>
      </c>
      <c r="AA1399" s="146">
        <f t="shared" si="643"/>
        <v>0</v>
      </c>
      <c r="AB1399" s="143">
        <f t="shared" si="644"/>
        <v>0</v>
      </c>
      <c r="AC1399" s="133">
        <f t="shared" si="645"/>
        <v>0</v>
      </c>
      <c r="AD1399" s="142">
        <v>1</v>
      </c>
      <c r="AE1399" s="141"/>
      <c r="AF1399" s="121" t="s">
        <v>292</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292</v>
      </c>
      <c r="V1400" s="133">
        <f t="shared" si="642"/>
        <v>0</v>
      </c>
      <c r="W1400" s="133">
        <f>VLOOKUP(U1400,Sheet1!$B$6:$C$45,2,FALSE)*V1400</f>
        <v>0</v>
      </c>
      <c r="X1400" s="141"/>
      <c r="Y1400" s="121" t="s">
        <v>292</v>
      </c>
      <c r="Z1400" s="146">
        <f>VLOOKUP(Takeoffs!Y1400,Sheet1!$B$6:$C$124,2,FALSE)</f>
        <v>0</v>
      </c>
      <c r="AA1400" s="146">
        <f t="shared" si="643"/>
        <v>0</v>
      </c>
      <c r="AB1400" s="143">
        <f t="shared" si="644"/>
        <v>0</v>
      </c>
      <c r="AC1400" s="133">
        <f t="shared" si="645"/>
        <v>0</v>
      </c>
      <c r="AD1400" s="142">
        <v>1</v>
      </c>
      <c r="AE1400" s="141"/>
      <c r="AF1400" s="121" t="s">
        <v>292</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292</v>
      </c>
      <c r="V1401" s="133">
        <f t="shared" si="642"/>
        <v>0</v>
      </c>
      <c r="W1401" s="133">
        <f>VLOOKUP(U1401,Sheet1!$B$6:$C$45,2,FALSE)*V1401</f>
        <v>0</v>
      </c>
      <c r="X1401" s="141"/>
      <c r="Y1401" s="121" t="s">
        <v>292</v>
      </c>
      <c r="Z1401" s="146">
        <f>VLOOKUP(Takeoffs!Y1401,Sheet1!$B$6:$C$124,2,FALSE)</f>
        <v>0</v>
      </c>
      <c r="AA1401" s="146">
        <f t="shared" si="643"/>
        <v>0</v>
      </c>
      <c r="AB1401" s="143">
        <f t="shared" si="644"/>
        <v>0</v>
      </c>
      <c r="AC1401" s="133">
        <f t="shared" si="645"/>
        <v>0</v>
      </c>
      <c r="AD1401" s="142">
        <v>1</v>
      </c>
      <c r="AE1401" s="141"/>
      <c r="AF1401" s="121" t="s">
        <v>292</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292</v>
      </c>
      <c r="V1402" s="133">
        <f t="shared" si="642"/>
        <v>0</v>
      </c>
      <c r="W1402" s="133">
        <f>VLOOKUP(U1402,Sheet1!$B$6:$C$45,2,FALSE)*V1402</f>
        <v>0</v>
      </c>
      <c r="X1402" s="141"/>
      <c r="Y1402" s="121" t="s">
        <v>292</v>
      </c>
      <c r="Z1402" s="146">
        <f>VLOOKUP(Takeoffs!Y1402,Sheet1!$B$6:$C$124,2,FALSE)</f>
        <v>0</v>
      </c>
      <c r="AA1402" s="146">
        <f t="shared" si="643"/>
        <v>0</v>
      </c>
      <c r="AB1402" s="143">
        <f t="shared" si="644"/>
        <v>0</v>
      </c>
      <c r="AC1402" s="133">
        <f t="shared" si="645"/>
        <v>0</v>
      </c>
      <c r="AD1402" s="142">
        <v>1</v>
      </c>
      <c r="AE1402" s="141"/>
      <c r="AF1402" s="121" t="s">
        <v>292</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292</v>
      </c>
      <c r="V1403" s="133">
        <f t="shared" si="642"/>
        <v>0</v>
      </c>
      <c r="W1403" s="133">
        <f>VLOOKUP(U1403,Sheet1!$B$6:$C$45,2,FALSE)*V1403</f>
        <v>0</v>
      </c>
      <c r="X1403" s="141"/>
      <c r="Y1403" s="121" t="s">
        <v>292</v>
      </c>
      <c r="Z1403" s="146">
        <f>VLOOKUP(Takeoffs!Y1403,Sheet1!$B$6:$C$124,2,FALSE)</f>
        <v>0</v>
      </c>
      <c r="AA1403" s="146">
        <f t="shared" si="643"/>
        <v>0</v>
      </c>
      <c r="AB1403" s="143">
        <f t="shared" si="644"/>
        <v>0</v>
      </c>
      <c r="AC1403" s="133">
        <f t="shared" si="645"/>
        <v>0</v>
      </c>
      <c r="AD1403" s="142">
        <v>1</v>
      </c>
      <c r="AE1403" s="141"/>
      <c r="AF1403" s="121" t="s">
        <v>292</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292</v>
      </c>
      <c r="V1404" s="133">
        <f t="shared" si="642"/>
        <v>0</v>
      </c>
      <c r="W1404" s="133">
        <f>VLOOKUP(U1404,Sheet1!$B$6:$C$45,2,FALSE)*V1404</f>
        <v>0</v>
      </c>
      <c r="X1404" s="141"/>
      <c r="Y1404" s="121" t="s">
        <v>292</v>
      </c>
      <c r="Z1404" s="146">
        <f>VLOOKUP(Takeoffs!Y1404,Sheet1!$B$6:$C$124,2,FALSE)</f>
        <v>0</v>
      </c>
      <c r="AA1404" s="146">
        <f t="shared" si="643"/>
        <v>0</v>
      </c>
      <c r="AB1404" s="143">
        <f t="shared" si="644"/>
        <v>0</v>
      </c>
      <c r="AC1404" s="133">
        <f t="shared" si="645"/>
        <v>0</v>
      </c>
      <c r="AD1404" s="142">
        <v>1</v>
      </c>
      <c r="AE1404" s="141"/>
      <c r="AF1404" s="121" t="s">
        <v>292</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292</v>
      </c>
      <c r="V1405" s="133">
        <f t="shared" si="642"/>
        <v>0</v>
      </c>
      <c r="W1405" s="133">
        <f>VLOOKUP(U1405,Sheet1!$B$6:$C$45,2,FALSE)*V1405</f>
        <v>0</v>
      </c>
      <c r="X1405" s="141"/>
      <c r="Y1405" s="121" t="s">
        <v>292</v>
      </c>
      <c r="Z1405" s="146">
        <f>VLOOKUP(Takeoffs!Y1405,Sheet1!$B$6:$C$124,2,FALSE)</f>
        <v>0</v>
      </c>
      <c r="AA1405" s="146">
        <f t="shared" si="643"/>
        <v>0</v>
      </c>
      <c r="AB1405" s="143">
        <f t="shared" si="644"/>
        <v>0</v>
      </c>
      <c r="AC1405" s="133">
        <f t="shared" si="645"/>
        <v>0</v>
      </c>
      <c r="AD1405" s="142">
        <v>1</v>
      </c>
      <c r="AE1405" s="141"/>
      <c r="AF1405" s="121" t="s">
        <v>292</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292</v>
      </c>
      <c r="V1406" s="133">
        <f t="shared" si="642"/>
        <v>0</v>
      </c>
      <c r="W1406" s="133">
        <f>VLOOKUP(U1406,Sheet1!$B$6:$C$45,2,FALSE)*V1406</f>
        <v>0</v>
      </c>
      <c r="X1406" s="141"/>
      <c r="Y1406" s="121" t="s">
        <v>292</v>
      </c>
      <c r="Z1406" s="146">
        <f>VLOOKUP(Takeoffs!Y1406,Sheet1!$B$6:$C$124,2,FALSE)</f>
        <v>0</v>
      </c>
      <c r="AA1406" s="146">
        <f t="shared" si="643"/>
        <v>0</v>
      </c>
      <c r="AB1406" s="143">
        <f t="shared" si="644"/>
        <v>0</v>
      </c>
      <c r="AC1406" s="133">
        <f t="shared" si="645"/>
        <v>0</v>
      </c>
      <c r="AD1406" s="142">
        <v>1</v>
      </c>
      <c r="AE1406" s="141"/>
      <c r="AF1406" s="121" t="s">
        <v>292</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292</v>
      </c>
      <c r="V1407" s="133">
        <f t="shared" si="642"/>
        <v>0</v>
      </c>
      <c r="W1407" s="133">
        <f>VLOOKUP(U1407,Sheet1!$B$6:$C$45,2,FALSE)*V1407</f>
        <v>0</v>
      </c>
      <c r="X1407" s="141"/>
      <c r="Y1407" s="121" t="s">
        <v>292</v>
      </c>
      <c r="Z1407" s="146">
        <f>VLOOKUP(Takeoffs!Y1407,Sheet1!$B$6:$C$124,2,FALSE)</f>
        <v>0</v>
      </c>
      <c r="AA1407" s="146">
        <f t="shared" si="643"/>
        <v>0</v>
      </c>
      <c r="AB1407" s="143">
        <f t="shared" si="644"/>
        <v>0</v>
      </c>
      <c r="AC1407" s="133">
        <f t="shared" si="645"/>
        <v>0</v>
      </c>
      <c r="AD1407" s="142">
        <v>1</v>
      </c>
      <c r="AE1407" s="141"/>
      <c r="AF1407" s="121" t="s">
        <v>292</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292</v>
      </c>
      <c r="V1408" s="133">
        <f t="shared" si="642"/>
        <v>0</v>
      </c>
      <c r="W1408" s="133">
        <f>VLOOKUP(U1408,Sheet1!$B$6:$C$45,2,FALSE)*V1408</f>
        <v>0</v>
      </c>
      <c r="X1408" s="141"/>
      <c r="Y1408" s="121" t="s">
        <v>292</v>
      </c>
      <c r="Z1408" s="146">
        <f>VLOOKUP(Takeoffs!Y1408,Sheet1!$B$6:$C$124,2,FALSE)</f>
        <v>0</v>
      </c>
      <c r="AA1408" s="146">
        <f t="shared" si="643"/>
        <v>0</v>
      </c>
      <c r="AB1408" s="143">
        <f t="shared" si="644"/>
        <v>0</v>
      </c>
      <c r="AC1408" s="133">
        <f t="shared" si="645"/>
        <v>0</v>
      </c>
      <c r="AD1408" s="142">
        <v>1</v>
      </c>
      <c r="AE1408" s="141"/>
      <c r="AF1408" s="121" t="s">
        <v>292</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292</v>
      </c>
      <c r="V1409" s="133">
        <f t="shared" si="642"/>
        <v>0</v>
      </c>
      <c r="W1409" s="133">
        <f>VLOOKUP(U1409,Sheet1!$B$6:$C$45,2,FALSE)*V1409</f>
        <v>0</v>
      </c>
      <c r="X1409" s="141"/>
      <c r="Y1409" s="121" t="s">
        <v>292</v>
      </c>
      <c r="Z1409" s="146">
        <f>VLOOKUP(Takeoffs!Y1409,Sheet1!$B$6:$C$124,2,FALSE)</f>
        <v>0</v>
      </c>
      <c r="AA1409" s="146">
        <f t="shared" si="643"/>
        <v>0</v>
      </c>
      <c r="AB1409" s="143">
        <f t="shared" si="644"/>
        <v>0</v>
      </c>
      <c r="AC1409" s="133">
        <f t="shared" si="645"/>
        <v>0</v>
      </c>
      <c r="AD1409" s="142">
        <v>1</v>
      </c>
      <c r="AE1409" s="141"/>
      <c r="AF1409" s="121" t="s">
        <v>292</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292</v>
      </c>
      <c r="V1410" s="133">
        <f t="shared" si="642"/>
        <v>0</v>
      </c>
      <c r="W1410" s="133">
        <f>VLOOKUP(U1410,Sheet1!$B$6:$C$45,2,FALSE)*V1410</f>
        <v>0</v>
      </c>
      <c r="X1410" s="141"/>
      <c r="Y1410" s="121" t="s">
        <v>292</v>
      </c>
      <c r="Z1410" s="146">
        <f>VLOOKUP(Takeoffs!Y1410,Sheet1!$B$6:$C$124,2,FALSE)</f>
        <v>0</v>
      </c>
      <c r="AA1410" s="146">
        <f t="shared" si="643"/>
        <v>0</v>
      </c>
      <c r="AB1410" s="143">
        <f t="shared" si="644"/>
        <v>0</v>
      </c>
      <c r="AC1410" s="133">
        <f t="shared" si="645"/>
        <v>0</v>
      </c>
      <c r="AD1410" s="142">
        <v>1</v>
      </c>
      <c r="AE1410" s="141"/>
      <c r="AF1410" s="121" t="s">
        <v>292</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377</v>
      </c>
      <c r="L1411" s="128" t="s">
        <v>378</v>
      </c>
      <c r="N1411" s="129"/>
      <c r="O1411" s="130" t="s">
        <v>357</v>
      </c>
      <c r="P1411" s="131">
        <f>V1411+AA1411+AH1411</f>
        <v>0</v>
      </c>
      <c r="Q1411" s="131"/>
      <c r="R1411" s="131"/>
      <c r="S1411" s="130"/>
      <c r="T1411" s="127"/>
      <c r="U1411" s="126" t="s">
        <v>351</v>
      </c>
      <c r="V1411" s="127">
        <f>W1411*80</f>
        <v>0</v>
      </c>
      <c r="W1411" s="147">
        <f>SUM(W1390:W1410)</f>
        <v>0</v>
      </c>
      <c r="X1411" s="148"/>
      <c r="Y1411" s="127" t="s">
        <v>352</v>
      </c>
      <c r="Z1411" s="116"/>
      <c r="AA1411" s="116">
        <f>SUM(AA1390:AA1410)</f>
        <v>0</v>
      </c>
      <c r="AB1411" s="149"/>
      <c r="AC1411" s="149"/>
      <c r="AD1411" s="149"/>
      <c r="AE1411" s="149"/>
      <c r="AF1411" s="127" t="s">
        <v>356</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hidden="1" x14ac:dyDescent="0.8">
      <c r="A1412" s="262">
        <f>ROW()</f>
        <v>1412</v>
      </c>
      <c r="B1412" s="234" t="s">
        <v>491</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367</v>
      </c>
      <c r="N1412" s="160" t="str">
        <f>N1390</f>
        <v>Multihead split AC systems (local power supply) - 2 indoor units with wireless controlers</v>
      </c>
      <c r="O1412" s="160" t="s">
        <v>365</v>
      </c>
      <c r="P1412" s="64" t="e">
        <f>P1411/M1390</f>
        <v>#DIV/0!</v>
      </c>
      <c r="Q1412" s="161"/>
      <c r="R1412" s="161"/>
      <c r="S1412" s="160"/>
      <c r="T1412" s="161"/>
      <c r="U1412" s="571" t="s">
        <v>366</v>
      </c>
      <c r="V1412" s="571"/>
      <c r="W1412" s="162" t="e">
        <f>W1411/M1390</f>
        <v>#DIV/0!</v>
      </c>
      <c r="X1412" s="163"/>
      <c r="Y1412" s="570" t="s">
        <v>365</v>
      </c>
      <c r="Z1412" s="570"/>
      <c r="AA1412" s="164" t="e">
        <f>AA1411/M1390</f>
        <v>#DIV/0!</v>
      </c>
      <c r="AB1412" s="161"/>
      <c r="AC1412" s="161"/>
      <c r="AD1412" s="161"/>
      <c r="AE1412" s="161"/>
      <c r="AF1412" s="570" t="s">
        <v>365</v>
      </c>
      <c r="AG1412" s="570"/>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452</v>
      </c>
      <c r="M1413" s="116" t="s">
        <v>298</v>
      </c>
      <c r="N1413" s="116" t="s">
        <v>108</v>
      </c>
      <c r="O1413" s="170" t="s">
        <v>386</v>
      </c>
      <c r="P1413" s="572" t="s">
        <v>375</v>
      </c>
      <c r="Q1413" s="572"/>
      <c r="R1413" s="101" t="s">
        <v>452</v>
      </c>
      <c r="S1413" s="116" t="s">
        <v>0</v>
      </c>
      <c r="T1413" s="118"/>
      <c r="U1413" s="116" t="s">
        <v>287</v>
      </c>
      <c r="V1413" s="116" t="s">
        <v>288</v>
      </c>
      <c r="W1413" s="116" t="s">
        <v>291</v>
      </c>
      <c r="X1413" s="140"/>
      <c r="Y1413" s="116" t="s">
        <v>289</v>
      </c>
      <c r="Z1413" s="116" t="s">
        <v>354</v>
      </c>
      <c r="AA1413" s="116" t="s">
        <v>355</v>
      </c>
      <c r="AB1413" s="116" t="s">
        <v>317</v>
      </c>
      <c r="AC1413" s="116" t="s">
        <v>318</v>
      </c>
      <c r="AD1413" s="116" t="s">
        <v>316</v>
      </c>
      <c r="AE1413" s="140"/>
      <c r="AF1413" s="116" t="s">
        <v>293</v>
      </c>
      <c r="AG1413" s="116" t="s">
        <v>354</v>
      </c>
      <c r="AH1413" s="116" t="s">
        <v>355</v>
      </c>
      <c r="AI1413" s="116" t="s">
        <v>296</v>
      </c>
      <c r="AJ1413" s="116" t="s">
        <v>294</v>
      </c>
      <c r="AK1413" s="116" t="s">
        <v>295</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566</v>
      </c>
      <c r="O1414" s="121" t="s">
        <v>138</v>
      </c>
      <c r="P1414" s="169" t="s">
        <v>379</v>
      </c>
      <c r="Q1414" s="169" t="s">
        <v>375</v>
      </c>
      <c r="R1414" s="169"/>
      <c r="S1414" s="133">
        <f>M1414</f>
        <v>0</v>
      </c>
      <c r="T1414" s="119"/>
      <c r="U1414" s="121" t="s">
        <v>292</v>
      </c>
      <c r="V1414" s="133">
        <f>S1414</f>
        <v>0</v>
      </c>
      <c r="W1414" s="133">
        <f>VLOOKUP(U1414,Sheet1!$B$6:$C$45,2,FALSE)*V1414</f>
        <v>0</v>
      </c>
      <c r="X1414" s="141"/>
      <c r="Y1414" s="121" t="s">
        <v>292</v>
      </c>
      <c r="Z1414" s="146">
        <f>VLOOKUP(Takeoffs!Y1414,Sheet1!$B$6:$C$124,2,FALSE)</f>
        <v>0</v>
      </c>
      <c r="AA1414" s="146">
        <f>Z1414*AB1414</f>
        <v>0</v>
      </c>
      <c r="AB1414" s="143">
        <f>AD1414*AC1414</f>
        <v>0</v>
      </c>
      <c r="AC1414" s="133">
        <f>S1414</f>
        <v>0</v>
      </c>
      <c r="AD1414" s="142">
        <v>1</v>
      </c>
      <c r="AE1414" s="141"/>
      <c r="AF1414" s="121" t="s">
        <v>292</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426</v>
      </c>
      <c r="P1415" s="121"/>
      <c r="Q1415" s="121"/>
      <c r="R1415" s="121"/>
      <c r="S1415" s="133">
        <f>M1414</f>
        <v>0</v>
      </c>
      <c r="T1415" s="120"/>
      <c r="U1415" s="121" t="s">
        <v>292</v>
      </c>
      <c r="V1415" s="133">
        <f t="shared" ref="V1415:V1434" si="652">S1415</f>
        <v>0</v>
      </c>
      <c r="W1415" s="133">
        <f>VLOOKUP(U1415,Sheet1!$B$6:$C$45,2,FALSE)*V1415</f>
        <v>0</v>
      </c>
      <c r="X1415" s="141"/>
      <c r="Y1415" s="121" t="s">
        <v>292</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392</v>
      </c>
      <c r="P1416" s="121"/>
      <c r="Q1416" s="121"/>
      <c r="R1416" s="121"/>
      <c r="S1416" s="133">
        <f>M1414</f>
        <v>0</v>
      </c>
      <c r="T1416" s="120"/>
      <c r="U1416" s="121" t="s">
        <v>286</v>
      </c>
      <c r="V1416" s="133">
        <f t="shared" si="652"/>
        <v>0</v>
      </c>
      <c r="W1416" s="133">
        <f>VLOOKUP(U1416,Sheet1!$B$6:$C$45,2,FALSE)*V1416</f>
        <v>0</v>
      </c>
      <c r="X1416" s="141"/>
      <c r="Y1416" s="121" t="s">
        <v>292</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413</v>
      </c>
      <c r="P1417" s="121"/>
      <c r="Q1417" s="121"/>
      <c r="R1417" s="121"/>
      <c r="S1417" s="133">
        <f>M1414</f>
        <v>0</v>
      </c>
      <c r="T1417" s="120"/>
      <c r="U1417" s="121" t="s">
        <v>292</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292</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414</v>
      </c>
      <c r="P1418" s="121" t="s">
        <v>447</v>
      </c>
      <c r="Q1418" s="121" t="s">
        <v>449</v>
      </c>
      <c r="R1418" s="121"/>
      <c r="S1418" s="133">
        <f>M1414</f>
        <v>0</v>
      </c>
      <c r="T1418" s="120"/>
      <c r="U1418" s="121" t="s">
        <v>292</v>
      </c>
      <c r="V1418" s="133">
        <f t="shared" si="652"/>
        <v>0</v>
      </c>
      <c r="W1418" s="133">
        <f>VLOOKUP(U1418,Sheet1!$B$6:$C$45,2,FALSE)*V1418</f>
        <v>0</v>
      </c>
      <c r="X1418" s="141"/>
      <c r="Y1418" s="121" t="s">
        <v>292</v>
      </c>
      <c r="Z1418" s="146">
        <f>VLOOKUP(Takeoffs!Y1418,Sheet1!$B$6:$C$124,2,FALSE)</f>
        <v>0</v>
      </c>
      <c r="AA1418" s="146">
        <f t="shared" si="653"/>
        <v>0</v>
      </c>
      <c r="AB1418" s="143">
        <f t="shared" si="654"/>
        <v>0</v>
      </c>
      <c r="AC1418" s="133">
        <f t="shared" si="655"/>
        <v>0</v>
      </c>
      <c r="AD1418" s="142">
        <v>1</v>
      </c>
      <c r="AE1418" s="141"/>
      <c r="AF1418" s="121" t="s">
        <v>292</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567</v>
      </c>
      <c r="P1419" s="121"/>
      <c r="Q1419" s="121"/>
      <c r="R1419" s="121"/>
      <c r="S1419" s="133">
        <f>M1414</f>
        <v>0</v>
      </c>
      <c r="T1419" s="120"/>
      <c r="U1419" s="117" t="s">
        <v>478</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292</v>
      </c>
      <c r="V1420" s="133">
        <f t="shared" si="652"/>
        <v>0</v>
      </c>
      <c r="W1420" s="133">
        <f>VLOOKUP(U1420,Sheet1!$B$6:$C$45,2,FALSE)*V1420</f>
        <v>0</v>
      </c>
      <c r="X1420" s="141"/>
      <c r="Y1420" s="121" t="s">
        <v>292</v>
      </c>
      <c r="Z1420" s="146">
        <f>VLOOKUP(Takeoffs!Y1420,Sheet1!$B$6:$C$124,2,FALSE)</f>
        <v>0</v>
      </c>
      <c r="AA1420" s="146">
        <f t="shared" si="653"/>
        <v>0</v>
      </c>
      <c r="AB1420" s="143">
        <f t="shared" si="654"/>
        <v>0</v>
      </c>
      <c r="AC1420" s="133">
        <f t="shared" si="655"/>
        <v>0</v>
      </c>
      <c r="AD1420" s="142">
        <v>1</v>
      </c>
      <c r="AE1420" s="141"/>
      <c r="AF1420" s="121" t="s">
        <v>292</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292</v>
      </c>
      <c r="V1421" s="133">
        <f t="shared" si="652"/>
        <v>0</v>
      </c>
      <c r="W1421" s="133">
        <f>VLOOKUP(U1421,Sheet1!$B$6:$C$45,2,FALSE)*V1421</f>
        <v>0</v>
      </c>
      <c r="X1421" s="141"/>
      <c r="Y1421" s="121" t="s">
        <v>292</v>
      </c>
      <c r="Z1421" s="146">
        <f>VLOOKUP(Takeoffs!Y1421,Sheet1!$B$6:$C$124,2,FALSE)</f>
        <v>0</v>
      </c>
      <c r="AA1421" s="146">
        <f t="shared" si="653"/>
        <v>0</v>
      </c>
      <c r="AB1421" s="143">
        <f t="shared" si="654"/>
        <v>0</v>
      </c>
      <c r="AC1421" s="133">
        <f t="shared" si="655"/>
        <v>0</v>
      </c>
      <c r="AD1421" s="142">
        <v>1</v>
      </c>
      <c r="AE1421" s="141"/>
      <c r="AF1421" s="121" t="s">
        <v>292</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292</v>
      </c>
      <c r="V1422" s="133">
        <f t="shared" si="652"/>
        <v>0</v>
      </c>
      <c r="W1422" s="133">
        <f>VLOOKUP(U1422,Sheet1!$B$6:$C$45,2,FALSE)*V1422</f>
        <v>0</v>
      </c>
      <c r="X1422" s="141"/>
      <c r="Y1422" s="121" t="s">
        <v>292</v>
      </c>
      <c r="Z1422" s="146">
        <f>VLOOKUP(Takeoffs!Y1422,Sheet1!$B$6:$C$124,2,FALSE)</f>
        <v>0</v>
      </c>
      <c r="AA1422" s="146">
        <f t="shared" si="653"/>
        <v>0</v>
      </c>
      <c r="AB1422" s="143">
        <f t="shared" si="654"/>
        <v>0</v>
      </c>
      <c r="AC1422" s="133">
        <f t="shared" si="655"/>
        <v>0</v>
      </c>
      <c r="AD1422" s="142">
        <v>1</v>
      </c>
      <c r="AE1422" s="141"/>
      <c r="AF1422" s="121" t="s">
        <v>292</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292</v>
      </c>
      <c r="V1423" s="133">
        <f t="shared" si="652"/>
        <v>0</v>
      </c>
      <c r="W1423" s="133">
        <f>VLOOKUP(U1423,Sheet1!$B$6:$C$45,2,FALSE)*V1423</f>
        <v>0</v>
      </c>
      <c r="X1423" s="141"/>
      <c r="Y1423" s="121" t="s">
        <v>292</v>
      </c>
      <c r="Z1423" s="146">
        <f>VLOOKUP(Takeoffs!Y1423,Sheet1!$B$6:$C$124,2,FALSE)</f>
        <v>0</v>
      </c>
      <c r="AA1423" s="146">
        <f t="shared" si="653"/>
        <v>0</v>
      </c>
      <c r="AB1423" s="143">
        <f t="shared" si="654"/>
        <v>0</v>
      </c>
      <c r="AC1423" s="133">
        <f t="shared" si="655"/>
        <v>0</v>
      </c>
      <c r="AD1423" s="142">
        <v>1</v>
      </c>
      <c r="AE1423" s="141"/>
      <c r="AF1423" s="121" t="s">
        <v>292</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292</v>
      </c>
      <c r="V1424" s="133">
        <f t="shared" si="652"/>
        <v>0</v>
      </c>
      <c r="W1424" s="133">
        <f>VLOOKUP(U1424,Sheet1!$B$6:$C$45,2,FALSE)*V1424</f>
        <v>0</v>
      </c>
      <c r="X1424" s="141"/>
      <c r="Y1424" s="121" t="s">
        <v>292</v>
      </c>
      <c r="Z1424" s="146">
        <f>VLOOKUP(Takeoffs!Y1424,Sheet1!$B$6:$C$124,2,FALSE)</f>
        <v>0</v>
      </c>
      <c r="AA1424" s="146">
        <f t="shared" si="653"/>
        <v>0</v>
      </c>
      <c r="AB1424" s="143">
        <f t="shared" si="654"/>
        <v>0</v>
      </c>
      <c r="AC1424" s="133">
        <f t="shared" si="655"/>
        <v>0</v>
      </c>
      <c r="AD1424" s="142">
        <v>1</v>
      </c>
      <c r="AE1424" s="141"/>
      <c r="AF1424" s="121" t="s">
        <v>292</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292</v>
      </c>
      <c r="V1425" s="133">
        <f t="shared" si="652"/>
        <v>0</v>
      </c>
      <c r="W1425" s="133">
        <f>VLOOKUP(U1425,Sheet1!$B$6:$C$45,2,FALSE)*V1425</f>
        <v>0</v>
      </c>
      <c r="X1425" s="141"/>
      <c r="Y1425" s="121" t="s">
        <v>292</v>
      </c>
      <c r="Z1425" s="146">
        <f>VLOOKUP(Takeoffs!Y1425,Sheet1!$B$6:$C$124,2,FALSE)</f>
        <v>0</v>
      </c>
      <c r="AA1425" s="146">
        <f t="shared" si="653"/>
        <v>0</v>
      </c>
      <c r="AB1425" s="143">
        <f t="shared" si="654"/>
        <v>0</v>
      </c>
      <c r="AC1425" s="133">
        <f t="shared" si="655"/>
        <v>0</v>
      </c>
      <c r="AD1425" s="142">
        <v>1</v>
      </c>
      <c r="AE1425" s="141"/>
      <c r="AF1425" s="121" t="s">
        <v>292</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292</v>
      </c>
      <c r="V1426" s="133">
        <f t="shared" si="652"/>
        <v>0</v>
      </c>
      <c r="W1426" s="133">
        <f>VLOOKUP(U1426,Sheet1!$B$6:$C$45,2,FALSE)*V1426</f>
        <v>0</v>
      </c>
      <c r="X1426" s="141"/>
      <c r="Y1426" s="121" t="s">
        <v>292</v>
      </c>
      <c r="Z1426" s="146">
        <f>VLOOKUP(Takeoffs!Y1426,Sheet1!$B$6:$C$124,2,FALSE)</f>
        <v>0</v>
      </c>
      <c r="AA1426" s="146">
        <f t="shared" si="653"/>
        <v>0</v>
      </c>
      <c r="AB1426" s="143">
        <f t="shared" si="654"/>
        <v>0</v>
      </c>
      <c r="AC1426" s="133">
        <f t="shared" si="655"/>
        <v>0</v>
      </c>
      <c r="AD1426" s="142">
        <v>1</v>
      </c>
      <c r="AE1426" s="141"/>
      <c r="AF1426" s="121" t="s">
        <v>292</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292</v>
      </c>
      <c r="V1427" s="133">
        <f t="shared" si="652"/>
        <v>0</v>
      </c>
      <c r="W1427" s="133">
        <f>VLOOKUP(U1427,Sheet1!$B$6:$C$45,2,FALSE)*V1427</f>
        <v>0</v>
      </c>
      <c r="X1427" s="141"/>
      <c r="Y1427" s="121" t="s">
        <v>292</v>
      </c>
      <c r="Z1427" s="146">
        <f>VLOOKUP(Takeoffs!Y1427,Sheet1!$B$6:$C$124,2,FALSE)</f>
        <v>0</v>
      </c>
      <c r="AA1427" s="146">
        <f t="shared" si="653"/>
        <v>0</v>
      </c>
      <c r="AB1427" s="143">
        <f t="shared" si="654"/>
        <v>0</v>
      </c>
      <c r="AC1427" s="133">
        <f t="shared" si="655"/>
        <v>0</v>
      </c>
      <c r="AD1427" s="142">
        <v>1</v>
      </c>
      <c r="AE1427" s="141"/>
      <c r="AF1427" s="121" t="s">
        <v>292</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292</v>
      </c>
      <c r="V1428" s="133">
        <f t="shared" si="652"/>
        <v>0</v>
      </c>
      <c r="W1428" s="133">
        <f>VLOOKUP(U1428,Sheet1!$B$6:$C$45,2,FALSE)*V1428</f>
        <v>0</v>
      </c>
      <c r="X1428" s="141"/>
      <c r="Y1428" s="121" t="s">
        <v>292</v>
      </c>
      <c r="Z1428" s="146">
        <f>VLOOKUP(Takeoffs!Y1428,Sheet1!$B$6:$C$124,2,FALSE)</f>
        <v>0</v>
      </c>
      <c r="AA1428" s="146">
        <f t="shared" si="653"/>
        <v>0</v>
      </c>
      <c r="AB1428" s="143">
        <f t="shared" si="654"/>
        <v>0</v>
      </c>
      <c r="AC1428" s="133">
        <f t="shared" si="655"/>
        <v>0</v>
      </c>
      <c r="AD1428" s="142">
        <v>1</v>
      </c>
      <c r="AE1428" s="141"/>
      <c r="AF1428" s="121" t="s">
        <v>292</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292</v>
      </c>
      <c r="V1429" s="133">
        <f t="shared" si="652"/>
        <v>0</v>
      </c>
      <c r="W1429" s="133">
        <f>VLOOKUP(U1429,Sheet1!$B$6:$C$45,2,FALSE)*V1429</f>
        <v>0</v>
      </c>
      <c r="X1429" s="141"/>
      <c r="Y1429" s="121" t="s">
        <v>292</v>
      </c>
      <c r="Z1429" s="146">
        <f>VLOOKUP(Takeoffs!Y1429,Sheet1!$B$6:$C$124,2,FALSE)</f>
        <v>0</v>
      </c>
      <c r="AA1429" s="146">
        <f t="shared" si="653"/>
        <v>0</v>
      </c>
      <c r="AB1429" s="143">
        <f t="shared" si="654"/>
        <v>0</v>
      </c>
      <c r="AC1429" s="133">
        <f t="shared" si="655"/>
        <v>0</v>
      </c>
      <c r="AD1429" s="142">
        <v>1</v>
      </c>
      <c r="AE1429" s="141"/>
      <c r="AF1429" s="121" t="s">
        <v>292</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292</v>
      </c>
      <c r="V1430" s="133">
        <f t="shared" si="652"/>
        <v>0</v>
      </c>
      <c r="W1430" s="133">
        <f>VLOOKUP(U1430,Sheet1!$B$6:$C$45,2,FALSE)*V1430</f>
        <v>0</v>
      </c>
      <c r="X1430" s="141"/>
      <c r="Y1430" s="121" t="s">
        <v>292</v>
      </c>
      <c r="Z1430" s="146">
        <f>VLOOKUP(Takeoffs!Y1430,Sheet1!$B$6:$C$124,2,FALSE)</f>
        <v>0</v>
      </c>
      <c r="AA1430" s="146">
        <f t="shared" si="653"/>
        <v>0</v>
      </c>
      <c r="AB1430" s="143">
        <f t="shared" si="654"/>
        <v>0</v>
      </c>
      <c r="AC1430" s="133">
        <f t="shared" si="655"/>
        <v>0</v>
      </c>
      <c r="AD1430" s="142">
        <v>1</v>
      </c>
      <c r="AE1430" s="141"/>
      <c r="AF1430" s="121" t="s">
        <v>292</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292</v>
      </c>
      <c r="V1431" s="133">
        <f t="shared" si="652"/>
        <v>0</v>
      </c>
      <c r="W1431" s="133">
        <f>VLOOKUP(U1431,Sheet1!$B$6:$C$45,2,FALSE)*V1431</f>
        <v>0</v>
      </c>
      <c r="X1431" s="141"/>
      <c r="Y1431" s="121" t="s">
        <v>292</v>
      </c>
      <c r="Z1431" s="146">
        <f>VLOOKUP(Takeoffs!Y1431,Sheet1!$B$6:$C$124,2,FALSE)</f>
        <v>0</v>
      </c>
      <c r="AA1431" s="146">
        <f t="shared" si="653"/>
        <v>0</v>
      </c>
      <c r="AB1431" s="143">
        <f t="shared" si="654"/>
        <v>0</v>
      </c>
      <c r="AC1431" s="133">
        <f t="shared" si="655"/>
        <v>0</v>
      </c>
      <c r="AD1431" s="142">
        <v>1</v>
      </c>
      <c r="AE1431" s="141"/>
      <c r="AF1431" s="121" t="s">
        <v>292</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292</v>
      </c>
      <c r="V1432" s="133">
        <f t="shared" si="652"/>
        <v>0</v>
      </c>
      <c r="W1432" s="133">
        <f>VLOOKUP(U1432,Sheet1!$B$6:$C$45,2,FALSE)*V1432</f>
        <v>0</v>
      </c>
      <c r="X1432" s="141"/>
      <c r="Y1432" s="121" t="s">
        <v>292</v>
      </c>
      <c r="Z1432" s="146">
        <f>VLOOKUP(Takeoffs!Y1432,Sheet1!$B$6:$C$124,2,FALSE)</f>
        <v>0</v>
      </c>
      <c r="AA1432" s="146">
        <f t="shared" si="653"/>
        <v>0</v>
      </c>
      <c r="AB1432" s="143">
        <f t="shared" si="654"/>
        <v>0</v>
      </c>
      <c r="AC1432" s="133">
        <f t="shared" si="655"/>
        <v>0</v>
      </c>
      <c r="AD1432" s="142">
        <v>1</v>
      </c>
      <c r="AE1432" s="141"/>
      <c r="AF1432" s="121" t="s">
        <v>292</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292</v>
      </c>
      <c r="V1433" s="133">
        <f t="shared" si="652"/>
        <v>0</v>
      </c>
      <c r="W1433" s="133">
        <f>VLOOKUP(U1433,Sheet1!$B$6:$C$45,2,FALSE)*V1433</f>
        <v>0</v>
      </c>
      <c r="X1433" s="141"/>
      <c r="Y1433" s="121" t="s">
        <v>292</v>
      </c>
      <c r="Z1433" s="146">
        <f>VLOOKUP(Takeoffs!Y1433,Sheet1!$B$6:$C$124,2,FALSE)</f>
        <v>0</v>
      </c>
      <c r="AA1433" s="146">
        <f t="shared" si="653"/>
        <v>0</v>
      </c>
      <c r="AB1433" s="143">
        <f t="shared" si="654"/>
        <v>0</v>
      </c>
      <c r="AC1433" s="133">
        <f t="shared" si="655"/>
        <v>0</v>
      </c>
      <c r="AD1433" s="142">
        <v>1</v>
      </c>
      <c r="AE1433" s="141"/>
      <c r="AF1433" s="121" t="s">
        <v>292</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292</v>
      </c>
      <c r="V1434" s="133">
        <f t="shared" si="652"/>
        <v>0</v>
      </c>
      <c r="W1434" s="133">
        <f>VLOOKUP(U1434,Sheet1!$B$6:$C$45,2,FALSE)*V1434</f>
        <v>0</v>
      </c>
      <c r="X1434" s="141"/>
      <c r="Y1434" s="121" t="s">
        <v>292</v>
      </c>
      <c r="Z1434" s="146">
        <f>VLOOKUP(Takeoffs!Y1434,Sheet1!$B$6:$C$124,2,FALSE)</f>
        <v>0</v>
      </c>
      <c r="AA1434" s="146">
        <f t="shared" si="653"/>
        <v>0</v>
      </c>
      <c r="AB1434" s="143">
        <f t="shared" si="654"/>
        <v>0</v>
      </c>
      <c r="AC1434" s="133">
        <f t="shared" si="655"/>
        <v>0</v>
      </c>
      <c r="AD1434" s="142">
        <v>1</v>
      </c>
      <c r="AE1434" s="141"/>
      <c r="AF1434" s="121" t="s">
        <v>292</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377</v>
      </c>
      <c r="L1435" s="128" t="s">
        <v>378</v>
      </c>
      <c r="N1435" s="129"/>
      <c r="O1435" s="130" t="s">
        <v>357</v>
      </c>
      <c r="P1435" s="131">
        <f>V1435+AA1435+AH1435</f>
        <v>0</v>
      </c>
      <c r="Q1435" s="131"/>
      <c r="R1435" s="131"/>
      <c r="S1435" s="130"/>
      <c r="T1435" s="127"/>
      <c r="U1435" s="126" t="s">
        <v>351</v>
      </c>
      <c r="V1435" s="127">
        <f>W1435*80</f>
        <v>0</v>
      </c>
      <c r="W1435" s="147">
        <f>SUM(W1414:W1434)</f>
        <v>0</v>
      </c>
      <c r="X1435" s="148"/>
      <c r="Y1435" s="127" t="s">
        <v>352</v>
      </c>
      <c r="Z1435" s="116"/>
      <c r="AA1435" s="116">
        <f>SUM(AA1414:AA1434)</f>
        <v>0</v>
      </c>
      <c r="AB1435" s="149"/>
      <c r="AC1435" s="149"/>
      <c r="AD1435" s="149"/>
      <c r="AE1435" s="149"/>
      <c r="AF1435" s="127" t="s">
        <v>356</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hidden="1" x14ac:dyDescent="0.8">
      <c r="A1436" s="262">
        <f>ROW()</f>
        <v>1436</v>
      </c>
      <c r="B1436" s="234" t="s">
        <v>491</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367</v>
      </c>
      <c r="N1436" s="160" t="str">
        <f>N1414</f>
        <v>split AC systems (local power supply)</v>
      </c>
      <c r="O1436" s="160" t="s">
        <v>365</v>
      </c>
      <c r="P1436" s="64" t="e">
        <f>P1435/M1414</f>
        <v>#DIV/0!</v>
      </c>
      <c r="Q1436" s="161"/>
      <c r="R1436" s="161"/>
      <c r="S1436" s="160"/>
      <c r="T1436" s="161"/>
      <c r="U1436" s="571" t="s">
        <v>366</v>
      </c>
      <c r="V1436" s="571"/>
      <c r="W1436" s="162" t="e">
        <f>W1435/M1414</f>
        <v>#DIV/0!</v>
      </c>
      <c r="X1436" s="163"/>
      <c r="Y1436" s="570" t="s">
        <v>365</v>
      </c>
      <c r="Z1436" s="570"/>
      <c r="AA1436" s="164" t="e">
        <f>AA1435/M1414</f>
        <v>#DIV/0!</v>
      </c>
      <c r="AB1436" s="161"/>
      <c r="AC1436" s="161"/>
      <c r="AD1436" s="161"/>
      <c r="AE1436" s="161"/>
      <c r="AF1436" s="570" t="s">
        <v>365</v>
      </c>
      <c r="AG1436" s="570"/>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452</v>
      </c>
      <c r="M1437" s="2" t="s">
        <v>298</v>
      </c>
      <c r="N1437" s="2" t="s">
        <v>108</v>
      </c>
      <c r="O1437" s="97" t="s">
        <v>386</v>
      </c>
      <c r="P1437" s="572" t="s">
        <v>375</v>
      </c>
      <c r="Q1437" s="572"/>
      <c r="R1437" s="101" t="s">
        <v>452</v>
      </c>
      <c r="S1437" s="2" t="s">
        <v>0</v>
      </c>
      <c r="T1437" s="9"/>
      <c r="U1437" s="2" t="s">
        <v>287</v>
      </c>
      <c r="V1437" s="2" t="s">
        <v>288</v>
      </c>
      <c r="W1437" s="2" t="s">
        <v>291</v>
      </c>
      <c r="X1437" s="58"/>
      <c r="Y1437" s="2" t="s">
        <v>289</v>
      </c>
      <c r="Z1437" s="2" t="s">
        <v>354</v>
      </c>
      <c r="AA1437" s="2" t="s">
        <v>355</v>
      </c>
      <c r="AB1437" s="2" t="s">
        <v>317</v>
      </c>
      <c r="AC1437" s="2" t="s">
        <v>318</v>
      </c>
      <c r="AD1437" s="2" t="s">
        <v>316</v>
      </c>
      <c r="AE1437" s="58"/>
      <c r="AF1437" s="2" t="s">
        <v>293</v>
      </c>
      <c r="AG1437" s="2" t="s">
        <v>354</v>
      </c>
      <c r="AH1437" s="2" t="s">
        <v>355</v>
      </c>
      <c r="AI1437" s="2" t="s">
        <v>296</v>
      </c>
      <c r="AJ1437" s="2" t="s">
        <v>294</v>
      </c>
      <c r="AK1437" s="2" t="s">
        <v>295</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427</v>
      </c>
      <c r="O1438" s="12" t="s">
        <v>138</v>
      </c>
      <c r="P1438" s="96" t="s">
        <v>379</v>
      </c>
      <c r="Q1438" s="96" t="s">
        <v>375</v>
      </c>
      <c r="R1438" s="96"/>
      <c r="S1438" s="28">
        <f>M1438</f>
        <v>0</v>
      </c>
      <c r="T1438" s="10"/>
      <c r="U1438" s="12" t="s">
        <v>292</v>
      </c>
      <c r="V1438" s="28">
        <f>S1438</f>
        <v>0</v>
      </c>
      <c r="W1438" s="28">
        <f>VLOOKUP(U1438,Sheet1!$B$6:$C$45,2,FALSE)*V1438</f>
        <v>0</v>
      </c>
      <c r="X1438" s="59"/>
      <c r="Y1438" s="12" t="s">
        <v>292</v>
      </c>
      <c r="Z1438" s="68">
        <f>VLOOKUP(Takeoffs!Y1438,Sheet1!$B$6:$C$124,2,FALSE)</f>
        <v>0</v>
      </c>
      <c r="AA1438" s="68">
        <f>Z1438*AB1438</f>
        <v>0</v>
      </c>
      <c r="AB1438" s="63">
        <f>AD1438*AC1438</f>
        <v>0</v>
      </c>
      <c r="AC1438" s="28">
        <f>S1438</f>
        <v>0</v>
      </c>
      <c r="AD1438" s="61">
        <v>1</v>
      </c>
      <c r="AE1438" s="59"/>
      <c r="AF1438" s="12" t="s">
        <v>292</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426</v>
      </c>
      <c r="P1439" s="12"/>
      <c r="Q1439" s="12"/>
      <c r="R1439" s="12"/>
      <c r="S1439" s="28">
        <f>M1438</f>
        <v>0</v>
      </c>
      <c r="T1439" s="11"/>
      <c r="U1439" s="12" t="s">
        <v>292</v>
      </c>
      <c r="V1439" s="28">
        <f t="shared" ref="V1439:V1458" si="666">S1439</f>
        <v>0</v>
      </c>
      <c r="W1439" s="28">
        <f>VLOOKUP(U1439,Sheet1!$B$6:$C$45,2,FALSE)*V1439</f>
        <v>0</v>
      </c>
      <c r="X1439" s="59"/>
      <c r="Y1439" s="12" t="s">
        <v>292</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392</v>
      </c>
      <c r="P1440" s="12"/>
      <c r="Q1440" s="12"/>
      <c r="R1440" s="12"/>
      <c r="S1440" s="28">
        <f>M1438</f>
        <v>0</v>
      </c>
      <c r="T1440" s="11"/>
      <c r="U1440" s="12" t="s">
        <v>286</v>
      </c>
      <c r="V1440" s="28">
        <f t="shared" si="666"/>
        <v>0</v>
      </c>
      <c r="W1440" s="28">
        <f>VLOOKUP(U1440,Sheet1!$B$6:$C$45,2,FALSE)*V1440</f>
        <v>0</v>
      </c>
      <c r="X1440" s="59"/>
      <c r="Y1440" s="12" t="s">
        <v>292</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413</v>
      </c>
      <c r="P1441" s="12"/>
      <c r="Q1441" s="12"/>
      <c r="R1441" s="12"/>
      <c r="S1441" s="28">
        <f>M1438</f>
        <v>0</v>
      </c>
      <c r="T1441" s="11"/>
      <c r="U1441" s="12" t="s">
        <v>292</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292</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414</v>
      </c>
      <c r="P1442" s="12" t="s">
        <v>447</v>
      </c>
      <c r="Q1442" s="12" t="s">
        <v>449</v>
      </c>
      <c r="R1442" s="12"/>
      <c r="S1442" s="28">
        <f>M1438</f>
        <v>0</v>
      </c>
      <c r="T1442" s="11"/>
      <c r="U1442" s="12" t="s">
        <v>292</v>
      </c>
      <c r="V1442" s="28">
        <f t="shared" si="666"/>
        <v>0</v>
      </c>
      <c r="W1442" s="28">
        <f>VLOOKUP(U1442,Sheet1!$B$6:$C$45,2,FALSE)*V1442</f>
        <v>0</v>
      </c>
      <c r="X1442" s="59"/>
      <c r="Y1442" s="12" t="s">
        <v>292</v>
      </c>
      <c r="Z1442" s="68">
        <f>VLOOKUP(Takeoffs!Y1442,Sheet1!$B$6:$C$124,2,FALSE)</f>
        <v>0</v>
      </c>
      <c r="AA1442" s="68">
        <f t="shared" si="667"/>
        <v>0</v>
      </c>
      <c r="AB1442" s="63">
        <f t="shared" si="668"/>
        <v>0</v>
      </c>
      <c r="AC1442" s="28">
        <f t="shared" si="673"/>
        <v>0</v>
      </c>
      <c r="AD1442" s="61">
        <v>1</v>
      </c>
      <c r="AE1442" s="59"/>
      <c r="AF1442" s="12" t="s">
        <v>292</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507</v>
      </c>
      <c r="P1443" s="12" t="s">
        <v>448</v>
      </c>
      <c r="Q1443" s="12" t="s">
        <v>415</v>
      </c>
      <c r="R1443" s="12"/>
      <c r="S1443" s="28">
        <f>M1438</f>
        <v>0</v>
      </c>
      <c r="T1443" s="11"/>
      <c r="U1443" s="12" t="s">
        <v>292</v>
      </c>
      <c r="V1443" s="28">
        <f t="shared" si="666"/>
        <v>0</v>
      </c>
      <c r="W1443" s="28">
        <f>VLOOKUP(U1443,Sheet1!$B$6:$C$45,2,FALSE)*V1443</f>
        <v>0</v>
      </c>
      <c r="X1443" s="59"/>
      <c r="Y1443" s="12" t="s">
        <v>292</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292</v>
      </c>
      <c r="V1444" s="28">
        <f t="shared" si="666"/>
        <v>0</v>
      </c>
      <c r="W1444" s="28">
        <f>VLOOKUP(U1444,Sheet1!$B$6:$C$45,2,FALSE)*V1444</f>
        <v>0</v>
      </c>
      <c r="X1444" s="59"/>
      <c r="Y1444" s="12" t="s">
        <v>292</v>
      </c>
      <c r="Z1444" s="68">
        <f>VLOOKUP(Takeoffs!Y1444,Sheet1!$B$6:$C$124,2,FALSE)</f>
        <v>0</v>
      </c>
      <c r="AA1444" s="68">
        <f t="shared" si="667"/>
        <v>0</v>
      </c>
      <c r="AB1444" s="63">
        <f t="shared" si="668"/>
        <v>0</v>
      </c>
      <c r="AC1444" s="28">
        <f t="shared" si="673"/>
        <v>0</v>
      </c>
      <c r="AD1444" s="61">
        <v>1</v>
      </c>
      <c r="AE1444" s="59"/>
      <c r="AF1444" s="12" t="s">
        <v>292</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292</v>
      </c>
      <c r="V1445" s="28">
        <f t="shared" si="666"/>
        <v>0</v>
      </c>
      <c r="W1445" s="28">
        <f>VLOOKUP(U1445,Sheet1!$B$6:$C$45,2,FALSE)*V1445</f>
        <v>0</v>
      </c>
      <c r="X1445" s="59"/>
      <c r="Y1445" s="12" t="s">
        <v>292</v>
      </c>
      <c r="Z1445" s="68">
        <f>VLOOKUP(Takeoffs!Y1445,Sheet1!$B$6:$C$124,2,FALSE)</f>
        <v>0</v>
      </c>
      <c r="AA1445" s="68">
        <f t="shared" si="667"/>
        <v>0</v>
      </c>
      <c r="AB1445" s="63">
        <f t="shared" si="668"/>
        <v>0</v>
      </c>
      <c r="AC1445" s="28">
        <f t="shared" si="673"/>
        <v>0</v>
      </c>
      <c r="AD1445" s="61">
        <v>1</v>
      </c>
      <c r="AE1445" s="59"/>
      <c r="AF1445" s="12" t="s">
        <v>292</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292</v>
      </c>
      <c r="V1446" s="28">
        <f t="shared" si="666"/>
        <v>0</v>
      </c>
      <c r="W1446" s="28">
        <f>VLOOKUP(U1446,Sheet1!$B$6:$C$45,2,FALSE)*V1446</f>
        <v>0</v>
      </c>
      <c r="X1446" s="59"/>
      <c r="Y1446" s="12" t="s">
        <v>292</v>
      </c>
      <c r="Z1446" s="68">
        <f>VLOOKUP(Takeoffs!Y1446,Sheet1!$B$6:$C$124,2,FALSE)</f>
        <v>0</v>
      </c>
      <c r="AA1446" s="68">
        <f t="shared" si="667"/>
        <v>0</v>
      </c>
      <c r="AB1446" s="63">
        <f t="shared" si="668"/>
        <v>0</v>
      </c>
      <c r="AC1446" s="28">
        <f t="shared" si="673"/>
        <v>0</v>
      </c>
      <c r="AD1446" s="61">
        <v>1</v>
      </c>
      <c r="AE1446" s="59"/>
      <c r="AF1446" s="12" t="s">
        <v>292</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292</v>
      </c>
      <c r="V1447" s="28">
        <f t="shared" si="666"/>
        <v>0</v>
      </c>
      <c r="W1447" s="28">
        <f>VLOOKUP(U1447,Sheet1!$B$6:$C$45,2,FALSE)*V1447</f>
        <v>0</v>
      </c>
      <c r="X1447" s="59"/>
      <c r="Y1447" s="12" t="s">
        <v>292</v>
      </c>
      <c r="Z1447" s="68">
        <f>VLOOKUP(Takeoffs!Y1447,Sheet1!$B$6:$C$124,2,FALSE)</f>
        <v>0</v>
      </c>
      <c r="AA1447" s="68">
        <f t="shared" si="667"/>
        <v>0</v>
      </c>
      <c r="AB1447" s="63">
        <f t="shared" si="668"/>
        <v>0</v>
      </c>
      <c r="AC1447" s="28">
        <f t="shared" si="673"/>
        <v>0</v>
      </c>
      <c r="AD1447" s="61">
        <v>1</v>
      </c>
      <c r="AE1447" s="59"/>
      <c r="AF1447" s="12" t="s">
        <v>292</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292</v>
      </c>
      <c r="V1448" s="28">
        <f t="shared" si="666"/>
        <v>0</v>
      </c>
      <c r="W1448" s="28">
        <f>VLOOKUP(U1448,Sheet1!$B$6:$C$45,2,FALSE)*V1448</f>
        <v>0</v>
      </c>
      <c r="X1448" s="59"/>
      <c r="Y1448" s="12" t="s">
        <v>292</v>
      </c>
      <c r="Z1448" s="68">
        <f>VLOOKUP(Takeoffs!Y1448,Sheet1!$B$6:$C$124,2,FALSE)</f>
        <v>0</v>
      </c>
      <c r="AA1448" s="68">
        <f t="shared" si="667"/>
        <v>0</v>
      </c>
      <c r="AB1448" s="63">
        <f t="shared" si="668"/>
        <v>0</v>
      </c>
      <c r="AC1448" s="28">
        <f t="shared" si="673"/>
        <v>0</v>
      </c>
      <c r="AD1448" s="61">
        <v>1</v>
      </c>
      <c r="AE1448" s="59"/>
      <c r="AF1448" s="12" t="s">
        <v>292</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292</v>
      </c>
      <c r="V1449" s="28">
        <f t="shared" si="666"/>
        <v>0</v>
      </c>
      <c r="W1449" s="28">
        <f>VLOOKUP(U1449,Sheet1!$B$6:$C$45,2,FALSE)*V1449</f>
        <v>0</v>
      </c>
      <c r="X1449" s="59"/>
      <c r="Y1449" s="12" t="s">
        <v>292</v>
      </c>
      <c r="Z1449" s="68">
        <f>VLOOKUP(Takeoffs!Y1449,Sheet1!$B$6:$C$124,2,FALSE)</f>
        <v>0</v>
      </c>
      <c r="AA1449" s="68">
        <f t="shared" si="667"/>
        <v>0</v>
      </c>
      <c r="AB1449" s="63">
        <f t="shared" si="668"/>
        <v>0</v>
      </c>
      <c r="AC1449" s="28">
        <f t="shared" si="673"/>
        <v>0</v>
      </c>
      <c r="AD1449" s="61">
        <v>1</v>
      </c>
      <c r="AE1449" s="59"/>
      <c r="AF1449" s="12" t="s">
        <v>292</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292</v>
      </c>
      <c r="V1450" s="28">
        <f t="shared" si="666"/>
        <v>0</v>
      </c>
      <c r="W1450" s="28">
        <f>VLOOKUP(U1450,Sheet1!$B$6:$C$45,2,FALSE)*V1450</f>
        <v>0</v>
      </c>
      <c r="X1450" s="59"/>
      <c r="Y1450" s="12" t="s">
        <v>292</v>
      </c>
      <c r="Z1450" s="68">
        <f>VLOOKUP(Takeoffs!Y1450,Sheet1!$B$6:$C$124,2,FALSE)</f>
        <v>0</v>
      </c>
      <c r="AA1450" s="68">
        <f t="shared" si="667"/>
        <v>0</v>
      </c>
      <c r="AB1450" s="63">
        <f t="shared" si="668"/>
        <v>0</v>
      </c>
      <c r="AC1450" s="28">
        <f t="shared" si="673"/>
        <v>0</v>
      </c>
      <c r="AD1450" s="61">
        <v>1</v>
      </c>
      <c r="AE1450" s="59"/>
      <c r="AF1450" s="12" t="s">
        <v>292</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292</v>
      </c>
      <c r="V1451" s="28">
        <f t="shared" si="666"/>
        <v>0</v>
      </c>
      <c r="W1451" s="28">
        <f>VLOOKUP(U1451,Sheet1!$B$6:$C$45,2,FALSE)*V1451</f>
        <v>0</v>
      </c>
      <c r="X1451" s="59"/>
      <c r="Y1451" s="12" t="s">
        <v>292</v>
      </c>
      <c r="Z1451" s="68">
        <f>VLOOKUP(Takeoffs!Y1451,Sheet1!$B$6:$C$124,2,FALSE)</f>
        <v>0</v>
      </c>
      <c r="AA1451" s="68">
        <f t="shared" si="667"/>
        <v>0</v>
      </c>
      <c r="AB1451" s="63">
        <f t="shared" si="668"/>
        <v>0</v>
      </c>
      <c r="AC1451" s="28">
        <f t="shared" si="673"/>
        <v>0</v>
      </c>
      <c r="AD1451" s="61">
        <v>1</v>
      </c>
      <c r="AE1451" s="59"/>
      <c r="AF1451" s="12" t="s">
        <v>292</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292</v>
      </c>
      <c r="V1452" s="28">
        <f t="shared" si="666"/>
        <v>0</v>
      </c>
      <c r="W1452" s="28">
        <f>VLOOKUP(U1452,Sheet1!$B$6:$C$45,2,FALSE)*V1452</f>
        <v>0</v>
      </c>
      <c r="X1452" s="59"/>
      <c r="Y1452" s="12" t="s">
        <v>292</v>
      </c>
      <c r="Z1452" s="68">
        <f>VLOOKUP(Takeoffs!Y1452,Sheet1!$B$6:$C$124,2,FALSE)</f>
        <v>0</v>
      </c>
      <c r="AA1452" s="68">
        <f t="shared" si="667"/>
        <v>0</v>
      </c>
      <c r="AB1452" s="63">
        <f t="shared" si="668"/>
        <v>0</v>
      </c>
      <c r="AC1452" s="28">
        <f t="shared" si="673"/>
        <v>0</v>
      </c>
      <c r="AD1452" s="61">
        <v>1</v>
      </c>
      <c r="AE1452" s="59"/>
      <c r="AF1452" s="12" t="s">
        <v>292</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292</v>
      </c>
      <c r="V1453" s="28">
        <f t="shared" si="666"/>
        <v>0</v>
      </c>
      <c r="W1453" s="28">
        <f>VLOOKUP(U1453,Sheet1!$B$6:$C$45,2,FALSE)*V1453</f>
        <v>0</v>
      </c>
      <c r="X1453" s="59"/>
      <c r="Y1453" s="12" t="s">
        <v>292</v>
      </c>
      <c r="Z1453" s="68">
        <f>VLOOKUP(Takeoffs!Y1453,Sheet1!$B$6:$C$124,2,FALSE)</f>
        <v>0</v>
      </c>
      <c r="AA1453" s="68">
        <f t="shared" si="667"/>
        <v>0</v>
      </c>
      <c r="AB1453" s="63">
        <f t="shared" si="668"/>
        <v>0</v>
      </c>
      <c r="AC1453" s="28">
        <f t="shared" si="673"/>
        <v>0</v>
      </c>
      <c r="AD1453" s="61">
        <v>1</v>
      </c>
      <c r="AE1453" s="59"/>
      <c r="AF1453" s="12" t="s">
        <v>292</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292</v>
      </c>
      <c r="V1454" s="28">
        <f t="shared" si="666"/>
        <v>0</v>
      </c>
      <c r="W1454" s="28">
        <f>VLOOKUP(U1454,Sheet1!$B$6:$C$45,2,FALSE)*V1454</f>
        <v>0</v>
      </c>
      <c r="X1454" s="59"/>
      <c r="Y1454" s="12" t="s">
        <v>292</v>
      </c>
      <c r="Z1454" s="68">
        <f>VLOOKUP(Takeoffs!Y1454,Sheet1!$B$6:$C$124,2,FALSE)</f>
        <v>0</v>
      </c>
      <c r="AA1454" s="68">
        <f t="shared" si="667"/>
        <v>0</v>
      </c>
      <c r="AB1454" s="63">
        <f t="shared" si="668"/>
        <v>0</v>
      </c>
      <c r="AC1454" s="28">
        <f t="shared" si="673"/>
        <v>0</v>
      </c>
      <c r="AD1454" s="61">
        <v>1</v>
      </c>
      <c r="AE1454" s="59"/>
      <c r="AF1454" s="12" t="s">
        <v>292</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292</v>
      </c>
      <c r="V1455" s="28">
        <f t="shared" si="666"/>
        <v>0</v>
      </c>
      <c r="W1455" s="28">
        <f>VLOOKUP(U1455,Sheet1!$B$6:$C$45,2,FALSE)*V1455</f>
        <v>0</v>
      </c>
      <c r="X1455" s="59"/>
      <c r="Y1455" s="12" t="s">
        <v>292</v>
      </c>
      <c r="Z1455" s="68">
        <f>VLOOKUP(Takeoffs!Y1455,Sheet1!$B$6:$C$124,2,FALSE)</f>
        <v>0</v>
      </c>
      <c r="AA1455" s="68">
        <f t="shared" si="667"/>
        <v>0</v>
      </c>
      <c r="AB1455" s="63">
        <f t="shared" si="668"/>
        <v>0</v>
      </c>
      <c r="AC1455" s="28">
        <f t="shared" si="673"/>
        <v>0</v>
      </c>
      <c r="AD1455" s="61">
        <v>1</v>
      </c>
      <c r="AE1455" s="59"/>
      <c r="AF1455" s="12" t="s">
        <v>292</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292</v>
      </c>
      <c r="V1456" s="28">
        <f t="shared" si="666"/>
        <v>0</v>
      </c>
      <c r="W1456" s="28">
        <f>VLOOKUP(U1456,Sheet1!$B$6:$C$45,2,FALSE)*V1456</f>
        <v>0</v>
      </c>
      <c r="X1456" s="59"/>
      <c r="Y1456" s="12" t="s">
        <v>292</v>
      </c>
      <c r="Z1456" s="68">
        <f>VLOOKUP(Takeoffs!Y1456,Sheet1!$B$6:$C$124,2,FALSE)</f>
        <v>0</v>
      </c>
      <c r="AA1456" s="68">
        <f t="shared" si="667"/>
        <v>0</v>
      </c>
      <c r="AB1456" s="63">
        <f t="shared" si="668"/>
        <v>0</v>
      </c>
      <c r="AC1456" s="28">
        <f t="shared" si="673"/>
        <v>0</v>
      </c>
      <c r="AD1456" s="61">
        <v>1</v>
      </c>
      <c r="AE1456" s="59"/>
      <c r="AF1456" s="12" t="s">
        <v>292</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292</v>
      </c>
      <c r="V1457" s="28">
        <f t="shared" si="666"/>
        <v>0</v>
      </c>
      <c r="W1457" s="28">
        <f>VLOOKUP(U1457,Sheet1!$B$6:$C$45,2,FALSE)*V1457</f>
        <v>0</v>
      </c>
      <c r="X1457" s="59"/>
      <c r="Y1457" s="12" t="s">
        <v>292</v>
      </c>
      <c r="Z1457" s="68">
        <f>VLOOKUP(Takeoffs!Y1457,Sheet1!$B$6:$C$124,2,FALSE)</f>
        <v>0</v>
      </c>
      <c r="AA1457" s="68">
        <f t="shared" si="667"/>
        <v>0</v>
      </c>
      <c r="AB1457" s="63">
        <f t="shared" si="668"/>
        <v>0</v>
      </c>
      <c r="AC1457" s="28">
        <f t="shared" si="673"/>
        <v>0</v>
      </c>
      <c r="AD1457" s="61">
        <v>1</v>
      </c>
      <c r="AE1457" s="59"/>
      <c r="AF1457" s="12" t="s">
        <v>292</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292</v>
      </c>
      <c r="V1458" s="28">
        <f t="shared" si="666"/>
        <v>0</v>
      </c>
      <c r="W1458" s="28">
        <f>VLOOKUP(U1458,Sheet1!$B$6:$C$45,2,FALSE)*V1458</f>
        <v>0</v>
      </c>
      <c r="X1458" s="59"/>
      <c r="Y1458" s="12" t="s">
        <v>292</v>
      </c>
      <c r="Z1458" s="68">
        <f>VLOOKUP(Takeoffs!Y1458,Sheet1!$B$6:$C$124,2,FALSE)</f>
        <v>0</v>
      </c>
      <c r="AA1458" s="68">
        <f t="shared" si="667"/>
        <v>0</v>
      </c>
      <c r="AB1458" s="63">
        <f t="shared" si="668"/>
        <v>0</v>
      </c>
      <c r="AC1458" s="28">
        <f t="shared" si="673"/>
        <v>0</v>
      </c>
      <c r="AD1458" s="61">
        <v>1</v>
      </c>
      <c r="AE1458" s="59"/>
      <c r="AF1458" s="12" t="s">
        <v>292</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377</v>
      </c>
      <c r="L1459" s="21" t="s">
        <v>378</v>
      </c>
      <c r="N1459" s="22"/>
      <c r="O1459" s="23" t="s">
        <v>357</v>
      </c>
      <c r="P1459" s="24">
        <f>V1459+AA1459+AH1459</f>
        <v>0</v>
      </c>
      <c r="Q1459" s="24"/>
      <c r="R1459" s="24"/>
      <c r="S1459" s="23"/>
      <c r="T1459" s="20"/>
      <c r="U1459" s="19" t="s">
        <v>351</v>
      </c>
      <c r="V1459" s="20">
        <f>W1459*80</f>
        <v>0</v>
      </c>
      <c r="W1459" s="69">
        <f>SUM(W1438:W1458)</f>
        <v>0</v>
      </c>
      <c r="X1459" s="70"/>
      <c r="Y1459" s="20" t="s">
        <v>352</v>
      </c>
      <c r="Z1459" s="2"/>
      <c r="AA1459" s="2">
        <f>SUM(AA1438:AA1458)</f>
        <v>0</v>
      </c>
      <c r="AB1459" s="71"/>
      <c r="AC1459" s="71"/>
      <c r="AD1459" s="71"/>
      <c r="AE1459" s="71"/>
      <c r="AF1459" s="20" t="s">
        <v>356</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hidden="1" x14ac:dyDescent="0.8">
      <c r="A1460" s="262">
        <f>ROW()</f>
        <v>1460</v>
      </c>
      <c r="B1460" s="234" t="s">
        <v>491</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367</v>
      </c>
      <c r="N1460" s="83" t="str">
        <f>N1438</f>
        <v>common area split AC systems (local power supply)</v>
      </c>
      <c r="O1460" s="83" t="s">
        <v>365</v>
      </c>
      <c r="P1460" s="64" t="e">
        <f>P1459/M1438</f>
        <v>#DIV/0!</v>
      </c>
      <c r="Q1460" s="84"/>
      <c r="R1460" s="84"/>
      <c r="S1460" s="83"/>
      <c r="T1460" s="84"/>
      <c r="U1460" s="571" t="s">
        <v>366</v>
      </c>
      <c r="V1460" s="571"/>
      <c r="W1460" s="85" t="e">
        <f>W1459/M1438</f>
        <v>#DIV/0!</v>
      </c>
      <c r="X1460" s="86"/>
      <c r="Y1460" s="570" t="s">
        <v>365</v>
      </c>
      <c r="Z1460" s="570"/>
      <c r="AA1460" s="87" t="e">
        <f>AA1459/M1438</f>
        <v>#DIV/0!</v>
      </c>
      <c r="AB1460" s="84"/>
      <c r="AC1460" s="84"/>
      <c r="AD1460" s="84"/>
      <c r="AE1460" s="84"/>
      <c r="AF1460" s="570" t="s">
        <v>365</v>
      </c>
      <c r="AG1460" s="570"/>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452</v>
      </c>
      <c r="M1461" s="116" t="s">
        <v>298</v>
      </c>
      <c r="N1461" s="116" t="s">
        <v>108</v>
      </c>
      <c r="O1461" s="170" t="s">
        <v>386</v>
      </c>
      <c r="P1461" s="572" t="s">
        <v>375</v>
      </c>
      <c r="Q1461" s="572"/>
      <c r="R1461" s="101" t="s">
        <v>452</v>
      </c>
      <c r="S1461" s="116" t="s">
        <v>0</v>
      </c>
      <c r="T1461" s="118"/>
      <c r="U1461" s="116" t="s">
        <v>287</v>
      </c>
      <c r="V1461" s="116" t="s">
        <v>288</v>
      </c>
      <c r="W1461" s="116" t="s">
        <v>291</v>
      </c>
      <c r="X1461" s="140"/>
      <c r="Y1461" s="116" t="s">
        <v>289</v>
      </c>
      <c r="Z1461" s="116" t="s">
        <v>354</v>
      </c>
      <c r="AA1461" s="116" t="s">
        <v>355</v>
      </c>
      <c r="AB1461" s="116" t="s">
        <v>317</v>
      </c>
      <c r="AC1461" s="116" t="s">
        <v>318</v>
      </c>
      <c r="AD1461" s="116" t="s">
        <v>316</v>
      </c>
      <c r="AE1461" s="140"/>
      <c r="AF1461" s="116" t="s">
        <v>293</v>
      </c>
      <c r="AG1461" s="116" t="s">
        <v>354</v>
      </c>
      <c r="AH1461" s="116" t="s">
        <v>355</v>
      </c>
      <c r="AI1461" s="116" t="s">
        <v>296</v>
      </c>
      <c r="AJ1461" s="116" t="s">
        <v>294</v>
      </c>
      <c r="AK1461" s="116" t="s">
        <v>295</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643</v>
      </c>
      <c r="O1462" s="121" t="s">
        <v>138</v>
      </c>
      <c r="P1462" s="169" t="s">
        <v>379</v>
      </c>
      <c r="Q1462" s="169" t="s">
        <v>375</v>
      </c>
      <c r="R1462" s="169"/>
      <c r="S1462" s="133">
        <f>M1462</f>
        <v>0</v>
      </c>
      <c r="T1462" s="119"/>
      <c r="U1462" s="121" t="s">
        <v>292</v>
      </c>
      <c r="V1462" s="133">
        <f>S1462</f>
        <v>0</v>
      </c>
      <c r="W1462" s="133">
        <f>VLOOKUP(U1462,Sheet1!$B$6:$C$45,2,FALSE)*V1462</f>
        <v>0</v>
      </c>
      <c r="X1462" s="141"/>
      <c r="Y1462" s="121" t="s">
        <v>292</v>
      </c>
      <c r="Z1462" s="146">
        <f>VLOOKUP(Takeoffs!Y1462,Sheet1!$B$6:$C$124,2,FALSE)</f>
        <v>0</v>
      </c>
      <c r="AA1462" s="146">
        <f>Z1462*AB1462</f>
        <v>0</v>
      </c>
      <c r="AB1462" s="143">
        <f>AD1462*AC1462</f>
        <v>0</v>
      </c>
      <c r="AC1462" s="133">
        <f>S1462</f>
        <v>0</v>
      </c>
      <c r="AD1462" s="142">
        <v>1</v>
      </c>
      <c r="AE1462" s="141"/>
      <c r="AF1462" s="121" t="s">
        <v>292</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426</v>
      </c>
      <c r="P1463" s="121"/>
      <c r="Q1463" s="121"/>
      <c r="R1463" s="121"/>
      <c r="S1463" s="133">
        <f>M1462</f>
        <v>0</v>
      </c>
      <c r="T1463" s="120"/>
      <c r="U1463" s="121" t="s">
        <v>239</v>
      </c>
      <c r="V1463" s="133">
        <f t="shared" ref="V1463:V1482" si="675">S1463</f>
        <v>0</v>
      </c>
      <c r="W1463" s="133">
        <f>VLOOKUP(U1463,Sheet1!$B$6:$C$45,2,FALSE)*V1463</f>
        <v>0</v>
      </c>
      <c r="X1463" s="141"/>
      <c r="Y1463" s="121" t="s">
        <v>292</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393</v>
      </c>
      <c r="P1464" s="121"/>
      <c r="Q1464" s="121"/>
      <c r="R1464" s="121"/>
      <c r="S1464" s="133">
        <f>M1462</f>
        <v>0</v>
      </c>
      <c r="T1464" s="120"/>
      <c r="U1464" s="121" t="s">
        <v>301</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450</v>
      </c>
      <c r="P1465" s="121"/>
      <c r="Q1465" s="121"/>
      <c r="R1465" s="121"/>
      <c r="S1465" s="133">
        <f>M1462</f>
        <v>0</v>
      </c>
      <c r="T1465" s="120"/>
      <c r="U1465" s="121" t="s">
        <v>292</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292</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414</v>
      </c>
      <c r="P1466" s="121" t="s">
        <v>447</v>
      </c>
      <c r="Q1466" s="121" t="s">
        <v>383</v>
      </c>
      <c r="R1466" s="121"/>
      <c r="S1466" s="133">
        <f>M1462</f>
        <v>0</v>
      </c>
      <c r="T1466" s="120"/>
      <c r="U1466" s="121" t="s">
        <v>230</v>
      </c>
      <c r="V1466" s="133">
        <f t="shared" si="675"/>
        <v>0</v>
      </c>
      <c r="W1466" s="133">
        <f>VLOOKUP(U1466,Sheet1!$B$6:$C$45,2,FALSE)*V1466</f>
        <v>0</v>
      </c>
      <c r="X1466" s="141"/>
      <c r="Y1466" s="121" t="s">
        <v>292</v>
      </c>
      <c r="Z1466" s="146">
        <f>VLOOKUP(Takeoffs!Y1466,Sheet1!$B$6:$C$124,2,FALSE)</f>
        <v>0</v>
      </c>
      <c r="AA1466" s="146">
        <f t="shared" si="676"/>
        <v>0</v>
      </c>
      <c r="AB1466" s="143">
        <f t="shared" si="677"/>
        <v>0</v>
      </c>
      <c r="AC1466" s="133">
        <f t="shared" si="678"/>
        <v>0</v>
      </c>
      <c r="AD1466" s="142">
        <v>1</v>
      </c>
      <c r="AE1466" s="141"/>
      <c r="AF1466" s="121" t="s">
        <v>292</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640</v>
      </c>
      <c r="P1467" s="121" t="s">
        <v>447</v>
      </c>
      <c r="Q1467" s="121" t="s">
        <v>644</v>
      </c>
      <c r="R1467" s="121"/>
      <c r="S1467" s="133">
        <f>M1462</f>
        <v>0</v>
      </c>
      <c r="T1467" s="120"/>
      <c r="U1467" s="117" t="s">
        <v>363</v>
      </c>
      <c r="V1467" s="133">
        <f t="shared" si="675"/>
        <v>0</v>
      </c>
      <c r="W1467" s="133">
        <f>VLOOKUP(U1467,Sheet1!$B$6:$C$45,2,FALSE)*V1467</f>
        <v>0</v>
      </c>
      <c r="X1467" s="141"/>
      <c r="Y1467" s="121" t="s">
        <v>292</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292</v>
      </c>
      <c r="V1468" s="133">
        <f t="shared" si="675"/>
        <v>0</v>
      </c>
      <c r="W1468" s="133">
        <f>VLOOKUP(U1468,Sheet1!$B$6:$C$45,2,FALSE)*V1468</f>
        <v>0</v>
      </c>
      <c r="X1468" s="141"/>
      <c r="Y1468" s="121" t="s">
        <v>292</v>
      </c>
      <c r="Z1468" s="146">
        <f>VLOOKUP(Takeoffs!Y1468,Sheet1!$B$6:$C$124,2,FALSE)</f>
        <v>0</v>
      </c>
      <c r="AA1468" s="146">
        <f t="shared" si="676"/>
        <v>0</v>
      </c>
      <c r="AB1468" s="143">
        <f t="shared" si="677"/>
        <v>0</v>
      </c>
      <c r="AC1468" s="133">
        <f t="shared" si="678"/>
        <v>0</v>
      </c>
      <c r="AD1468" s="142">
        <v>1</v>
      </c>
      <c r="AE1468" s="141"/>
      <c r="AF1468" s="121" t="s">
        <v>292</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292</v>
      </c>
      <c r="V1469" s="133">
        <f t="shared" si="675"/>
        <v>0</v>
      </c>
      <c r="W1469" s="133">
        <f>VLOOKUP(U1469,Sheet1!$B$6:$C$45,2,FALSE)*V1469</f>
        <v>0</v>
      </c>
      <c r="X1469" s="141"/>
      <c r="Y1469" s="121" t="s">
        <v>292</v>
      </c>
      <c r="Z1469" s="146">
        <f>VLOOKUP(Takeoffs!Y1469,Sheet1!$B$6:$C$124,2,FALSE)</f>
        <v>0</v>
      </c>
      <c r="AA1469" s="146">
        <f t="shared" si="676"/>
        <v>0</v>
      </c>
      <c r="AB1469" s="143">
        <f t="shared" si="677"/>
        <v>0</v>
      </c>
      <c r="AC1469" s="133">
        <f t="shared" si="678"/>
        <v>0</v>
      </c>
      <c r="AD1469" s="142">
        <v>1</v>
      </c>
      <c r="AE1469" s="141"/>
      <c r="AF1469" s="121" t="s">
        <v>292</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292</v>
      </c>
      <c r="V1470" s="133">
        <f t="shared" si="675"/>
        <v>0</v>
      </c>
      <c r="W1470" s="133">
        <f>VLOOKUP(U1470,Sheet1!$B$6:$C$45,2,FALSE)*V1470</f>
        <v>0</v>
      </c>
      <c r="X1470" s="141"/>
      <c r="Y1470" s="121" t="s">
        <v>292</v>
      </c>
      <c r="Z1470" s="146">
        <f>VLOOKUP(Takeoffs!Y1470,Sheet1!$B$6:$C$124,2,FALSE)</f>
        <v>0</v>
      </c>
      <c r="AA1470" s="146">
        <f t="shared" si="676"/>
        <v>0</v>
      </c>
      <c r="AB1470" s="143">
        <f t="shared" si="677"/>
        <v>0</v>
      </c>
      <c r="AC1470" s="133">
        <f t="shared" si="678"/>
        <v>0</v>
      </c>
      <c r="AD1470" s="142">
        <v>1</v>
      </c>
      <c r="AE1470" s="141"/>
      <c r="AF1470" s="121" t="s">
        <v>292</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292</v>
      </c>
      <c r="V1471" s="133">
        <f t="shared" si="675"/>
        <v>0</v>
      </c>
      <c r="W1471" s="133">
        <f>VLOOKUP(U1471,Sheet1!$B$6:$C$45,2,FALSE)*V1471</f>
        <v>0</v>
      </c>
      <c r="X1471" s="141"/>
      <c r="Y1471" s="121" t="s">
        <v>292</v>
      </c>
      <c r="Z1471" s="146">
        <f>VLOOKUP(Takeoffs!Y1471,Sheet1!$B$6:$C$124,2,FALSE)</f>
        <v>0</v>
      </c>
      <c r="AA1471" s="146">
        <f t="shared" si="676"/>
        <v>0</v>
      </c>
      <c r="AB1471" s="143">
        <f t="shared" si="677"/>
        <v>0</v>
      </c>
      <c r="AC1471" s="133">
        <f t="shared" si="678"/>
        <v>0</v>
      </c>
      <c r="AD1471" s="142">
        <v>1</v>
      </c>
      <c r="AE1471" s="141"/>
      <c r="AF1471" s="121" t="s">
        <v>292</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292</v>
      </c>
      <c r="V1472" s="133">
        <f t="shared" si="675"/>
        <v>0</v>
      </c>
      <c r="W1472" s="133">
        <f>VLOOKUP(U1472,Sheet1!$B$6:$C$45,2,FALSE)*V1472</f>
        <v>0</v>
      </c>
      <c r="X1472" s="141"/>
      <c r="Y1472" s="121" t="s">
        <v>292</v>
      </c>
      <c r="Z1472" s="146">
        <f>VLOOKUP(Takeoffs!Y1472,Sheet1!$B$6:$C$124,2,FALSE)</f>
        <v>0</v>
      </c>
      <c r="AA1472" s="146">
        <f t="shared" si="676"/>
        <v>0</v>
      </c>
      <c r="AB1472" s="143">
        <f t="shared" si="677"/>
        <v>0</v>
      </c>
      <c r="AC1472" s="133">
        <f t="shared" si="678"/>
        <v>0</v>
      </c>
      <c r="AD1472" s="142">
        <v>1</v>
      </c>
      <c r="AE1472" s="141"/>
      <c r="AF1472" s="121" t="s">
        <v>292</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292</v>
      </c>
      <c r="V1473" s="133">
        <f t="shared" si="675"/>
        <v>0</v>
      </c>
      <c r="W1473" s="133">
        <f>VLOOKUP(U1473,Sheet1!$B$6:$C$45,2,FALSE)*V1473</f>
        <v>0</v>
      </c>
      <c r="X1473" s="141"/>
      <c r="Y1473" s="121" t="s">
        <v>292</v>
      </c>
      <c r="Z1473" s="146">
        <f>VLOOKUP(Takeoffs!Y1473,Sheet1!$B$6:$C$124,2,FALSE)</f>
        <v>0</v>
      </c>
      <c r="AA1473" s="146">
        <f t="shared" si="676"/>
        <v>0</v>
      </c>
      <c r="AB1473" s="143">
        <f t="shared" si="677"/>
        <v>0</v>
      </c>
      <c r="AC1473" s="133">
        <f t="shared" si="678"/>
        <v>0</v>
      </c>
      <c r="AD1473" s="142">
        <v>1</v>
      </c>
      <c r="AE1473" s="141"/>
      <c r="AF1473" s="121" t="s">
        <v>292</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292</v>
      </c>
      <c r="V1474" s="133">
        <f t="shared" si="675"/>
        <v>0</v>
      </c>
      <c r="W1474" s="133">
        <f>VLOOKUP(U1474,Sheet1!$B$6:$C$45,2,FALSE)*V1474</f>
        <v>0</v>
      </c>
      <c r="X1474" s="141"/>
      <c r="Y1474" s="121" t="s">
        <v>292</v>
      </c>
      <c r="Z1474" s="146">
        <f>VLOOKUP(Takeoffs!Y1474,Sheet1!$B$6:$C$124,2,FALSE)</f>
        <v>0</v>
      </c>
      <c r="AA1474" s="146">
        <f t="shared" si="676"/>
        <v>0</v>
      </c>
      <c r="AB1474" s="143">
        <f t="shared" si="677"/>
        <v>0</v>
      </c>
      <c r="AC1474" s="133">
        <f t="shared" si="678"/>
        <v>0</v>
      </c>
      <c r="AD1474" s="142">
        <v>1</v>
      </c>
      <c r="AE1474" s="141"/>
      <c r="AF1474" s="121" t="s">
        <v>292</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292</v>
      </c>
      <c r="V1475" s="133">
        <f t="shared" si="675"/>
        <v>0</v>
      </c>
      <c r="W1475" s="133">
        <f>VLOOKUP(U1475,Sheet1!$B$6:$C$45,2,FALSE)*V1475</f>
        <v>0</v>
      </c>
      <c r="X1475" s="141"/>
      <c r="Y1475" s="121" t="s">
        <v>292</v>
      </c>
      <c r="Z1475" s="146">
        <f>VLOOKUP(Takeoffs!Y1475,Sheet1!$B$6:$C$124,2,FALSE)</f>
        <v>0</v>
      </c>
      <c r="AA1475" s="146">
        <f t="shared" si="676"/>
        <v>0</v>
      </c>
      <c r="AB1475" s="143">
        <f t="shared" si="677"/>
        <v>0</v>
      </c>
      <c r="AC1475" s="133">
        <f t="shared" si="678"/>
        <v>0</v>
      </c>
      <c r="AD1475" s="142">
        <v>1</v>
      </c>
      <c r="AE1475" s="141"/>
      <c r="AF1475" s="121" t="s">
        <v>292</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292</v>
      </c>
      <c r="V1476" s="133">
        <f t="shared" si="675"/>
        <v>0</v>
      </c>
      <c r="W1476" s="133">
        <f>VLOOKUP(U1476,Sheet1!$B$6:$C$45,2,FALSE)*V1476</f>
        <v>0</v>
      </c>
      <c r="X1476" s="141"/>
      <c r="Y1476" s="121" t="s">
        <v>292</v>
      </c>
      <c r="Z1476" s="146">
        <f>VLOOKUP(Takeoffs!Y1476,Sheet1!$B$6:$C$124,2,FALSE)</f>
        <v>0</v>
      </c>
      <c r="AA1476" s="146">
        <f t="shared" si="676"/>
        <v>0</v>
      </c>
      <c r="AB1476" s="143">
        <f t="shared" si="677"/>
        <v>0</v>
      </c>
      <c r="AC1476" s="133">
        <f t="shared" si="678"/>
        <v>0</v>
      </c>
      <c r="AD1476" s="142">
        <v>1</v>
      </c>
      <c r="AE1476" s="141"/>
      <c r="AF1476" s="121" t="s">
        <v>292</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292</v>
      </c>
      <c r="V1477" s="133">
        <f t="shared" si="675"/>
        <v>0</v>
      </c>
      <c r="W1477" s="133">
        <f>VLOOKUP(U1477,Sheet1!$B$6:$C$45,2,FALSE)*V1477</f>
        <v>0</v>
      </c>
      <c r="X1477" s="141"/>
      <c r="Y1477" s="121" t="s">
        <v>292</v>
      </c>
      <c r="Z1477" s="146">
        <f>VLOOKUP(Takeoffs!Y1477,Sheet1!$B$6:$C$124,2,FALSE)</f>
        <v>0</v>
      </c>
      <c r="AA1477" s="146">
        <f t="shared" si="676"/>
        <v>0</v>
      </c>
      <c r="AB1477" s="143">
        <f t="shared" si="677"/>
        <v>0</v>
      </c>
      <c r="AC1477" s="133">
        <f t="shared" si="678"/>
        <v>0</v>
      </c>
      <c r="AD1477" s="142">
        <v>1</v>
      </c>
      <c r="AE1477" s="141"/>
      <c r="AF1477" s="121" t="s">
        <v>292</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292</v>
      </c>
      <c r="V1478" s="133">
        <f t="shared" si="675"/>
        <v>0</v>
      </c>
      <c r="W1478" s="133">
        <f>VLOOKUP(U1478,Sheet1!$B$6:$C$45,2,FALSE)*V1478</f>
        <v>0</v>
      </c>
      <c r="X1478" s="141"/>
      <c r="Y1478" s="121" t="s">
        <v>292</v>
      </c>
      <c r="Z1478" s="146">
        <f>VLOOKUP(Takeoffs!Y1478,Sheet1!$B$6:$C$124,2,FALSE)</f>
        <v>0</v>
      </c>
      <c r="AA1478" s="146">
        <f t="shared" si="676"/>
        <v>0</v>
      </c>
      <c r="AB1478" s="143">
        <f t="shared" si="677"/>
        <v>0</v>
      </c>
      <c r="AC1478" s="133">
        <f t="shared" si="678"/>
        <v>0</v>
      </c>
      <c r="AD1478" s="142">
        <v>1</v>
      </c>
      <c r="AE1478" s="141"/>
      <c r="AF1478" s="121" t="s">
        <v>292</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292</v>
      </c>
      <c r="V1479" s="133">
        <f t="shared" si="675"/>
        <v>0</v>
      </c>
      <c r="W1479" s="133">
        <f>VLOOKUP(U1479,Sheet1!$B$6:$C$45,2,FALSE)*V1479</f>
        <v>0</v>
      </c>
      <c r="X1479" s="141"/>
      <c r="Y1479" s="121" t="s">
        <v>292</v>
      </c>
      <c r="Z1479" s="146">
        <f>VLOOKUP(Takeoffs!Y1479,Sheet1!$B$6:$C$124,2,FALSE)</f>
        <v>0</v>
      </c>
      <c r="AA1479" s="146">
        <f t="shared" si="676"/>
        <v>0</v>
      </c>
      <c r="AB1479" s="143">
        <f t="shared" si="677"/>
        <v>0</v>
      </c>
      <c r="AC1479" s="133">
        <f t="shared" si="678"/>
        <v>0</v>
      </c>
      <c r="AD1479" s="142">
        <v>1</v>
      </c>
      <c r="AE1479" s="141"/>
      <c r="AF1479" s="121" t="s">
        <v>292</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292</v>
      </c>
      <c r="V1480" s="133">
        <f t="shared" si="675"/>
        <v>0</v>
      </c>
      <c r="W1480" s="133">
        <f>VLOOKUP(U1480,Sheet1!$B$6:$C$45,2,FALSE)*V1480</f>
        <v>0</v>
      </c>
      <c r="X1480" s="141"/>
      <c r="Y1480" s="121" t="s">
        <v>292</v>
      </c>
      <c r="Z1480" s="146">
        <f>VLOOKUP(Takeoffs!Y1480,Sheet1!$B$6:$C$124,2,FALSE)</f>
        <v>0</v>
      </c>
      <c r="AA1480" s="146">
        <f t="shared" si="676"/>
        <v>0</v>
      </c>
      <c r="AB1480" s="143">
        <f t="shared" si="677"/>
        <v>0</v>
      </c>
      <c r="AC1480" s="133">
        <f t="shared" si="678"/>
        <v>0</v>
      </c>
      <c r="AD1480" s="142">
        <v>1</v>
      </c>
      <c r="AE1480" s="141"/>
      <c r="AF1480" s="121" t="s">
        <v>292</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292</v>
      </c>
      <c r="V1481" s="133">
        <f t="shared" si="675"/>
        <v>0</v>
      </c>
      <c r="W1481" s="133">
        <f>VLOOKUP(U1481,Sheet1!$B$6:$C$45,2,FALSE)*V1481</f>
        <v>0</v>
      </c>
      <c r="X1481" s="141"/>
      <c r="Y1481" s="121" t="s">
        <v>292</v>
      </c>
      <c r="Z1481" s="146">
        <f>VLOOKUP(Takeoffs!Y1481,Sheet1!$B$6:$C$124,2,FALSE)</f>
        <v>0</v>
      </c>
      <c r="AA1481" s="146">
        <f t="shared" si="676"/>
        <v>0</v>
      </c>
      <c r="AB1481" s="143">
        <f t="shared" si="677"/>
        <v>0</v>
      </c>
      <c r="AC1481" s="133">
        <f t="shared" si="678"/>
        <v>0</v>
      </c>
      <c r="AD1481" s="142">
        <v>1</v>
      </c>
      <c r="AE1481" s="141"/>
      <c r="AF1481" s="121" t="s">
        <v>292</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292</v>
      </c>
      <c r="V1482" s="133">
        <f t="shared" si="675"/>
        <v>0</v>
      </c>
      <c r="W1482" s="133">
        <f>VLOOKUP(U1482,Sheet1!$B$6:$C$45,2,FALSE)*V1482</f>
        <v>0</v>
      </c>
      <c r="X1482" s="141"/>
      <c r="Y1482" s="121" t="s">
        <v>292</v>
      </c>
      <c r="Z1482" s="146">
        <f>VLOOKUP(Takeoffs!Y1482,Sheet1!$B$6:$C$124,2,FALSE)</f>
        <v>0</v>
      </c>
      <c r="AA1482" s="146">
        <f t="shared" si="676"/>
        <v>0</v>
      </c>
      <c r="AB1482" s="143">
        <f t="shared" si="677"/>
        <v>0</v>
      </c>
      <c r="AC1482" s="133">
        <f t="shared" si="678"/>
        <v>0</v>
      </c>
      <c r="AD1482" s="142">
        <v>1</v>
      </c>
      <c r="AE1482" s="141"/>
      <c r="AF1482" s="121" t="s">
        <v>292</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377</v>
      </c>
      <c r="L1483" s="128" t="s">
        <v>378</v>
      </c>
      <c r="N1483" s="129"/>
      <c r="O1483" s="130" t="s">
        <v>357</v>
      </c>
      <c r="P1483" s="131">
        <f>V1483+AA1483+AH1483</f>
        <v>0</v>
      </c>
      <c r="Q1483" s="131"/>
      <c r="R1483" s="131"/>
      <c r="S1483" s="130"/>
      <c r="T1483" s="127"/>
      <c r="U1483" s="126" t="s">
        <v>351</v>
      </c>
      <c r="V1483" s="127">
        <f>W1483*80</f>
        <v>0</v>
      </c>
      <c r="W1483" s="147">
        <f>SUM(W1462:W1482)</f>
        <v>0</v>
      </c>
      <c r="X1483" s="148"/>
      <c r="Y1483" s="127" t="s">
        <v>352</v>
      </c>
      <c r="Z1483" s="116"/>
      <c r="AA1483" s="116">
        <f>SUM(AA1462:AA1482)</f>
        <v>0</v>
      </c>
      <c r="AB1483" s="149"/>
      <c r="AC1483" s="149"/>
      <c r="AD1483" s="149"/>
      <c r="AE1483" s="149"/>
      <c r="AF1483" s="127" t="s">
        <v>356</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hidden="1" x14ac:dyDescent="0.8">
      <c r="A1484" s="262">
        <f>ROW()</f>
        <v>1484</v>
      </c>
      <c r="B1484" s="234" t="s">
        <v>491</v>
      </c>
      <c r="C1484" s="217" t="str">
        <f>N1462</f>
        <v>VRF indoor units with cabling for on/off control from other system/s to unit</v>
      </c>
      <c r="D1484" s="260" t="s">
        <v>678</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367</v>
      </c>
      <c r="N1484" s="160" t="str">
        <f>N1462</f>
        <v>VRF indoor units with cabling for on/off control from other system/s to unit</v>
      </c>
      <c r="O1484" s="160" t="s">
        <v>365</v>
      </c>
      <c r="P1484" s="82" t="e">
        <f>P1483/M1462</f>
        <v>#DIV/0!</v>
      </c>
      <c r="Q1484" s="161"/>
      <c r="R1484" s="161"/>
      <c r="S1484" s="160"/>
      <c r="T1484" s="161"/>
      <c r="U1484" s="571" t="s">
        <v>366</v>
      </c>
      <c r="V1484" s="571"/>
      <c r="W1484" s="162" t="e">
        <f>W1483/M1462</f>
        <v>#DIV/0!</v>
      </c>
      <c r="X1484" s="163"/>
      <c r="Y1484" s="570" t="s">
        <v>365</v>
      </c>
      <c r="Z1484" s="570"/>
      <c r="AA1484" s="164" t="e">
        <f>AA1483/M1462</f>
        <v>#DIV/0!</v>
      </c>
      <c r="AB1484" s="161"/>
      <c r="AC1484" s="161"/>
      <c r="AD1484" s="161"/>
      <c r="AE1484" s="161"/>
      <c r="AF1484" s="570" t="s">
        <v>365</v>
      </c>
      <c r="AG1484" s="570"/>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452</v>
      </c>
      <c r="M1485" s="116" t="s">
        <v>298</v>
      </c>
      <c r="N1485" s="116" t="s">
        <v>108</v>
      </c>
      <c r="O1485" s="170" t="s">
        <v>386</v>
      </c>
      <c r="P1485" s="572" t="s">
        <v>375</v>
      </c>
      <c r="Q1485" s="572"/>
      <c r="R1485" s="101" t="s">
        <v>452</v>
      </c>
      <c r="S1485" s="116" t="s">
        <v>0</v>
      </c>
      <c r="T1485" s="118"/>
      <c r="U1485" s="116" t="s">
        <v>287</v>
      </c>
      <c r="V1485" s="116" t="s">
        <v>288</v>
      </c>
      <c r="W1485" s="116" t="s">
        <v>291</v>
      </c>
      <c r="X1485" s="140"/>
      <c r="Y1485" s="116" t="s">
        <v>289</v>
      </c>
      <c r="Z1485" s="116" t="s">
        <v>354</v>
      </c>
      <c r="AA1485" s="116" t="s">
        <v>355</v>
      </c>
      <c r="AB1485" s="116" t="s">
        <v>317</v>
      </c>
      <c r="AC1485" s="116" t="s">
        <v>318</v>
      </c>
      <c r="AD1485" s="116" t="s">
        <v>316</v>
      </c>
      <c r="AE1485" s="140"/>
      <c r="AF1485" s="116" t="s">
        <v>293</v>
      </c>
      <c r="AG1485" s="116" t="s">
        <v>354</v>
      </c>
      <c r="AH1485" s="116" t="s">
        <v>355</v>
      </c>
      <c r="AI1485" s="116" t="s">
        <v>296</v>
      </c>
      <c r="AJ1485" s="116" t="s">
        <v>294</v>
      </c>
      <c r="AK1485" s="116" t="s">
        <v>295</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642</v>
      </c>
      <c r="O1486" s="121" t="s">
        <v>138</v>
      </c>
      <c r="P1486" s="169" t="s">
        <v>379</v>
      </c>
      <c r="Q1486" s="169" t="s">
        <v>375</v>
      </c>
      <c r="R1486" s="169"/>
      <c r="S1486" s="133">
        <f>M1486</f>
        <v>0</v>
      </c>
      <c r="T1486" s="119"/>
      <c r="U1486" s="121" t="s">
        <v>292</v>
      </c>
      <c r="V1486" s="133">
        <f>S1486</f>
        <v>0</v>
      </c>
      <c r="W1486" s="133">
        <f>VLOOKUP(U1486,Sheet1!$B$6:$C$45,2,FALSE)*V1486</f>
        <v>0</v>
      </c>
      <c r="X1486" s="141"/>
      <c r="Y1486" s="121" t="s">
        <v>292</v>
      </c>
      <c r="Z1486" s="146">
        <f>VLOOKUP(Takeoffs!Y1486,Sheet1!$B$6:$C$124,2,FALSE)</f>
        <v>0</v>
      </c>
      <c r="AA1486" s="146">
        <f>Z1486*AB1486</f>
        <v>0</v>
      </c>
      <c r="AB1486" s="143">
        <f>AD1486*AC1486</f>
        <v>0</v>
      </c>
      <c r="AC1486" s="133">
        <f>S1486</f>
        <v>0</v>
      </c>
      <c r="AD1486" s="142">
        <v>1</v>
      </c>
      <c r="AE1486" s="141"/>
      <c r="AF1486" s="121" t="s">
        <v>292</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426</v>
      </c>
      <c r="P1487" s="121"/>
      <c r="Q1487" s="121"/>
      <c r="R1487" s="121"/>
      <c r="S1487" s="133">
        <f>M1486</f>
        <v>0</v>
      </c>
      <c r="T1487" s="120"/>
      <c r="U1487" s="121" t="s">
        <v>239</v>
      </c>
      <c r="V1487" s="133">
        <f t="shared" ref="V1487:V1506" si="684">S1487</f>
        <v>0</v>
      </c>
      <c r="W1487" s="133">
        <f>VLOOKUP(U1487,Sheet1!$B$6:$C$45,2,FALSE)*V1487</f>
        <v>0</v>
      </c>
      <c r="X1487" s="141"/>
      <c r="Y1487" s="121" t="s">
        <v>292</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393</v>
      </c>
      <c r="P1488" s="121"/>
      <c r="Q1488" s="121"/>
      <c r="R1488" s="121"/>
      <c r="S1488" s="133">
        <f>M1486</f>
        <v>0</v>
      </c>
      <c r="T1488" s="120"/>
      <c r="U1488" s="121" t="s">
        <v>301</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450</v>
      </c>
      <c r="P1489" s="121"/>
      <c r="Q1489" s="121"/>
      <c r="R1489" s="121"/>
      <c r="S1489" s="133">
        <f>M1486</f>
        <v>0</v>
      </c>
      <c r="T1489" s="120"/>
      <c r="U1489" s="121" t="s">
        <v>292</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292</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414</v>
      </c>
      <c r="P1490" s="121" t="s">
        <v>447</v>
      </c>
      <c r="Q1490" s="121" t="s">
        <v>383</v>
      </c>
      <c r="R1490" s="121"/>
      <c r="S1490" s="133">
        <f>M1486</f>
        <v>0</v>
      </c>
      <c r="T1490" s="120"/>
      <c r="U1490" s="121" t="s">
        <v>230</v>
      </c>
      <c r="V1490" s="133">
        <f t="shared" si="684"/>
        <v>0</v>
      </c>
      <c r="W1490" s="133">
        <f>VLOOKUP(U1490,Sheet1!$B$6:$C$45,2,FALSE)*V1490</f>
        <v>0</v>
      </c>
      <c r="X1490" s="141"/>
      <c r="Y1490" s="121" t="s">
        <v>292</v>
      </c>
      <c r="Z1490" s="146">
        <f>VLOOKUP(Takeoffs!Y1490,Sheet1!$B$6:$C$124,2,FALSE)</f>
        <v>0</v>
      </c>
      <c r="AA1490" s="146">
        <f t="shared" si="685"/>
        <v>0</v>
      </c>
      <c r="AB1490" s="143">
        <f t="shared" si="686"/>
        <v>0</v>
      </c>
      <c r="AC1490" s="133">
        <f t="shared" si="687"/>
        <v>0</v>
      </c>
      <c r="AD1490" s="142">
        <v>1</v>
      </c>
      <c r="AE1490" s="141"/>
      <c r="AF1490" s="121" t="s">
        <v>292</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640</v>
      </c>
      <c r="P1491" s="121" t="s">
        <v>447</v>
      </c>
      <c r="Q1491" s="121" t="s">
        <v>641</v>
      </c>
      <c r="R1491" s="121"/>
      <c r="S1491" s="133">
        <f>M1486</f>
        <v>0</v>
      </c>
      <c r="T1491" s="120"/>
      <c r="U1491" s="117" t="s">
        <v>363</v>
      </c>
      <c r="V1491" s="133">
        <f t="shared" si="684"/>
        <v>0</v>
      </c>
      <c r="W1491" s="133">
        <f>VLOOKUP(U1491,Sheet1!$B$6:$C$45,2,FALSE)*V1491</f>
        <v>0</v>
      </c>
      <c r="X1491" s="141"/>
      <c r="Y1491" s="121" t="s">
        <v>292</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292</v>
      </c>
      <c r="V1492" s="133">
        <f t="shared" si="684"/>
        <v>0</v>
      </c>
      <c r="W1492" s="133">
        <f>VLOOKUP(U1492,Sheet1!$B$6:$C$45,2,FALSE)*V1492</f>
        <v>0</v>
      </c>
      <c r="X1492" s="141"/>
      <c r="Y1492" s="121" t="s">
        <v>292</v>
      </c>
      <c r="Z1492" s="146">
        <f>VLOOKUP(Takeoffs!Y1492,Sheet1!$B$6:$C$124,2,FALSE)</f>
        <v>0</v>
      </c>
      <c r="AA1492" s="146">
        <f t="shared" si="685"/>
        <v>0</v>
      </c>
      <c r="AB1492" s="143">
        <f t="shared" si="686"/>
        <v>0</v>
      </c>
      <c r="AC1492" s="133">
        <f t="shared" si="687"/>
        <v>0</v>
      </c>
      <c r="AD1492" s="142">
        <v>1</v>
      </c>
      <c r="AE1492" s="141"/>
      <c r="AF1492" s="121" t="s">
        <v>292</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292</v>
      </c>
      <c r="V1493" s="133">
        <f t="shared" si="684"/>
        <v>0</v>
      </c>
      <c r="W1493" s="133">
        <f>VLOOKUP(U1493,Sheet1!$B$6:$C$45,2,FALSE)*V1493</f>
        <v>0</v>
      </c>
      <c r="X1493" s="141"/>
      <c r="Y1493" s="121" t="s">
        <v>292</v>
      </c>
      <c r="Z1493" s="146">
        <f>VLOOKUP(Takeoffs!Y1493,Sheet1!$B$6:$C$124,2,FALSE)</f>
        <v>0</v>
      </c>
      <c r="AA1493" s="146">
        <f t="shared" si="685"/>
        <v>0</v>
      </c>
      <c r="AB1493" s="143">
        <f t="shared" si="686"/>
        <v>0</v>
      </c>
      <c r="AC1493" s="133">
        <f t="shared" si="687"/>
        <v>0</v>
      </c>
      <c r="AD1493" s="142">
        <v>1</v>
      </c>
      <c r="AE1493" s="141"/>
      <c r="AF1493" s="121" t="s">
        <v>292</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292</v>
      </c>
      <c r="V1494" s="133">
        <f t="shared" si="684"/>
        <v>0</v>
      </c>
      <c r="W1494" s="133">
        <f>VLOOKUP(U1494,Sheet1!$B$6:$C$45,2,FALSE)*V1494</f>
        <v>0</v>
      </c>
      <c r="X1494" s="141"/>
      <c r="Y1494" s="121" t="s">
        <v>292</v>
      </c>
      <c r="Z1494" s="146">
        <f>VLOOKUP(Takeoffs!Y1494,Sheet1!$B$6:$C$124,2,FALSE)</f>
        <v>0</v>
      </c>
      <c r="AA1494" s="146">
        <f t="shared" si="685"/>
        <v>0</v>
      </c>
      <c r="AB1494" s="143">
        <f t="shared" si="686"/>
        <v>0</v>
      </c>
      <c r="AC1494" s="133">
        <f t="shared" si="687"/>
        <v>0</v>
      </c>
      <c r="AD1494" s="142">
        <v>1</v>
      </c>
      <c r="AE1494" s="141"/>
      <c r="AF1494" s="121" t="s">
        <v>292</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292</v>
      </c>
      <c r="V1495" s="133">
        <f t="shared" si="684"/>
        <v>0</v>
      </c>
      <c r="W1495" s="133">
        <f>VLOOKUP(U1495,Sheet1!$B$6:$C$45,2,FALSE)*V1495</f>
        <v>0</v>
      </c>
      <c r="X1495" s="141"/>
      <c r="Y1495" s="121" t="s">
        <v>292</v>
      </c>
      <c r="Z1495" s="146">
        <f>VLOOKUP(Takeoffs!Y1495,Sheet1!$B$6:$C$124,2,FALSE)</f>
        <v>0</v>
      </c>
      <c r="AA1495" s="146">
        <f t="shared" si="685"/>
        <v>0</v>
      </c>
      <c r="AB1495" s="143">
        <f t="shared" si="686"/>
        <v>0</v>
      </c>
      <c r="AC1495" s="133">
        <f t="shared" si="687"/>
        <v>0</v>
      </c>
      <c r="AD1495" s="142">
        <v>1</v>
      </c>
      <c r="AE1495" s="141"/>
      <c r="AF1495" s="121" t="s">
        <v>292</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292</v>
      </c>
      <c r="V1496" s="133">
        <f t="shared" si="684"/>
        <v>0</v>
      </c>
      <c r="W1496" s="133">
        <f>VLOOKUP(U1496,Sheet1!$B$6:$C$45,2,FALSE)*V1496</f>
        <v>0</v>
      </c>
      <c r="X1496" s="141"/>
      <c r="Y1496" s="121" t="s">
        <v>292</v>
      </c>
      <c r="Z1496" s="146">
        <f>VLOOKUP(Takeoffs!Y1496,Sheet1!$B$6:$C$124,2,FALSE)</f>
        <v>0</v>
      </c>
      <c r="AA1496" s="146">
        <f t="shared" si="685"/>
        <v>0</v>
      </c>
      <c r="AB1496" s="143">
        <f t="shared" si="686"/>
        <v>0</v>
      </c>
      <c r="AC1496" s="133">
        <f t="shared" si="687"/>
        <v>0</v>
      </c>
      <c r="AD1496" s="142">
        <v>1</v>
      </c>
      <c r="AE1496" s="141"/>
      <c r="AF1496" s="121" t="s">
        <v>292</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292</v>
      </c>
      <c r="V1497" s="133">
        <f t="shared" si="684"/>
        <v>0</v>
      </c>
      <c r="W1497" s="133">
        <f>VLOOKUP(U1497,Sheet1!$B$6:$C$45,2,FALSE)*V1497</f>
        <v>0</v>
      </c>
      <c r="X1497" s="141"/>
      <c r="Y1497" s="121" t="s">
        <v>292</v>
      </c>
      <c r="Z1497" s="146">
        <f>VLOOKUP(Takeoffs!Y1497,Sheet1!$B$6:$C$124,2,FALSE)</f>
        <v>0</v>
      </c>
      <c r="AA1497" s="146">
        <f t="shared" si="685"/>
        <v>0</v>
      </c>
      <c r="AB1497" s="143">
        <f t="shared" si="686"/>
        <v>0</v>
      </c>
      <c r="AC1497" s="133">
        <f t="shared" si="687"/>
        <v>0</v>
      </c>
      <c r="AD1497" s="142">
        <v>1</v>
      </c>
      <c r="AE1497" s="141"/>
      <c r="AF1497" s="121" t="s">
        <v>292</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292</v>
      </c>
      <c r="V1498" s="133">
        <f t="shared" si="684"/>
        <v>0</v>
      </c>
      <c r="W1498" s="133">
        <f>VLOOKUP(U1498,Sheet1!$B$6:$C$45,2,FALSE)*V1498</f>
        <v>0</v>
      </c>
      <c r="X1498" s="141"/>
      <c r="Y1498" s="121" t="s">
        <v>292</v>
      </c>
      <c r="Z1498" s="146">
        <f>VLOOKUP(Takeoffs!Y1498,Sheet1!$B$6:$C$124,2,FALSE)</f>
        <v>0</v>
      </c>
      <c r="AA1498" s="146">
        <f t="shared" si="685"/>
        <v>0</v>
      </c>
      <c r="AB1498" s="143">
        <f t="shared" si="686"/>
        <v>0</v>
      </c>
      <c r="AC1498" s="133">
        <f t="shared" si="687"/>
        <v>0</v>
      </c>
      <c r="AD1498" s="142">
        <v>1</v>
      </c>
      <c r="AE1498" s="141"/>
      <c r="AF1498" s="121" t="s">
        <v>292</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292</v>
      </c>
      <c r="V1499" s="133">
        <f t="shared" si="684"/>
        <v>0</v>
      </c>
      <c r="W1499" s="133">
        <f>VLOOKUP(U1499,Sheet1!$B$6:$C$45,2,FALSE)*V1499</f>
        <v>0</v>
      </c>
      <c r="X1499" s="141"/>
      <c r="Y1499" s="121" t="s">
        <v>292</v>
      </c>
      <c r="Z1499" s="146">
        <f>VLOOKUP(Takeoffs!Y1499,Sheet1!$B$6:$C$124,2,FALSE)</f>
        <v>0</v>
      </c>
      <c r="AA1499" s="146">
        <f t="shared" si="685"/>
        <v>0</v>
      </c>
      <c r="AB1499" s="143">
        <f t="shared" si="686"/>
        <v>0</v>
      </c>
      <c r="AC1499" s="133">
        <f t="shared" si="687"/>
        <v>0</v>
      </c>
      <c r="AD1499" s="142">
        <v>1</v>
      </c>
      <c r="AE1499" s="141"/>
      <c r="AF1499" s="121" t="s">
        <v>292</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292</v>
      </c>
      <c r="V1500" s="133">
        <f t="shared" si="684"/>
        <v>0</v>
      </c>
      <c r="W1500" s="133">
        <f>VLOOKUP(U1500,Sheet1!$B$6:$C$45,2,FALSE)*V1500</f>
        <v>0</v>
      </c>
      <c r="X1500" s="141"/>
      <c r="Y1500" s="121" t="s">
        <v>292</v>
      </c>
      <c r="Z1500" s="146">
        <f>VLOOKUP(Takeoffs!Y1500,Sheet1!$B$6:$C$124,2,FALSE)</f>
        <v>0</v>
      </c>
      <c r="AA1500" s="146">
        <f t="shared" si="685"/>
        <v>0</v>
      </c>
      <c r="AB1500" s="143">
        <f t="shared" si="686"/>
        <v>0</v>
      </c>
      <c r="AC1500" s="133">
        <f t="shared" si="687"/>
        <v>0</v>
      </c>
      <c r="AD1500" s="142">
        <v>1</v>
      </c>
      <c r="AE1500" s="141"/>
      <c r="AF1500" s="121" t="s">
        <v>292</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292</v>
      </c>
      <c r="V1501" s="133">
        <f t="shared" si="684"/>
        <v>0</v>
      </c>
      <c r="W1501" s="133">
        <f>VLOOKUP(U1501,Sheet1!$B$6:$C$45,2,FALSE)*V1501</f>
        <v>0</v>
      </c>
      <c r="X1501" s="141"/>
      <c r="Y1501" s="121" t="s">
        <v>292</v>
      </c>
      <c r="Z1501" s="146">
        <f>VLOOKUP(Takeoffs!Y1501,Sheet1!$B$6:$C$124,2,FALSE)</f>
        <v>0</v>
      </c>
      <c r="AA1501" s="146">
        <f t="shared" si="685"/>
        <v>0</v>
      </c>
      <c r="AB1501" s="143">
        <f t="shared" si="686"/>
        <v>0</v>
      </c>
      <c r="AC1501" s="133">
        <f t="shared" si="687"/>
        <v>0</v>
      </c>
      <c r="AD1501" s="142">
        <v>1</v>
      </c>
      <c r="AE1501" s="141"/>
      <c r="AF1501" s="121" t="s">
        <v>292</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292</v>
      </c>
      <c r="V1502" s="133">
        <f t="shared" si="684"/>
        <v>0</v>
      </c>
      <c r="W1502" s="133">
        <f>VLOOKUP(U1502,Sheet1!$B$6:$C$45,2,FALSE)*V1502</f>
        <v>0</v>
      </c>
      <c r="X1502" s="141"/>
      <c r="Y1502" s="121" t="s">
        <v>292</v>
      </c>
      <c r="Z1502" s="146">
        <f>VLOOKUP(Takeoffs!Y1502,Sheet1!$B$6:$C$124,2,FALSE)</f>
        <v>0</v>
      </c>
      <c r="AA1502" s="146">
        <f t="shared" si="685"/>
        <v>0</v>
      </c>
      <c r="AB1502" s="143">
        <f t="shared" si="686"/>
        <v>0</v>
      </c>
      <c r="AC1502" s="133">
        <f t="shared" si="687"/>
        <v>0</v>
      </c>
      <c r="AD1502" s="142">
        <v>1</v>
      </c>
      <c r="AE1502" s="141"/>
      <c r="AF1502" s="121" t="s">
        <v>292</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292</v>
      </c>
      <c r="V1503" s="133">
        <f t="shared" si="684"/>
        <v>0</v>
      </c>
      <c r="W1503" s="133">
        <f>VLOOKUP(U1503,Sheet1!$B$6:$C$45,2,FALSE)*V1503</f>
        <v>0</v>
      </c>
      <c r="X1503" s="141"/>
      <c r="Y1503" s="121" t="s">
        <v>292</v>
      </c>
      <c r="Z1503" s="146">
        <f>VLOOKUP(Takeoffs!Y1503,Sheet1!$B$6:$C$124,2,FALSE)</f>
        <v>0</v>
      </c>
      <c r="AA1503" s="146">
        <f t="shared" si="685"/>
        <v>0</v>
      </c>
      <c r="AB1503" s="143">
        <f t="shared" si="686"/>
        <v>0</v>
      </c>
      <c r="AC1503" s="133">
        <f t="shared" si="687"/>
        <v>0</v>
      </c>
      <c r="AD1503" s="142">
        <v>1</v>
      </c>
      <c r="AE1503" s="141"/>
      <c r="AF1503" s="121" t="s">
        <v>292</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292</v>
      </c>
      <c r="V1504" s="133">
        <f t="shared" si="684"/>
        <v>0</v>
      </c>
      <c r="W1504" s="133">
        <f>VLOOKUP(U1504,Sheet1!$B$6:$C$45,2,FALSE)*V1504</f>
        <v>0</v>
      </c>
      <c r="X1504" s="141"/>
      <c r="Y1504" s="121" t="s">
        <v>292</v>
      </c>
      <c r="Z1504" s="146">
        <f>VLOOKUP(Takeoffs!Y1504,Sheet1!$B$6:$C$124,2,FALSE)</f>
        <v>0</v>
      </c>
      <c r="AA1504" s="146">
        <f t="shared" si="685"/>
        <v>0</v>
      </c>
      <c r="AB1504" s="143">
        <f t="shared" si="686"/>
        <v>0</v>
      </c>
      <c r="AC1504" s="133">
        <f t="shared" si="687"/>
        <v>0</v>
      </c>
      <c r="AD1504" s="142">
        <v>1</v>
      </c>
      <c r="AE1504" s="141"/>
      <c r="AF1504" s="121" t="s">
        <v>292</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292</v>
      </c>
      <c r="V1505" s="133">
        <f t="shared" si="684"/>
        <v>0</v>
      </c>
      <c r="W1505" s="133">
        <f>VLOOKUP(U1505,Sheet1!$B$6:$C$45,2,FALSE)*V1505</f>
        <v>0</v>
      </c>
      <c r="X1505" s="141"/>
      <c r="Y1505" s="121" t="s">
        <v>292</v>
      </c>
      <c r="Z1505" s="146">
        <f>VLOOKUP(Takeoffs!Y1505,Sheet1!$B$6:$C$124,2,FALSE)</f>
        <v>0</v>
      </c>
      <c r="AA1505" s="146">
        <f t="shared" si="685"/>
        <v>0</v>
      </c>
      <c r="AB1505" s="143">
        <f t="shared" si="686"/>
        <v>0</v>
      </c>
      <c r="AC1505" s="133">
        <f t="shared" si="687"/>
        <v>0</v>
      </c>
      <c r="AD1505" s="142">
        <v>1</v>
      </c>
      <c r="AE1505" s="141"/>
      <c r="AF1505" s="121" t="s">
        <v>292</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292</v>
      </c>
      <c r="V1506" s="133">
        <f t="shared" si="684"/>
        <v>0</v>
      </c>
      <c r="W1506" s="133">
        <f>VLOOKUP(U1506,Sheet1!$B$6:$C$45,2,FALSE)*V1506</f>
        <v>0</v>
      </c>
      <c r="X1506" s="141"/>
      <c r="Y1506" s="121" t="s">
        <v>292</v>
      </c>
      <c r="Z1506" s="146">
        <f>VLOOKUP(Takeoffs!Y1506,Sheet1!$B$6:$C$124,2,FALSE)</f>
        <v>0</v>
      </c>
      <c r="AA1506" s="146">
        <f t="shared" si="685"/>
        <v>0</v>
      </c>
      <c r="AB1506" s="143">
        <f t="shared" si="686"/>
        <v>0</v>
      </c>
      <c r="AC1506" s="133">
        <f t="shared" si="687"/>
        <v>0</v>
      </c>
      <c r="AD1506" s="142">
        <v>1</v>
      </c>
      <c r="AE1506" s="141"/>
      <c r="AF1506" s="121" t="s">
        <v>292</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377</v>
      </c>
      <c r="L1507" s="128" t="s">
        <v>378</v>
      </c>
      <c r="N1507" s="129"/>
      <c r="O1507" s="130" t="s">
        <v>357</v>
      </c>
      <c r="P1507" s="131">
        <f>V1507+AA1507+AH1507</f>
        <v>0</v>
      </c>
      <c r="Q1507" s="131"/>
      <c r="R1507" s="131"/>
      <c r="S1507" s="130"/>
      <c r="T1507" s="127"/>
      <c r="U1507" s="126" t="s">
        <v>351</v>
      </c>
      <c r="V1507" s="127">
        <f>W1507*80</f>
        <v>0</v>
      </c>
      <c r="W1507" s="147">
        <f>SUM(W1486:W1506)</f>
        <v>0</v>
      </c>
      <c r="X1507" s="148"/>
      <c r="Y1507" s="127" t="s">
        <v>352</v>
      </c>
      <c r="Z1507" s="116"/>
      <c r="AA1507" s="116">
        <f>SUM(AA1486:AA1506)</f>
        <v>0</v>
      </c>
      <c r="AB1507" s="149"/>
      <c r="AC1507" s="149"/>
      <c r="AD1507" s="149"/>
      <c r="AE1507" s="149"/>
      <c r="AF1507" s="127" t="s">
        <v>356</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hidden="1" x14ac:dyDescent="0.8">
      <c r="A1508" s="262">
        <f>ROW()</f>
        <v>1508</v>
      </c>
      <c r="B1508" s="234" t="s">
        <v>491</v>
      </c>
      <c r="C1508" s="217" t="str">
        <f>N1486</f>
        <v>VRF indoor units with cabling for run status from unit to other system/s</v>
      </c>
      <c r="D1508" s="260" t="s">
        <v>678</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367</v>
      </c>
      <c r="N1508" s="160" t="str">
        <f>N1486</f>
        <v>VRF indoor units with cabling for run status from unit to other system/s</v>
      </c>
      <c r="O1508" s="160" t="s">
        <v>365</v>
      </c>
      <c r="P1508" s="82" t="e">
        <f>P1507/M1486</f>
        <v>#DIV/0!</v>
      </c>
      <c r="Q1508" s="161"/>
      <c r="R1508" s="161"/>
      <c r="S1508" s="160"/>
      <c r="T1508" s="161"/>
      <c r="U1508" s="571" t="s">
        <v>366</v>
      </c>
      <c r="V1508" s="571"/>
      <c r="W1508" s="162" t="e">
        <f>W1507/M1486</f>
        <v>#DIV/0!</v>
      </c>
      <c r="X1508" s="163"/>
      <c r="Y1508" s="570" t="s">
        <v>365</v>
      </c>
      <c r="Z1508" s="570"/>
      <c r="AA1508" s="164" t="e">
        <f>AA1507/M1486</f>
        <v>#DIV/0!</v>
      </c>
      <c r="AB1508" s="161"/>
      <c r="AC1508" s="161"/>
      <c r="AD1508" s="161"/>
      <c r="AE1508" s="161"/>
      <c r="AF1508" s="570" t="s">
        <v>365</v>
      </c>
      <c r="AG1508" s="570"/>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452</v>
      </c>
      <c r="M1509" s="2" t="s">
        <v>298</v>
      </c>
      <c r="N1509" s="2" t="s">
        <v>108</v>
      </c>
      <c r="O1509" s="97" t="s">
        <v>386</v>
      </c>
      <c r="P1509" s="572" t="s">
        <v>375</v>
      </c>
      <c r="Q1509" s="572"/>
      <c r="R1509" s="101" t="s">
        <v>452</v>
      </c>
      <c r="S1509" s="2" t="s">
        <v>0</v>
      </c>
      <c r="T1509" s="9"/>
      <c r="U1509" s="2" t="s">
        <v>287</v>
      </c>
      <c r="V1509" s="2" t="s">
        <v>288</v>
      </c>
      <c r="W1509" s="2" t="s">
        <v>291</v>
      </c>
      <c r="X1509" s="58"/>
      <c r="Y1509" s="2" t="s">
        <v>289</v>
      </c>
      <c r="Z1509" s="2" t="s">
        <v>354</v>
      </c>
      <c r="AA1509" s="2" t="s">
        <v>355</v>
      </c>
      <c r="AB1509" s="2" t="s">
        <v>317</v>
      </c>
      <c r="AC1509" s="2" t="s">
        <v>318</v>
      </c>
      <c r="AD1509" s="2" t="s">
        <v>316</v>
      </c>
      <c r="AE1509" s="58"/>
      <c r="AF1509" s="2" t="s">
        <v>293</v>
      </c>
      <c r="AG1509" s="2" t="s">
        <v>354</v>
      </c>
      <c r="AH1509" s="2" t="s">
        <v>355</v>
      </c>
      <c r="AI1509" s="2" t="s">
        <v>296</v>
      </c>
      <c r="AJ1509" s="2" t="s">
        <v>294</v>
      </c>
      <c r="AK1509" s="2" t="s">
        <v>295</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636</v>
      </c>
      <c r="O1510" s="12" t="s">
        <v>138</v>
      </c>
      <c r="P1510" s="96" t="s">
        <v>379</v>
      </c>
      <c r="Q1510" s="96" t="s">
        <v>375</v>
      </c>
      <c r="R1510" s="96"/>
      <c r="S1510" s="28">
        <f>M1510</f>
        <v>0</v>
      </c>
      <c r="T1510" s="10"/>
      <c r="U1510" s="12" t="s">
        <v>292</v>
      </c>
      <c r="V1510" s="28">
        <f>S1510</f>
        <v>0</v>
      </c>
      <c r="W1510" s="28">
        <f>VLOOKUP(U1510,Sheet1!$B$6:$C$45,2,FALSE)*V1510</f>
        <v>0</v>
      </c>
      <c r="X1510" s="59"/>
      <c r="Y1510" s="12" t="s">
        <v>292</v>
      </c>
      <c r="Z1510" s="68">
        <f>VLOOKUP(Takeoffs!Y1510,Sheet1!$B$6:$C$124,2,FALSE)</f>
        <v>0</v>
      </c>
      <c r="AA1510" s="68">
        <f>Z1510*AB1510</f>
        <v>0</v>
      </c>
      <c r="AB1510" s="63">
        <f>AD1510*AC1510</f>
        <v>0</v>
      </c>
      <c r="AC1510" s="28">
        <f>S1510</f>
        <v>0</v>
      </c>
      <c r="AD1510" s="61">
        <v>1</v>
      </c>
      <c r="AE1510" s="59"/>
      <c r="AF1510" s="12" t="s">
        <v>292</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292</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393</v>
      </c>
      <c r="P1512" s="12"/>
      <c r="Q1512" s="12"/>
      <c r="R1512" s="12"/>
      <c r="S1512" s="28">
        <f>M1510</f>
        <v>0</v>
      </c>
      <c r="T1512" s="11"/>
      <c r="U1512" s="12" t="s">
        <v>301</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450</v>
      </c>
      <c r="P1513" s="12"/>
      <c r="Q1513" s="12"/>
      <c r="R1513" s="12"/>
      <c r="S1513" s="28">
        <f>M1510</f>
        <v>0</v>
      </c>
      <c r="T1513" s="11"/>
      <c r="U1513" s="12" t="s">
        <v>292</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292</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414</v>
      </c>
      <c r="P1514" s="12" t="s">
        <v>447</v>
      </c>
      <c r="Q1514" s="12" t="s">
        <v>383</v>
      </c>
      <c r="R1514" s="12"/>
      <c r="S1514" s="28">
        <f>M1510</f>
        <v>0</v>
      </c>
      <c r="T1514" s="11"/>
      <c r="U1514" s="12" t="s">
        <v>230</v>
      </c>
      <c r="V1514" s="28">
        <f t="shared" si="698"/>
        <v>0</v>
      </c>
      <c r="W1514" s="28">
        <f>VLOOKUP(U1514,Sheet1!$B$6:$C$45,2,FALSE)*V1514</f>
        <v>0</v>
      </c>
      <c r="X1514" s="59"/>
      <c r="Y1514" s="12" t="s">
        <v>292</v>
      </c>
      <c r="Z1514" s="68">
        <f>VLOOKUP(Takeoffs!Y1514,Sheet1!$B$6:$C$124,2,FALSE)</f>
        <v>0</v>
      </c>
      <c r="AA1514" s="68">
        <f t="shared" si="699"/>
        <v>0</v>
      </c>
      <c r="AB1514" s="63">
        <f t="shared" si="700"/>
        <v>0</v>
      </c>
      <c r="AC1514" s="28">
        <f t="shared" si="705"/>
        <v>0</v>
      </c>
      <c r="AD1514" s="61">
        <v>1</v>
      </c>
      <c r="AE1514" s="59"/>
      <c r="AF1514" s="12" t="s">
        <v>292</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292</v>
      </c>
      <c r="V1515" s="28">
        <f t="shared" si="698"/>
        <v>0</v>
      </c>
      <c r="W1515" s="28">
        <f>VLOOKUP(U1515,Sheet1!$B$6:$C$45,2,FALSE)*V1515</f>
        <v>0</v>
      </c>
      <c r="X1515" s="59"/>
      <c r="Y1515" s="12" t="s">
        <v>292</v>
      </c>
      <c r="Z1515" s="68">
        <f>VLOOKUP(Takeoffs!Y1515,Sheet1!$B$6:$C$124,2,FALSE)</f>
        <v>0</v>
      </c>
      <c r="AA1515" s="68">
        <f t="shared" si="699"/>
        <v>0</v>
      </c>
      <c r="AB1515" s="63">
        <f t="shared" si="700"/>
        <v>0</v>
      </c>
      <c r="AC1515" s="28">
        <f t="shared" si="705"/>
        <v>0</v>
      </c>
      <c r="AD1515" s="61">
        <v>1</v>
      </c>
      <c r="AE1515" s="59"/>
      <c r="AF1515" s="12" t="s">
        <v>292</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292</v>
      </c>
      <c r="V1516" s="28">
        <f t="shared" si="698"/>
        <v>0</v>
      </c>
      <c r="W1516" s="28">
        <f>VLOOKUP(U1516,Sheet1!$B$6:$C$45,2,FALSE)*V1516</f>
        <v>0</v>
      </c>
      <c r="X1516" s="59"/>
      <c r="Y1516" s="12" t="s">
        <v>292</v>
      </c>
      <c r="Z1516" s="68">
        <f>VLOOKUP(Takeoffs!Y1516,Sheet1!$B$6:$C$124,2,FALSE)</f>
        <v>0</v>
      </c>
      <c r="AA1516" s="68">
        <f t="shared" si="699"/>
        <v>0</v>
      </c>
      <c r="AB1516" s="63">
        <f t="shared" si="700"/>
        <v>0</v>
      </c>
      <c r="AC1516" s="28">
        <f t="shared" si="705"/>
        <v>0</v>
      </c>
      <c r="AD1516" s="61">
        <v>1</v>
      </c>
      <c r="AE1516" s="59"/>
      <c r="AF1516" s="12" t="s">
        <v>292</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292</v>
      </c>
      <c r="V1517" s="28">
        <f t="shared" si="698"/>
        <v>0</v>
      </c>
      <c r="W1517" s="28">
        <f>VLOOKUP(U1517,Sheet1!$B$6:$C$45,2,FALSE)*V1517</f>
        <v>0</v>
      </c>
      <c r="X1517" s="59"/>
      <c r="Y1517" s="12" t="s">
        <v>292</v>
      </c>
      <c r="Z1517" s="68">
        <f>VLOOKUP(Takeoffs!Y1517,Sheet1!$B$6:$C$124,2,FALSE)</f>
        <v>0</v>
      </c>
      <c r="AA1517" s="68">
        <f t="shared" si="699"/>
        <v>0</v>
      </c>
      <c r="AB1517" s="63">
        <f t="shared" si="700"/>
        <v>0</v>
      </c>
      <c r="AC1517" s="28">
        <f t="shared" si="705"/>
        <v>0</v>
      </c>
      <c r="AD1517" s="61">
        <v>1</v>
      </c>
      <c r="AE1517" s="59"/>
      <c r="AF1517" s="12" t="s">
        <v>292</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292</v>
      </c>
      <c r="V1518" s="28">
        <f t="shared" si="698"/>
        <v>0</v>
      </c>
      <c r="W1518" s="28">
        <f>VLOOKUP(U1518,Sheet1!$B$6:$C$45,2,FALSE)*V1518</f>
        <v>0</v>
      </c>
      <c r="X1518" s="59"/>
      <c r="Y1518" s="12" t="s">
        <v>292</v>
      </c>
      <c r="Z1518" s="68">
        <f>VLOOKUP(Takeoffs!Y1518,Sheet1!$B$6:$C$124,2,FALSE)</f>
        <v>0</v>
      </c>
      <c r="AA1518" s="68">
        <f t="shared" si="699"/>
        <v>0</v>
      </c>
      <c r="AB1518" s="63">
        <f t="shared" si="700"/>
        <v>0</v>
      </c>
      <c r="AC1518" s="28">
        <f t="shared" si="705"/>
        <v>0</v>
      </c>
      <c r="AD1518" s="61">
        <v>1</v>
      </c>
      <c r="AE1518" s="59"/>
      <c r="AF1518" s="12" t="s">
        <v>292</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292</v>
      </c>
      <c r="V1519" s="28">
        <f t="shared" si="698"/>
        <v>0</v>
      </c>
      <c r="W1519" s="28">
        <f>VLOOKUP(U1519,Sheet1!$B$6:$C$45,2,FALSE)*V1519</f>
        <v>0</v>
      </c>
      <c r="X1519" s="59"/>
      <c r="Y1519" s="12" t="s">
        <v>292</v>
      </c>
      <c r="Z1519" s="68">
        <f>VLOOKUP(Takeoffs!Y1519,Sheet1!$B$6:$C$124,2,FALSE)</f>
        <v>0</v>
      </c>
      <c r="AA1519" s="68">
        <f t="shared" si="699"/>
        <v>0</v>
      </c>
      <c r="AB1519" s="63">
        <f t="shared" si="700"/>
        <v>0</v>
      </c>
      <c r="AC1519" s="28">
        <f t="shared" si="705"/>
        <v>0</v>
      </c>
      <c r="AD1519" s="61">
        <v>1</v>
      </c>
      <c r="AE1519" s="59"/>
      <c r="AF1519" s="12" t="s">
        <v>292</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292</v>
      </c>
      <c r="V1520" s="28">
        <f t="shared" si="698"/>
        <v>0</v>
      </c>
      <c r="W1520" s="28">
        <f>VLOOKUP(U1520,Sheet1!$B$6:$C$45,2,FALSE)*V1520</f>
        <v>0</v>
      </c>
      <c r="X1520" s="59"/>
      <c r="Y1520" s="12" t="s">
        <v>292</v>
      </c>
      <c r="Z1520" s="68">
        <f>VLOOKUP(Takeoffs!Y1520,Sheet1!$B$6:$C$124,2,FALSE)</f>
        <v>0</v>
      </c>
      <c r="AA1520" s="68">
        <f t="shared" si="699"/>
        <v>0</v>
      </c>
      <c r="AB1520" s="63">
        <f t="shared" si="700"/>
        <v>0</v>
      </c>
      <c r="AC1520" s="28">
        <f t="shared" si="705"/>
        <v>0</v>
      </c>
      <c r="AD1520" s="61">
        <v>1</v>
      </c>
      <c r="AE1520" s="59"/>
      <c r="AF1520" s="12" t="s">
        <v>292</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292</v>
      </c>
      <c r="V1521" s="28">
        <f t="shared" si="698"/>
        <v>0</v>
      </c>
      <c r="W1521" s="28">
        <f>VLOOKUP(U1521,Sheet1!$B$6:$C$45,2,FALSE)*V1521</f>
        <v>0</v>
      </c>
      <c r="X1521" s="59"/>
      <c r="Y1521" s="12" t="s">
        <v>292</v>
      </c>
      <c r="Z1521" s="68">
        <f>VLOOKUP(Takeoffs!Y1521,Sheet1!$B$6:$C$124,2,FALSE)</f>
        <v>0</v>
      </c>
      <c r="AA1521" s="68">
        <f t="shared" si="699"/>
        <v>0</v>
      </c>
      <c r="AB1521" s="63">
        <f t="shared" si="700"/>
        <v>0</v>
      </c>
      <c r="AC1521" s="28">
        <f t="shared" si="705"/>
        <v>0</v>
      </c>
      <c r="AD1521" s="61">
        <v>1</v>
      </c>
      <c r="AE1521" s="59"/>
      <c r="AF1521" s="12" t="s">
        <v>292</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292</v>
      </c>
      <c r="V1522" s="28">
        <f t="shared" si="698"/>
        <v>0</v>
      </c>
      <c r="W1522" s="28">
        <f>VLOOKUP(U1522,Sheet1!$B$6:$C$45,2,FALSE)*V1522</f>
        <v>0</v>
      </c>
      <c r="X1522" s="59"/>
      <c r="Y1522" s="12" t="s">
        <v>292</v>
      </c>
      <c r="Z1522" s="68">
        <f>VLOOKUP(Takeoffs!Y1522,Sheet1!$B$6:$C$124,2,FALSE)</f>
        <v>0</v>
      </c>
      <c r="AA1522" s="68">
        <f t="shared" si="699"/>
        <v>0</v>
      </c>
      <c r="AB1522" s="63">
        <f t="shared" si="700"/>
        <v>0</v>
      </c>
      <c r="AC1522" s="28">
        <f t="shared" si="705"/>
        <v>0</v>
      </c>
      <c r="AD1522" s="61">
        <v>1</v>
      </c>
      <c r="AE1522" s="59"/>
      <c r="AF1522" s="12" t="s">
        <v>292</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292</v>
      </c>
      <c r="V1523" s="28">
        <f t="shared" si="698"/>
        <v>0</v>
      </c>
      <c r="W1523" s="28">
        <f>VLOOKUP(U1523,Sheet1!$B$6:$C$45,2,FALSE)*V1523</f>
        <v>0</v>
      </c>
      <c r="X1523" s="59"/>
      <c r="Y1523" s="12" t="s">
        <v>292</v>
      </c>
      <c r="Z1523" s="68">
        <f>VLOOKUP(Takeoffs!Y1523,Sheet1!$B$6:$C$124,2,FALSE)</f>
        <v>0</v>
      </c>
      <c r="AA1523" s="68">
        <f t="shared" si="699"/>
        <v>0</v>
      </c>
      <c r="AB1523" s="63">
        <f t="shared" si="700"/>
        <v>0</v>
      </c>
      <c r="AC1523" s="28">
        <f t="shared" si="705"/>
        <v>0</v>
      </c>
      <c r="AD1523" s="61">
        <v>1</v>
      </c>
      <c r="AE1523" s="59"/>
      <c r="AF1523" s="12" t="s">
        <v>292</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292</v>
      </c>
      <c r="V1524" s="28">
        <f t="shared" si="698"/>
        <v>0</v>
      </c>
      <c r="W1524" s="28">
        <f>VLOOKUP(U1524,Sheet1!$B$6:$C$45,2,FALSE)*V1524</f>
        <v>0</v>
      </c>
      <c r="X1524" s="59"/>
      <c r="Y1524" s="12" t="s">
        <v>292</v>
      </c>
      <c r="Z1524" s="68">
        <f>VLOOKUP(Takeoffs!Y1524,Sheet1!$B$6:$C$124,2,FALSE)</f>
        <v>0</v>
      </c>
      <c r="AA1524" s="68">
        <f t="shared" si="699"/>
        <v>0</v>
      </c>
      <c r="AB1524" s="63">
        <f t="shared" si="700"/>
        <v>0</v>
      </c>
      <c r="AC1524" s="28">
        <f t="shared" si="705"/>
        <v>0</v>
      </c>
      <c r="AD1524" s="61">
        <v>1</v>
      </c>
      <c r="AE1524" s="59"/>
      <c r="AF1524" s="12" t="s">
        <v>292</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292</v>
      </c>
      <c r="V1525" s="28">
        <f t="shared" si="698"/>
        <v>0</v>
      </c>
      <c r="W1525" s="28">
        <f>VLOOKUP(U1525,Sheet1!$B$6:$C$45,2,FALSE)*V1525</f>
        <v>0</v>
      </c>
      <c r="X1525" s="59"/>
      <c r="Y1525" s="12" t="s">
        <v>292</v>
      </c>
      <c r="Z1525" s="68">
        <f>VLOOKUP(Takeoffs!Y1525,Sheet1!$B$6:$C$124,2,FALSE)</f>
        <v>0</v>
      </c>
      <c r="AA1525" s="68">
        <f t="shared" si="699"/>
        <v>0</v>
      </c>
      <c r="AB1525" s="63">
        <f t="shared" si="700"/>
        <v>0</v>
      </c>
      <c r="AC1525" s="28">
        <f t="shared" si="705"/>
        <v>0</v>
      </c>
      <c r="AD1525" s="61">
        <v>1</v>
      </c>
      <c r="AE1525" s="59"/>
      <c r="AF1525" s="12" t="s">
        <v>292</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292</v>
      </c>
      <c r="V1526" s="28">
        <f t="shared" si="698"/>
        <v>0</v>
      </c>
      <c r="W1526" s="28">
        <f>VLOOKUP(U1526,Sheet1!$B$6:$C$45,2,FALSE)*V1526</f>
        <v>0</v>
      </c>
      <c r="X1526" s="59"/>
      <c r="Y1526" s="12" t="s">
        <v>292</v>
      </c>
      <c r="Z1526" s="68">
        <f>VLOOKUP(Takeoffs!Y1526,Sheet1!$B$6:$C$124,2,FALSE)</f>
        <v>0</v>
      </c>
      <c r="AA1526" s="68">
        <f t="shared" si="699"/>
        <v>0</v>
      </c>
      <c r="AB1526" s="63">
        <f t="shared" si="700"/>
        <v>0</v>
      </c>
      <c r="AC1526" s="28">
        <f t="shared" si="705"/>
        <v>0</v>
      </c>
      <c r="AD1526" s="61">
        <v>1</v>
      </c>
      <c r="AE1526" s="59"/>
      <c r="AF1526" s="12" t="s">
        <v>292</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292</v>
      </c>
      <c r="V1527" s="28">
        <f t="shared" si="698"/>
        <v>0</v>
      </c>
      <c r="W1527" s="28">
        <f>VLOOKUP(U1527,Sheet1!$B$6:$C$45,2,FALSE)*V1527</f>
        <v>0</v>
      </c>
      <c r="X1527" s="59"/>
      <c r="Y1527" s="12" t="s">
        <v>292</v>
      </c>
      <c r="Z1527" s="68">
        <f>VLOOKUP(Takeoffs!Y1527,Sheet1!$B$6:$C$124,2,FALSE)</f>
        <v>0</v>
      </c>
      <c r="AA1527" s="68">
        <f t="shared" si="699"/>
        <v>0</v>
      </c>
      <c r="AB1527" s="63">
        <f t="shared" si="700"/>
        <v>0</v>
      </c>
      <c r="AC1527" s="28">
        <f t="shared" si="705"/>
        <v>0</v>
      </c>
      <c r="AD1527" s="61">
        <v>1</v>
      </c>
      <c r="AE1527" s="59"/>
      <c r="AF1527" s="12" t="s">
        <v>292</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292</v>
      </c>
      <c r="V1528" s="28">
        <f t="shared" si="698"/>
        <v>0</v>
      </c>
      <c r="W1528" s="28">
        <f>VLOOKUP(U1528,Sheet1!$B$6:$C$45,2,FALSE)*V1528</f>
        <v>0</v>
      </c>
      <c r="X1528" s="59"/>
      <c r="Y1528" s="12" t="s">
        <v>292</v>
      </c>
      <c r="Z1528" s="68">
        <f>VLOOKUP(Takeoffs!Y1528,Sheet1!$B$6:$C$124,2,FALSE)</f>
        <v>0</v>
      </c>
      <c r="AA1528" s="68">
        <f t="shared" si="699"/>
        <v>0</v>
      </c>
      <c r="AB1528" s="63">
        <f t="shared" si="700"/>
        <v>0</v>
      </c>
      <c r="AC1528" s="28">
        <f t="shared" si="705"/>
        <v>0</v>
      </c>
      <c r="AD1528" s="61">
        <v>1</v>
      </c>
      <c r="AE1528" s="59"/>
      <c r="AF1528" s="12" t="s">
        <v>292</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292</v>
      </c>
      <c r="V1529" s="28">
        <f t="shared" si="698"/>
        <v>0</v>
      </c>
      <c r="W1529" s="28">
        <f>VLOOKUP(U1529,Sheet1!$B$6:$C$45,2,FALSE)*V1529</f>
        <v>0</v>
      </c>
      <c r="X1529" s="59"/>
      <c r="Y1529" s="12" t="s">
        <v>292</v>
      </c>
      <c r="Z1529" s="68">
        <f>VLOOKUP(Takeoffs!Y1529,Sheet1!$B$6:$C$124,2,FALSE)</f>
        <v>0</v>
      </c>
      <c r="AA1529" s="68">
        <f t="shared" si="699"/>
        <v>0</v>
      </c>
      <c r="AB1529" s="63">
        <f t="shared" si="700"/>
        <v>0</v>
      </c>
      <c r="AC1529" s="28">
        <f t="shared" si="705"/>
        <v>0</v>
      </c>
      <c r="AD1529" s="61">
        <v>1</v>
      </c>
      <c r="AE1529" s="59"/>
      <c r="AF1529" s="12" t="s">
        <v>292</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292</v>
      </c>
      <c r="V1530" s="28">
        <f t="shared" si="698"/>
        <v>0</v>
      </c>
      <c r="W1530" s="28">
        <f>VLOOKUP(U1530,Sheet1!$B$6:$C$45,2,FALSE)*V1530</f>
        <v>0</v>
      </c>
      <c r="X1530" s="59"/>
      <c r="Y1530" s="12" t="s">
        <v>292</v>
      </c>
      <c r="Z1530" s="68">
        <f>VLOOKUP(Takeoffs!Y1530,Sheet1!$B$6:$C$124,2,FALSE)</f>
        <v>0</v>
      </c>
      <c r="AA1530" s="68">
        <f t="shared" si="699"/>
        <v>0</v>
      </c>
      <c r="AB1530" s="63">
        <f t="shared" si="700"/>
        <v>0</v>
      </c>
      <c r="AC1530" s="28">
        <f t="shared" si="705"/>
        <v>0</v>
      </c>
      <c r="AD1530" s="61">
        <v>1</v>
      </c>
      <c r="AE1530" s="59"/>
      <c r="AF1530" s="12" t="s">
        <v>292</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377</v>
      </c>
      <c r="L1531" s="21" t="s">
        <v>378</v>
      </c>
      <c r="N1531" s="22"/>
      <c r="O1531" s="23" t="s">
        <v>357</v>
      </c>
      <c r="P1531" s="24">
        <f>V1531+AA1531+AH1531</f>
        <v>0</v>
      </c>
      <c r="Q1531" s="24"/>
      <c r="R1531" s="24"/>
      <c r="S1531" s="23"/>
      <c r="T1531" s="20"/>
      <c r="U1531" s="19" t="s">
        <v>351</v>
      </c>
      <c r="V1531" s="20">
        <f>W1531*80</f>
        <v>0</v>
      </c>
      <c r="W1531" s="69">
        <f>SUM(W1510:W1530)</f>
        <v>0</v>
      </c>
      <c r="X1531" s="70"/>
      <c r="Y1531" s="20" t="s">
        <v>352</v>
      </c>
      <c r="Z1531" s="2"/>
      <c r="AA1531" s="2">
        <f>SUM(AA1510:AA1530)</f>
        <v>0</v>
      </c>
      <c r="AB1531" s="71"/>
      <c r="AC1531" s="71"/>
      <c r="AD1531" s="71"/>
      <c r="AE1531" s="71"/>
      <c r="AF1531" s="20" t="s">
        <v>356</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hidden="1" x14ac:dyDescent="0.8">
      <c r="A1532" s="262">
        <f>ROW()</f>
        <v>1532</v>
      </c>
      <c r="B1532" s="234" t="s">
        <v>491</v>
      </c>
      <c r="C1532" s="217" t="str">
        <f>N1510</f>
        <v>VRF indoor units</v>
      </c>
      <c r="D1532" s="260" t="s">
        <v>677</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367</v>
      </c>
      <c r="N1532" s="83" t="str">
        <f>N1510</f>
        <v>VRF indoor units</v>
      </c>
      <c r="O1532" s="83" t="s">
        <v>365</v>
      </c>
      <c r="P1532" s="82" t="e">
        <f>P1531/M1510</f>
        <v>#DIV/0!</v>
      </c>
      <c r="Q1532" s="84"/>
      <c r="R1532" s="84"/>
      <c r="S1532" s="83"/>
      <c r="T1532" s="84"/>
      <c r="U1532" s="571" t="s">
        <v>366</v>
      </c>
      <c r="V1532" s="571"/>
      <c r="W1532" s="85" t="e">
        <f>W1531/M1510</f>
        <v>#DIV/0!</v>
      </c>
      <c r="X1532" s="86"/>
      <c r="Y1532" s="570" t="s">
        <v>365</v>
      </c>
      <c r="Z1532" s="570"/>
      <c r="AA1532" s="87" t="e">
        <f>AA1531/M1510</f>
        <v>#DIV/0!</v>
      </c>
      <c r="AB1532" s="84"/>
      <c r="AC1532" s="84"/>
      <c r="AD1532" s="84"/>
      <c r="AE1532" s="84"/>
      <c r="AF1532" s="570" t="s">
        <v>365</v>
      </c>
      <c r="AG1532" s="570"/>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452</v>
      </c>
      <c r="M1533" s="2" t="s">
        <v>298</v>
      </c>
      <c r="N1533" s="2" t="s">
        <v>108</v>
      </c>
      <c r="O1533" s="97" t="s">
        <v>386</v>
      </c>
      <c r="P1533" s="572" t="s">
        <v>375</v>
      </c>
      <c r="Q1533" s="572"/>
      <c r="R1533" s="101" t="s">
        <v>452</v>
      </c>
      <c r="S1533" s="2" t="s">
        <v>0</v>
      </c>
      <c r="T1533" s="9"/>
      <c r="U1533" s="2" t="s">
        <v>287</v>
      </c>
      <c r="V1533" s="2" t="s">
        <v>288</v>
      </c>
      <c r="W1533" s="2" t="s">
        <v>291</v>
      </c>
      <c r="X1533" s="58"/>
      <c r="Y1533" s="2" t="s">
        <v>289</v>
      </c>
      <c r="Z1533" s="2" t="s">
        <v>354</v>
      </c>
      <c r="AA1533" s="2" t="s">
        <v>355</v>
      </c>
      <c r="AB1533" s="2" t="s">
        <v>317</v>
      </c>
      <c r="AC1533" s="2" t="s">
        <v>318</v>
      </c>
      <c r="AD1533" s="2" t="s">
        <v>316</v>
      </c>
      <c r="AE1533" s="58"/>
      <c r="AF1533" s="2" t="s">
        <v>293</v>
      </c>
      <c r="AG1533" s="2" t="s">
        <v>354</v>
      </c>
      <c r="AH1533" s="2" t="s">
        <v>355</v>
      </c>
      <c r="AI1533" s="2" t="s">
        <v>296</v>
      </c>
      <c r="AJ1533" s="2" t="s">
        <v>294</v>
      </c>
      <c r="AK1533" s="2" t="s">
        <v>295</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573</v>
      </c>
      <c r="O1534" s="12" t="s">
        <v>138</v>
      </c>
      <c r="P1534" s="96" t="s">
        <v>379</v>
      </c>
      <c r="Q1534" s="96" t="s">
        <v>375</v>
      </c>
      <c r="R1534" s="96"/>
      <c r="S1534" s="28">
        <f>M1534</f>
        <v>0</v>
      </c>
      <c r="T1534" s="10"/>
      <c r="U1534" s="12" t="s">
        <v>292</v>
      </c>
      <c r="V1534" s="28">
        <f>S1534</f>
        <v>0</v>
      </c>
      <c r="W1534" s="28">
        <f>VLOOKUP(U1534,Sheet1!$B$6:$C$45,2,FALSE)*V1534</f>
        <v>0</v>
      </c>
      <c r="X1534" s="59"/>
      <c r="Y1534" s="12" t="s">
        <v>292</v>
      </c>
      <c r="Z1534" s="68">
        <f>VLOOKUP(Takeoffs!Y1534,Sheet1!$B$6:$C$124,2,FALSE)</f>
        <v>0</v>
      </c>
      <c r="AA1534" s="68">
        <f>Z1534*AB1534</f>
        <v>0</v>
      </c>
      <c r="AB1534" s="63">
        <f>AD1534*AC1534</f>
        <v>0</v>
      </c>
      <c r="AC1534" s="28">
        <f>S1534</f>
        <v>0</v>
      </c>
      <c r="AD1534" s="61">
        <v>1</v>
      </c>
      <c r="AE1534" s="59"/>
      <c r="AF1534" s="12" t="s">
        <v>292</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292</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393</v>
      </c>
      <c r="P1536" s="12"/>
      <c r="Q1536" s="12"/>
      <c r="R1536" s="12"/>
      <c r="S1536" s="28">
        <f>M1534</f>
        <v>0</v>
      </c>
      <c r="T1536" s="11"/>
      <c r="U1536" s="73" t="s">
        <v>428</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450</v>
      </c>
      <c r="P1537" s="12"/>
      <c r="Q1537" s="12"/>
      <c r="R1537" s="12"/>
      <c r="S1537" s="28">
        <f>M1534</f>
        <v>0</v>
      </c>
      <c r="T1537" s="11"/>
      <c r="U1537" s="12" t="s">
        <v>292</v>
      </c>
      <c r="V1537" s="28">
        <f t="shared" si="707"/>
        <v>0</v>
      </c>
      <c r="W1537" s="28">
        <f>VLOOKUP(U1537,Sheet1!$B$6:$C$45,2,FALSE)*V1537</f>
        <v>0</v>
      </c>
      <c r="X1537" s="59"/>
      <c r="Y1537" s="12" t="s">
        <v>292</v>
      </c>
      <c r="Z1537" s="68">
        <f>VLOOKUP(Takeoffs!Y1537,Sheet1!$B$6:$C$124,2,FALSE)</f>
        <v>0</v>
      </c>
      <c r="AA1537" s="68">
        <f t="shared" si="708"/>
        <v>0</v>
      </c>
      <c r="AB1537" s="63">
        <f t="shared" si="709"/>
        <v>0</v>
      </c>
      <c r="AC1537" s="28">
        <f t="shared" ref="AC1537:AC1554" si="714">S1537</f>
        <v>0</v>
      </c>
      <c r="AD1537" s="61">
        <v>1</v>
      </c>
      <c r="AE1537" s="59"/>
      <c r="AF1537" s="12" t="s">
        <v>292</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394</v>
      </c>
      <c r="P1538" s="12" t="s">
        <v>381</v>
      </c>
      <c r="Q1538" s="12" t="s">
        <v>449</v>
      </c>
      <c r="R1538" s="12"/>
      <c r="S1538" s="28">
        <f>M1534</f>
        <v>0</v>
      </c>
      <c r="T1538" s="11"/>
      <c r="U1538" s="12" t="s">
        <v>230</v>
      </c>
      <c r="V1538" s="28">
        <f t="shared" si="707"/>
        <v>0</v>
      </c>
      <c r="W1538" s="28">
        <f>VLOOKUP(U1538,Sheet1!$B$6:$C$45,2,FALSE)*V1538</f>
        <v>0</v>
      </c>
      <c r="X1538" s="59"/>
      <c r="Y1538" s="12" t="s">
        <v>292</v>
      </c>
      <c r="Z1538" s="68">
        <f>VLOOKUP(Takeoffs!Y1538,Sheet1!$B$6:$C$124,2,FALSE)</f>
        <v>0</v>
      </c>
      <c r="AA1538" s="68">
        <f t="shared" si="708"/>
        <v>0</v>
      </c>
      <c r="AB1538" s="63">
        <f t="shared" si="709"/>
        <v>0</v>
      </c>
      <c r="AC1538" s="28">
        <f t="shared" si="714"/>
        <v>0</v>
      </c>
      <c r="AD1538" s="61">
        <v>1</v>
      </c>
      <c r="AE1538" s="59"/>
      <c r="AF1538" s="12" t="s">
        <v>292</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451</v>
      </c>
      <c r="P1539" s="12" t="s">
        <v>381</v>
      </c>
      <c r="Q1539" s="12" t="s">
        <v>382</v>
      </c>
      <c r="R1539" s="12"/>
      <c r="S1539" s="28">
        <f>M1534</f>
        <v>0</v>
      </c>
      <c r="T1539" s="11"/>
      <c r="U1539" s="12" t="s">
        <v>226</v>
      </c>
      <c r="V1539" s="28">
        <f t="shared" si="707"/>
        <v>0</v>
      </c>
      <c r="W1539" s="28">
        <f>VLOOKUP(U1539,Sheet1!$B$6:$C$45,2,FALSE)*V1539</f>
        <v>0</v>
      </c>
      <c r="X1539" s="59"/>
      <c r="Y1539" s="12" t="s">
        <v>292</v>
      </c>
      <c r="Z1539" s="68">
        <f>VLOOKUP(Takeoffs!Y1539,Sheet1!$B$6:$C$124,2,FALSE)</f>
        <v>0</v>
      </c>
      <c r="AA1539" s="68">
        <f t="shared" si="708"/>
        <v>0</v>
      </c>
      <c r="AB1539" s="63">
        <f t="shared" si="709"/>
        <v>0</v>
      </c>
      <c r="AC1539" s="28">
        <f t="shared" si="714"/>
        <v>0</v>
      </c>
      <c r="AD1539" s="61">
        <v>1</v>
      </c>
      <c r="AE1539" s="59"/>
      <c r="AF1539" s="12" t="s">
        <v>292</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292</v>
      </c>
      <c r="V1540" s="28">
        <f t="shared" si="707"/>
        <v>0</v>
      </c>
      <c r="W1540" s="28">
        <f>VLOOKUP(U1540,Sheet1!$B$6:$C$45,2,FALSE)*V1540</f>
        <v>0</v>
      </c>
      <c r="X1540" s="59"/>
      <c r="Y1540" s="12" t="s">
        <v>292</v>
      </c>
      <c r="Z1540" s="68">
        <f>VLOOKUP(Takeoffs!Y1540,Sheet1!$B$6:$C$124,2,FALSE)</f>
        <v>0</v>
      </c>
      <c r="AA1540" s="68">
        <f t="shared" si="708"/>
        <v>0</v>
      </c>
      <c r="AB1540" s="63">
        <f t="shared" si="709"/>
        <v>0</v>
      </c>
      <c r="AC1540" s="28">
        <f t="shared" si="714"/>
        <v>0</v>
      </c>
      <c r="AD1540" s="61">
        <v>1</v>
      </c>
      <c r="AE1540" s="59"/>
      <c r="AF1540" s="12" t="s">
        <v>292</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292</v>
      </c>
      <c r="V1541" s="28">
        <f t="shared" si="707"/>
        <v>0</v>
      </c>
      <c r="W1541" s="28">
        <f>VLOOKUP(U1541,Sheet1!$B$6:$C$45,2,FALSE)*V1541</f>
        <v>0</v>
      </c>
      <c r="X1541" s="59"/>
      <c r="Y1541" s="12" t="s">
        <v>292</v>
      </c>
      <c r="Z1541" s="68">
        <f>VLOOKUP(Takeoffs!Y1541,Sheet1!$B$6:$C$124,2,FALSE)</f>
        <v>0</v>
      </c>
      <c r="AA1541" s="68">
        <f t="shared" si="708"/>
        <v>0</v>
      </c>
      <c r="AB1541" s="63">
        <f t="shared" si="709"/>
        <v>0</v>
      </c>
      <c r="AC1541" s="28">
        <f t="shared" si="714"/>
        <v>0</v>
      </c>
      <c r="AD1541" s="61">
        <v>1</v>
      </c>
      <c r="AE1541" s="59"/>
      <c r="AF1541" s="12" t="s">
        <v>292</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292</v>
      </c>
      <c r="V1542" s="28">
        <f t="shared" si="707"/>
        <v>0</v>
      </c>
      <c r="W1542" s="28">
        <f>VLOOKUP(U1542,Sheet1!$B$6:$C$45,2,FALSE)*V1542</f>
        <v>0</v>
      </c>
      <c r="X1542" s="59"/>
      <c r="Y1542" s="12" t="s">
        <v>292</v>
      </c>
      <c r="Z1542" s="68">
        <f>VLOOKUP(Takeoffs!Y1542,Sheet1!$B$6:$C$124,2,FALSE)</f>
        <v>0</v>
      </c>
      <c r="AA1542" s="68">
        <f t="shared" si="708"/>
        <v>0</v>
      </c>
      <c r="AB1542" s="63">
        <f t="shared" si="709"/>
        <v>0</v>
      </c>
      <c r="AC1542" s="28">
        <f t="shared" si="714"/>
        <v>0</v>
      </c>
      <c r="AD1542" s="61">
        <v>1</v>
      </c>
      <c r="AE1542" s="59"/>
      <c r="AF1542" s="12" t="s">
        <v>292</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292</v>
      </c>
      <c r="V1543" s="28">
        <f t="shared" si="707"/>
        <v>0</v>
      </c>
      <c r="W1543" s="28">
        <f>VLOOKUP(U1543,Sheet1!$B$6:$C$45,2,FALSE)*V1543</f>
        <v>0</v>
      </c>
      <c r="X1543" s="59"/>
      <c r="Y1543" s="12" t="s">
        <v>292</v>
      </c>
      <c r="Z1543" s="68">
        <f>VLOOKUP(Takeoffs!Y1543,Sheet1!$B$6:$C$124,2,FALSE)</f>
        <v>0</v>
      </c>
      <c r="AA1543" s="68">
        <f t="shared" si="708"/>
        <v>0</v>
      </c>
      <c r="AB1543" s="63">
        <f t="shared" si="709"/>
        <v>0</v>
      </c>
      <c r="AC1543" s="28">
        <f t="shared" si="714"/>
        <v>0</v>
      </c>
      <c r="AD1543" s="61">
        <v>1</v>
      </c>
      <c r="AE1543" s="59"/>
      <c r="AF1543" s="12" t="s">
        <v>292</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292</v>
      </c>
      <c r="V1544" s="28">
        <f t="shared" si="707"/>
        <v>0</v>
      </c>
      <c r="W1544" s="28">
        <f>VLOOKUP(U1544,Sheet1!$B$6:$C$45,2,FALSE)*V1544</f>
        <v>0</v>
      </c>
      <c r="X1544" s="59"/>
      <c r="Y1544" s="12" t="s">
        <v>292</v>
      </c>
      <c r="Z1544" s="68">
        <f>VLOOKUP(Takeoffs!Y1544,Sheet1!$B$6:$C$124,2,FALSE)</f>
        <v>0</v>
      </c>
      <c r="AA1544" s="68">
        <f t="shared" si="708"/>
        <v>0</v>
      </c>
      <c r="AB1544" s="63">
        <f t="shared" si="709"/>
        <v>0</v>
      </c>
      <c r="AC1544" s="28">
        <f t="shared" si="714"/>
        <v>0</v>
      </c>
      <c r="AD1544" s="61">
        <v>1</v>
      </c>
      <c r="AE1544" s="59"/>
      <c r="AF1544" s="12" t="s">
        <v>292</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292</v>
      </c>
      <c r="V1545" s="28">
        <f t="shared" si="707"/>
        <v>0</v>
      </c>
      <c r="W1545" s="28">
        <f>VLOOKUP(U1545,Sheet1!$B$6:$C$45,2,FALSE)*V1545</f>
        <v>0</v>
      </c>
      <c r="X1545" s="59"/>
      <c r="Y1545" s="12" t="s">
        <v>292</v>
      </c>
      <c r="Z1545" s="68">
        <f>VLOOKUP(Takeoffs!Y1545,Sheet1!$B$6:$C$124,2,FALSE)</f>
        <v>0</v>
      </c>
      <c r="AA1545" s="68">
        <f t="shared" si="708"/>
        <v>0</v>
      </c>
      <c r="AB1545" s="63">
        <f t="shared" si="709"/>
        <v>0</v>
      </c>
      <c r="AC1545" s="28">
        <f t="shared" si="714"/>
        <v>0</v>
      </c>
      <c r="AD1545" s="61">
        <v>1</v>
      </c>
      <c r="AE1545" s="59"/>
      <c r="AF1545" s="12" t="s">
        <v>292</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292</v>
      </c>
      <c r="V1546" s="28">
        <f t="shared" si="707"/>
        <v>0</v>
      </c>
      <c r="W1546" s="28">
        <f>VLOOKUP(U1546,Sheet1!$B$6:$C$45,2,FALSE)*V1546</f>
        <v>0</v>
      </c>
      <c r="X1546" s="59"/>
      <c r="Y1546" s="12" t="s">
        <v>292</v>
      </c>
      <c r="Z1546" s="68">
        <f>VLOOKUP(Takeoffs!Y1546,Sheet1!$B$6:$C$124,2,FALSE)</f>
        <v>0</v>
      </c>
      <c r="AA1546" s="68">
        <f t="shared" si="708"/>
        <v>0</v>
      </c>
      <c r="AB1546" s="63">
        <f t="shared" si="709"/>
        <v>0</v>
      </c>
      <c r="AC1546" s="28">
        <f t="shared" si="714"/>
        <v>0</v>
      </c>
      <c r="AD1546" s="61">
        <v>1</v>
      </c>
      <c r="AE1546" s="59"/>
      <c r="AF1546" s="12" t="s">
        <v>292</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292</v>
      </c>
      <c r="V1547" s="28">
        <f t="shared" si="707"/>
        <v>0</v>
      </c>
      <c r="W1547" s="28">
        <f>VLOOKUP(U1547,Sheet1!$B$6:$C$45,2,FALSE)*V1547</f>
        <v>0</v>
      </c>
      <c r="X1547" s="59"/>
      <c r="Y1547" s="12" t="s">
        <v>292</v>
      </c>
      <c r="Z1547" s="68">
        <f>VLOOKUP(Takeoffs!Y1547,Sheet1!$B$6:$C$124,2,FALSE)</f>
        <v>0</v>
      </c>
      <c r="AA1547" s="68">
        <f t="shared" si="708"/>
        <v>0</v>
      </c>
      <c r="AB1547" s="63">
        <f t="shared" si="709"/>
        <v>0</v>
      </c>
      <c r="AC1547" s="28">
        <f t="shared" si="714"/>
        <v>0</v>
      </c>
      <c r="AD1547" s="61">
        <v>1</v>
      </c>
      <c r="AE1547" s="59"/>
      <c r="AF1547" s="12" t="s">
        <v>292</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292</v>
      </c>
      <c r="V1548" s="28">
        <f t="shared" si="707"/>
        <v>0</v>
      </c>
      <c r="W1548" s="28">
        <f>VLOOKUP(U1548,Sheet1!$B$6:$C$45,2,FALSE)*V1548</f>
        <v>0</v>
      </c>
      <c r="X1548" s="59"/>
      <c r="Y1548" s="12" t="s">
        <v>292</v>
      </c>
      <c r="Z1548" s="68">
        <f>VLOOKUP(Takeoffs!Y1548,Sheet1!$B$6:$C$124,2,FALSE)</f>
        <v>0</v>
      </c>
      <c r="AA1548" s="68">
        <f t="shared" si="708"/>
        <v>0</v>
      </c>
      <c r="AB1548" s="63">
        <f t="shared" si="709"/>
        <v>0</v>
      </c>
      <c r="AC1548" s="28">
        <f t="shared" si="714"/>
        <v>0</v>
      </c>
      <c r="AD1548" s="61">
        <v>1</v>
      </c>
      <c r="AE1548" s="59"/>
      <c r="AF1548" s="12" t="s">
        <v>292</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292</v>
      </c>
      <c r="V1549" s="28">
        <f t="shared" si="707"/>
        <v>0</v>
      </c>
      <c r="W1549" s="28">
        <f>VLOOKUP(U1549,Sheet1!$B$6:$C$45,2,FALSE)*V1549</f>
        <v>0</v>
      </c>
      <c r="X1549" s="59"/>
      <c r="Y1549" s="12" t="s">
        <v>292</v>
      </c>
      <c r="Z1549" s="68">
        <f>VLOOKUP(Takeoffs!Y1549,Sheet1!$B$6:$C$124,2,FALSE)</f>
        <v>0</v>
      </c>
      <c r="AA1549" s="68">
        <f t="shared" si="708"/>
        <v>0</v>
      </c>
      <c r="AB1549" s="63">
        <f t="shared" si="709"/>
        <v>0</v>
      </c>
      <c r="AC1549" s="28">
        <f t="shared" si="714"/>
        <v>0</v>
      </c>
      <c r="AD1549" s="61">
        <v>1</v>
      </c>
      <c r="AE1549" s="59"/>
      <c r="AF1549" s="12" t="s">
        <v>292</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292</v>
      </c>
      <c r="V1550" s="28">
        <f t="shared" si="707"/>
        <v>0</v>
      </c>
      <c r="W1550" s="28">
        <f>VLOOKUP(U1550,Sheet1!$B$6:$C$45,2,FALSE)*V1550</f>
        <v>0</v>
      </c>
      <c r="X1550" s="59"/>
      <c r="Y1550" s="12" t="s">
        <v>292</v>
      </c>
      <c r="Z1550" s="68">
        <f>VLOOKUP(Takeoffs!Y1550,Sheet1!$B$6:$C$124,2,FALSE)</f>
        <v>0</v>
      </c>
      <c r="AA1550" s="68">
        <f t="shared" si="708"/>
        <v>0</v>
      </c>
      <c r="AB1550" s="63">
        <f t="shared" si="709"/>
        <v>0</v>
      </c>
      <c r="AC1550" s="28">
        <f t="shared" si="714"/>
        <v>0</v>
      </c>
      <c r="AD1550" s="61">
        <v>1</v>
      </c>
      <c r="AE1550" s="59"/>
      <c r="AF1550" s="12" t="s">
        <v>292</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292</v>
      </c>
      <c r="V1551" s="28">
        <f t="shared" si="707"/>
        <v>0</v>
      </c>
      <c r="W1551" s="28">
        <f>VLOOKUP(U1551,Sheet1!$B$6:$C$45,2,FALSE)*V1551</f>
        <v>0</v>
      </c>
      <c r="X1551" s="59"/>
      <c r="Y1551" s="12" t="s">
        <v>292</v>
      </c>
      <c r="Z1551" s="68">
        <f>VLOOKUP(Takeoffs!Y1551,Sheet1!$B$6:$C$124,2,FALSE)</f>
        <v>0</v>
      </c>
      <c r="AA1551" s="68">
        <f t="shared" si="708"/>
        <v>0</v>
      </c>
      <c r="AB1551" s="63">
        <f t="shared" si="709"/>
        <v>0</v>
      </c>
      <c r="AC1551" s="28">
        <f t="shared" si="714"/>
        <v>0</v>
      </c>
      <c r="AD1551" s="61">
        <v>1</v>
      </c>
      <c r="AE1551" s="59"/>
      <c r="AF1551" s="12" t="s">
        <v>292</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292</v>
      </c>
      <c r="V1552" s="28">
        <f t="shared" si="707"/>
        <v>0</v>
      </c>
      <c r="W1552" s="28">
        <f>VLOOKUP(U1552,Sheet1!$B$6:$C$45,2,FALSE)*V1552</f>
        <v>0</v>
      </c>
      <c r="X1552" s="59"/>
      <c r="Y1552" s="12" t="s">
        <v>292</v>
      </c>
      <c r="Z1552" s="68">
        <f>VLOOKUP(Takeoffs!Y1552,Sheet1!$B$6:$C$124,2,FALSE)</f>
        <v>0</v>
      </c>
      <c r="AA1552" s="68">
        <f t="shared" si="708"/>
        <v>0</v>
      </c>
      <c r="AB1552" s="63">
        <f t="shared" si="709"/>
        <v>0</v>
      </c>
      <c r="AC1552" s="28">
        <f t="shared" si="714"/>
        <v>0</v>
      </c>
      <c r="AD1552" s="61">
        <v>1</v>
      </c>
      <c r="AE1552" s="59"/>
      <c r="AF1552" s="12" t="s">
        <v>292</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292</v>
      </c>
      <c r="V1553" s="28">
        <f t="shared" si="707"/>
        <v>0</v>
      </c>
      <c r="W1553" s="28">
        <f>VLOOKUP(U1553,Sheet1!$B$6:$C$45,2,FALSE)*V1553</f>
        <v>0</v>
      </c>
      <c r="X1553" s="59"/>
      <c r="Y1553" s="12" t="s">
        <v>292</v>
      </c>
      <c r="Z1553" s="68">
        <f>VLOOKUP(Takeoffs!Y1553,Sheet1!$B$6:$C$124,2,FALSE)</f>
        <v>0</v>
      </c>
      <c r="AA1553" s="68">
        <f t="shared" si="708"/>
        <v>0</v>
      </c>
      <c r="AB1553" s="63">
        <f t="shared" si="709"/>
        <v>0</v>
      </c>
      <c r="AC1553" s="28">
        <f t="shared" si="714"/>
        <v>0</v>
      </c>
      <c r="AD1553" s="61">
        <v>1</v>
      </c>
      <c r="AE1553" s="59"/>
      <c r="AF1553" s="12" t="s">
        <v>292</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292</v>
      </c>
      <c r="V1554" s="28">
        <f t="shared" si="707"/>
        <v>0</v>
      </c>
      <c r="W1554" s="28">
        <f>VLOOKUP(U1554,Sheet1!$B$6:$C$45,2,FALSE)*V1554</f>
        <v>0</v>
      </c>
      <c r="X1554" s="59"/>
      <c r="Y1554" s="12" t="s">
        <v>292</v>
      </c>
      <c r="Z1554" s="68">
        <f>VLOOKUP(Takeoffs!Y1554,Sheet1!$B$6:$C$124,2,FALSE)</f>
        <v>0</v>
      </c>
      <c r="AA1554" s="68">
        <f t="shared" si="708"/>
        <v>0</v>
      </c>
      <c r="AB1554" s="63">
        <f t="shared" si="709"/>
        <v>0</v>
      </c>
      <c r="AC1554" s="28">
        <f t="shared" si="714"/>
        <v>0</v>
      </c>
      <c r="AD1554" s="61">
        <v>1</v>
      </c>
      <c r="AE1554" s="59"/>
      <c r="AF1554" s="12" t="s">
        <v>292</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377</v>
      </c>
      <c r="L1555" s="21" t="s">
        <v>378</v>
      </c>
      <c r="N1555" s="22"/>
      <c r="O1555" s="23" t="s">
        <v>357</v>
      </c>
      <c r="P1555" s="24">
        <f>V1555+AA1555+AH1555</f>
        <v>0</v>
      </c>
      <c r="Q1555" s="24"/>
      <c r="R1555" s="24"/>
      <c r="S1555" s="23"/>
      <c r="T1555" s="20"/>
      <c r="U1555" s="19" t="s">
        <v>351</v>
      </c>
      <c r="V1555" s="20">
        <f>W1555*80</f>
        <v>0</v>
      </c>
      <c r="W1555" s="69">
        <f>SUM(W1534:W1554)</f>
        <v>0</v>
      </c>
      <c r="X1555" s="70"/>
      <c r="Y1555" s="20" t="s">
        <v>352</v>
      </c>
      <c r="Z1555" s="2"/>
      <c r="AA1555" s="2">
        <f>SUM(AA1534:AA1554)</f>
        <v>0</v>
      </c>
      <c r="AB1555" s="71"/>
      <c r="AC1555" s="71"/>
      <c r="AD1555" s="71"/>
      <c r="AE1555" s="71"/>
      <c r="AF1555" s="20" t="s">
        <v>356</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hidden="1" x14ac:dyDescent="0.8">
      <c r="A1556" s="262">
        <f>ROW()</f>
        <v>1556</v>
      </c>
      <c r="B1556" s="234" t="s">
        <v>491</v>
      </c>
      <c r="C1556" s="217" t="str">
        <f>N1534</f>
        <v>Ducted VRF indoor fan coil units</v>
      </c>
      <c r="D1556" s="260" t="s">
        <v>677</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367</v>
      </c>
      <c r="N1556" s="83" t="str">
        <f>N1534</f>
        <v>Ducted VRF indoor fan coil units</v>
      </c>
      <c r="O1556" s="83" t="s">
        <v>365</v>
      </c>
      <c r="P1556" s="64" t="e">
        <f>P1555/M1534</f>
        <v>#DIV/0!</v>
      </c>
      <c r="Q1556" s="84"/>
      <c r="R1556" s="84"/>
      <c r="S1556" s="83"/>
      <c r="T1556" s="84"/>
      <c r="U1556" s="571" t="s">
        <v>366</v>
      </c>
      <c r="V1556" s="571"/>
      <c r="W1556" s="85" t="e">
        <f>W1555/M1534</f>
        <v>#DIV/0!</v>
      </c>
      <c r="X1556" s="86"/>
      <c r="Y1556" s="570" t="s">
        <v>365</v>
      </c>
      <c r="Z1556" s="570"/>
      <c r="AA1556" s="87" t="e">
        <f>AA1555/M1534</f>
        <v>#DIV/0!</v>
      </c>
      <c r="AB1556" s="84"/>
      <c r="AC1556" s="84"/>
      <c r="AD1556" s="84"/>
      <c r="AE1556" s="84"/>
      <c r="AF1556" s="570" t="s">
        <v>365</v>
      </c>
      <c r="AG1556" s="570"/>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452</v>
      </c>
      <c r="M1559" s="116" t="s">
        <v>107</v>
      </c>
      <c r="N1559" s="116" t="s">
        <v>108</v>
      </c>
      <c r="O1559" s="170" t="s">
        <v>386</v>
      </c>
      <c r="P1559" s="572" t="s">
        <v>375</v>
      </c>
      <c r="Q1559" s="572"/>
      <c r="R1559" s="101" t="s">
        <v>452</v>
      </c>
      <c r="S1559" s="116" t="s">
        <v>0</v>
      </c>
      <c r="T1559" s="118"/>
      <c r="U1559" s="116" t="s">
        <v>287</v>
      </c>
      <c r="V1559" s="116" t="s">
        <v>288</v>
      </c>
      <c r="W1559" s="116" t="s">
        <v>291</v>
      </c>
      <c r="X1559" s="140"/>
      <c r="Y1559" s="116" t="s">
        <v>289</v>
      </c>
      <c r="Z1559" s="116" t="s">
        <v>354</v>
      </c>
      <c r="AA1559" s="116" t="s">
        <v>355</v>
      </c>
      <c r="AB1559" s="116" t="s">
        <v>317</v>
      </c>
      <c r="AC1559" s="116" t="s">
        <v>318</v>
      </c>
      <c r="AD1559" s="116" t="s">
        <v>316</v>
      </c>
      <c r="AE1559" s="140"/>
      <c r="AF1559" s="116" t="s">
        <v>293</v>
      </c>
      <c r="AG1559" s="116" t="s">
        <v>354</v>
      </c>
      <c r="AH1559" s="116" t="s">
        <v>355</v>
      </c>
      <c r="AI1559" s="116" t="s">
        <v>296</v>
      </c>
      <c r="AJ1559" s="116" t="s">
        <v>294</v>
      </c>
      <c r="AK1559" s="116" t="s">
        <v>295</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565</v>
      </c>
      <c r="O1560" s="121" t="s">
        <v>133</v>
      </c>
      <c r="P1560" s="169" t="s">
        <v>379</v>
      </c>
      <c r="Q1560" s="169" t="s">
        <v>375</v>
      </c>
      <c r="R1560" s="169"/>
      <c r="S1560" s="133">
        <f>M1560</f>
        <v>0</v>
      </c>
      <c r="T1560" s="119"/>
      <c r="U1560" s="121" t="s">
        <v>292</v>
      </c>
      <c r="V1560" s="133">
        <f>S1560</f>
        <v>0</v>
      </c>
      <c r="W1560" s="133">
        <f>VLOOKUP(U1560,Sheet1!$B$6:$C$45,2,FALSE)*V1560</f>
        <v>0</v>
      </c>
      <c r="X1560" s="141"/>
      <c r="Y1560" s="121" t="s">
        <v>292</v>
      </c>
      <c r="Z1560" s="146">
        <f>VLOOKUP(Takeoffs!Y1560,Sheet1!$B$6:$C$124,2,FALSE)</f>
        <v>0</v>
      </c>
      <c r="AA1560" s="146">
        <f>Z1560*AB1560</f>
        <v>0</v>
      </c>
      <c r="AB1560" s="143">
        <f>AD1560*AC1560</f>
        <v>0</v>
      </c>
      <c r="AC1560" s="133">
        <f>S1560</f>
        <v>0</v>
      </c>
      <c r="AD1560" s="142">
        <v>1</v>
      </c>
      <c r="AE1560" s="141"/>
      <c r="AF1560" s="121" t="s">
        <v>292</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395</v>
      </c>
      <c r="P1561" s="121"/>
      <c r="Q1561" s="66"/>
      <c r="R1561" s="121"/>
      <c r="S1561" s="133">
        <f>M1560</f>
        <v>0</v>
      </c>
      <c r="T1561" s="120"/>
      <c r="U1561" s="121" t="s">
        <v>297</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363</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292</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363</v>
      </c>
      <c r="V1563" s="133">
        <f t="shared" si="721"/>
        <v>0</v>
      </c>
      <c r="W1563" s="133">
        <f>VLOOKUP(U1563,Sheet1!$B$6:$C$45,2,FALSE)*V1563</f>
        <v>0</v>
      </c>
      <c r="X1563" s="141"/>
      <c r="Y1563" s="121" t="s">
        <v>292</v>
      </c>
      <c r="Z1563" s="146">
        <f>VLOOKUP(Takeoffs!Y1563,Sheet1!$B$6:$C$124,2,FALSE)</f>
        <v>0</v>
      </c>
      <c r="AA1563" s="146">
        <f t="shared" si="722"/>
        <v>0</v>
      </c>
      <c r="AB1563" s="143">
        <f t="shared" si="723"/>
        <v>0</v>
      </c>
      <c r="AC1563" s="133">
        <f t="shared" si="724"/>
        <v>0</v>
      </c>
      <c r="AD1563" s="142">
        <v>1</v>
      </c>
      <c r="AE1563" s="141"/>
      <c r="AF1563" s="121" t="s">
        <v>292</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292</v>
      </c>
      <c r="V1564" s="133">
        <f t="shared" si="721"/>
        <v>0</v>
      </c>
      <c r="W1564" s="133">
        <f>VLOOKUP(U1564,Sheet1!$B$6:$C$45,2,FALSE)*V1564</f>
        <v>0</v>
      </c>
      <c r="X1564" s="141"/>
      <c r="Y1564" s="121" t="s">
        <v>292</v>
      </c>
      <c r="Z1564" s="146">
        <f>VLOOKUP(Takeoffs!Y1564,Sheet1!$B$6:$C$124,2,FALSE)</f>
        <v>0</v>
      </c>
      <c r="AA1564" s="146">
        <f t="shared" si="722"/>
        <v>0</v>
      </c>
      <c r="AB1564" s="143">
        <f t="shared" si="723"/>
        <v>0</v>
      </c>
      <c r="AC1564" s="133">
        <f t="shared" si="724"/>
        <v>0</v>
      </c>
      <c r="AD1564" s="142">
        <v>1</v>
      </c>
      <c r="AE1564" s="141"/>
      <c r="AF1564" s="121" t="s">
        <v>292</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292</v>
      </c>
      <c r="V1565" s="133">
        <f t="shared" si="721"/>
        <v>0</v>
      </c>
      <c r="W1565" s="133">
        <f>VLOOKUP(U1565,Sheet1!$B$6:$C$45,2,FALSE)*V1565</f>
        <v>0</v>
      </c>
      <c r="X1565" s="141"/>
      <c r="Y1565" s="121" t="s">
        <v>292</v>
      </c>
      <c r="Z1565" s="146">
        <f>VLOOKUP(Takeoffs!Y1565,Sheet1!$B$6:$C$124,2,FALSE)</f>
        <v>0</v>
      </c>
      <c r="AA1565" s="146">
        <f t="shared" si="722"/>
        <v>0</v>
      </c>
      <c r="AB1565" s="143">
        <f t="shared" si="723"/>
        <v>0</v>
      </c>
      <c r="AC1565" s="133">
        <f t="shared" si="724"/>
        <v>0</v>
      </c>
      <c r="AD1565" s="142">
        <v>1</v>
      </c>
      <c r="AE1565" s="141"/>
      <c r="AF1565" s="121" t="s">
        <v>292</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292</v>
      </c>
      <c r="V1566" s="133">
        <f t="shared" si="721"/>
        <v>0</v>
      </c>
      <c r="W1566" s="133">
        <f>VLOOKUP(U1566,Sheet1!$B$6:$C$45,2,FALSE)*V1566</f>
        <v>0</v>
      </c>
      <c r="X1566" s="141"/>
      <c r="Y1566" s="121" t="s">
        <v>292</v>
      </c>
      <c r="Z1566" s="146">
        <f>VLOOKUP(Takeoffs!Y1566,Sheet1!$B$6:$C$124,2,FALSE)</f>
        <v>0</v>
      </c>
      <c r="AA1566" s="146">
        <f t="shared" si="722"/>
        <v>0</v>
      </c>
      <c r="AB1566" s="143">
        <f t="shared" si="723"/>
        <v>0</v>
      </c>
      <c r="AC1566" s="133">
        <f t="shared" si="724"/>
        <v>0</v>
      </c>
      <c r="AD1566" s="142">
        <v>1</v>
      </c>
      <c r="AE1566" s="141"/>
      <c r="AF1566" s="121" t="s">
        <v>292</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292</v>
      </c>
      <c r="V1567" s="133">
        <f t="shared" si="721"/>
        <v>0</v>
      </c>
      <c r="W1567" s="133">
        <f>VLOOKUP(U1567,Sheet1!$B$6:$C$45,2,FALSE)*V1567</f>
        <v>0</v>
      </c>
      <c r="X1567" s="141"/>
      <c r="Y1567" s="121" t="s">
        <v>292</v>
      </c>
      <c r="Z1567" s="146">
        <f>VLOOKUP(Takeoffs!Y1567,Sheet1!$B$6:$C$124,2,FALSE)</f>
        <v>0</v>
      </c>
      <c r="AA1567" s="146">
        <f t="shared" si="722"/>
        <v>0</v>
      </c>
      <c r="AB1567" s="143">
        <f t="shared" si="723"/>
        <v>0</v>
      </c>
      <c r="AC1567" s="133">
        <f t="shared" si="724"/>
        <v>0</v>
      </c>
      <c r="AD1567" s="142">
        <v>1</v>
      </c>
      <c r="AE1567" s="141"/>
      <c r="AF1567" s="121" t="s">
        <v>292</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292</v>
      </c>
      <c r="V1568" s="133">
        <f t="shared" si="721"/>
        <v>0</v>
      </c>
      <c r="W1568" s="133">
        <f>VLOOKUP(U1568,Sheet1!$B$6:$C$45,2,FALSE)*V1568</f>
        <v>0</v>
      </c>
      <c r="X1568" s="141"/>
      <c r="Y1568" s="121" t="s">
        <v>292</v>
      </c>
      <c r="Z1568" s="146">
        <f>VLOOKUP(Takeoffs!Y1568,Sheet1!$B$6:$C$124,2,FALSE)</f>
        <v>0</v>
      </c>
      <c r="AA1568" s="146">
        <f t="shared" si="722"/>
        <v>0</v>
      </c>
      <c r="AB1568" s="143">
        <f t="shared" si="723"/>
        <v>0</v>
      </c>
      <c r="AC1568" s="133">
        <f t="shared" si="724"/>
        <v>0</v>
      </c>
      <c r="AD1568" s="142">
        <v>1</v>
      </c>
      <c r="AE1568" s="141"/>
      <c r="AF1568" s="121" t="s">
        <v>292</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292</v>
      </c>
      <c r="V1569" s="133">
        <f t="shared" si="721"/>
        <v>0</v>
      </c>
      <c r="W1569" s="133">
        <f>VLOOKUP(U1569,Sheet1!$B$6:$C$45,2,FALSE)*V1569</f>
        <v>0</v>
      </c>
      <c r="X1569" s="141"/>
      <c r="Y1569" s="121" t="s">
        <v>292</v>
      </c>
      <c r="Z1569" s="146">
        <f>VLOOKUP(Takeoffs!Y1569,Sheet1!$B$6:$C$124,2,FALSE)</f>
        <v>0</v>
      </c>
      <c r="AA1569" s="146">
        <f t="shared" si="722"/>
        <v>0</v>
      </c>
      <c r="AB1569" s="143">
        <f t="shared" si="723"/>
        <v>0</v>
      </c>
      <c r="AC1569" s="133">
        <f t="shared" si="724"/>
        <v>0</v>
      </c>
      <c r="AD1569" s="142">
        <v>1</v>
      </c>
      <c r="AE1569" s="141"/>
      <c r="AF1569" s="121" t="s">
        <v>292</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292</v>
      </c>
      <c r="V1570" s="133">
        <f t="shared" si="721"/>
        <v>0</v>
      </c>
      <c r="W1570" s="133">
        <f>VLOOKUP(U1570,Sheet1!$B$6:$C$45,2,FALSE)*V1570</f>
        <v>0</v>
      </c>
      <c r="X1570" s="141"/>
      <c r="Y1570" s="121" t="s">
        <v>292</v>
      </c>
      <c r="Z1570" s="146">
        <f>VLOOKUP(Takeoffs!Y1570,Sheet1!$B$6:$C$124,2,FALSE)</f>
        <v>0</v>
      </c>
      <c r="AA1570" s="146">
        <f t="shared" si="722"/>
        <v>0</v>
      </c>
      <c r="AB1570" s="143">
        <f t="shared" si="723"/>
        <v>0</v>
      </c>
      <c r="AC1570" s="133">
        <f t="shared" si="724"/>
        <v>0</v>
      </c>
      <c r="AD1570" s="142">
        <v>1</v>
      </c>
      <c r="AE1570" s="141"/>
      <c r="AF1570" s="121" t="s">
        <v>292</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292</v>
      </c>
      <c r="V1571" s="133">
        <f t="shared" si="721"/>
        <v>0</v>
      </c>
      <c r="W1571" s="133">
        <f>VLOOKUP(U1571,Sheet1!$B$6:$C$45,2,FALSE)*V1571</f>
        <v>0</v>
      </c>
      <c r="X1571" s="141"/>
      <c r="Y1571" s="121" t="s">
        <v>292</v>
      </c>
      <c r="Z1571" s="146">
        <f>VLOOKUP(Takeoffs!Y1571,Sheet1!$B$6:$C$124,2,FALSE)</f>
        <v>0</v>
      </c>
      <c r="AA1571" s="146">
        <f t="shared" si="722"/>
        <v>0</v>
      </c>
      <c r="AB1571" s="143">
        <f t="shared" si="723"/>
        <v>0</v>
      </c>
      <c r="AC1571" s="133">
        <f t="shared" si="724"/>
        <v>0</v>
      </c>
      <c r="AD1571" s="142">
        <v>1</v>
      </c>
      <c r="AE1571" s="141"/>
      <c r="AF1571" s="121" t="s">
        <v>292</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292</v>
      </c>
      <c r="V1572" s="133">
        <f t="shared" si="721"/>
        <v>0</v>
      </c>
      <c r="W1572" s="133">
        <f>VLOOKUP(U1572,Sheet1!$B$6:$C$45,2,FALSE)*V1572</f>
        <v>0</v>
      </c>
      <c r="X1572" s="141"/>
      <c r="Y1572" s="121" t="s">
        <v>292</v>
      </c>
      <c r="Z1572" s="146">
        <f>VLOOKUP(Takeoffs!Y1572,Sheet1!$B$6:$C$124,2,FALSE)</f>
        <v>0</v>
      </c>
      <c r="AA1572" s="146">
        <f t="shared" si="722"/>
        <v>0</v>
      </c>
      <c r="AB1572" s="143">
        <f t="shared" si="723"/>
        <v>0</v>
      </c>
      <c r="AC1572" s="133">
        <f t="shared" si="724"/>
        <v>0</v>
      </c>
      <c r="AD1572" s="142">
        <v>1</v>
      </c>
      <c r="AE1572" s="141"/>
      <c r="AF1572" s="121" t="s">
        <v>292</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292</v>
      </c>
      <c r="V1573" s="133">
        <f t="shared" si="721"/>
        <v>0</v>
      </c>
      <c r="W1573" s="133">
        <f>VLOOKUP(U1573,Sheet1!$B$6:$C$45,2,FALSE)*V1573</f>
        <v>0</v>
      </c>
      <c r="X1573" s="141"/>
      <c r="Y1573" s="121" t="s">
        <v>292</v>
      </c>
      <c r="Z1573" s="146">
        <f>VLOOKUP(Takeoffs!Y1573,Sheet1!$B$6:$C$124,2,FALSE)</f>
        <v>0</v>
      </c>
      <c r="AA1573" s="146">
        <f t="shared" si="722"/>
        <v>0</v>
      </c>
      <c r="AB1573" s="143">
        <f t="shared" si="723"/>
        <v>0</v>
      </c>
      <c r="AC1573" s="133">
        <f t="shared" si="724"/>
        <v>0</v>
      </c>
      <c r="AD1573" s="142">
        <v>1</v>
      </c>
      <c r="AE1573" s="141"/>
      <c r="AF1573" s="121" t="s">
        <v>292</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292</v>
      </c>
      <c r="V1574" s="133">
        <f t="shared" si="721"/>
        <v>0</v>
      </c>
      <c r="W1574" s="133">
        <f>VLOOKUP(U1574,Sheet1!$B$6:$C$45,2,FALSE)*V1574</f>
        <v>0</v>
      </c>
      <c r="X1574" s="141"/>
      <c r="Y1574" s="121" t="s">
        <v>292</v>
      </c>
      <c r="Z1574" s="146">
        <f>VLOOKUP(Takeoffs!Y1574,Sheet1!$B$6:$C$124,2,FALSE)</f>
        <v>0</v>
      </c>
      <c r="AA1574" s="146">
        <f t="shared" si="722"/>
        <v>0</v>
      </c>
      <c r="AB1574" s="143">
        <f t="shared" si="723"/>
        <v>0</v>
      </c>
      <c r="AC1574" s="133">
        <f t="shared" si="724"/>
        <v>0</v>
      </c>
      <c r="AD1574" s="142">
        <v>1</v>
      </c>
      <c r="AE1574" s="141"/>
      <c r="AF1574" s="121" t="s">
        <v>292</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292</v>
      </c>
      <c r="V1575" s="133">
        <f t="shared" si="721"/>
        <v>0</v>
      </c>
      <c r="W1575" s="133">
        <f>VLOOKUP(U1575,Sheet1!$B$6:$C$45,2,FALSE)*V1575</f>
        <v>0</v>
      </c>
      <c r="X1575" s="141"/>
      <c r="Y1575" s="121" t="s">
        <v>292</v>
      </c>
      <c r="Z1575" s="146">
        <f>VLOOKUP(Takeoffs!Y1575,Sheet1!$B$6:$C$124,2,FALSE)</f>
        <v>0</v>
      </c>
      <c r="AA1575" s="146">
        <f t="shared" si="722"/>
        <v>0</v>
      </c>
      <c r="AB1575" s="143">
        <f t="shared" si="723"/>
        <v>0</v>
      </c>
      <c r="AC1575" s="133">
        <f t="shared" si="724"/>
        <v>0</v>
      </c>
      <c r="AD1575" s="142">
        <v>1</v>
      </c>
      <c r="AE1575" s="141"/>
      <c r="AF1575" s="121" t="s">
        <v>292</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292</v>
      </c>
      <c r="V1576" s="133">
        <f t="shared" si="721"/>
        <v>0</v>
      </c>
      <c r="W1576" s="133">
        <f>VLOOKUP(U1576,Sheet1!$B$6:$C$45,2,FALSE)*V1576</f>
        <v>0</v>
      </c>
      <c r="X1576" s="141"/>
      <c r="Y1576" s="121" t="s">
        <v>292</v>
      </c>
      <c r="Z1576" s="146">
        <f>VLOOKUP(Takeoffs!Y1576,Sheet1!$B$6:$C$124,2,FALSE)</f>
        <v>0</v>
      </c>
      <c r="AA1576" s="146">
        <f t="shared" si="722"/>
        <v>0</v>
      </c>
      <c r="AB1576" s="143">
        <f t="shared" si="723"/>
        <v>0</v>
      </c>
      <c r="AC1576" s="133">
        <f t="shared" si="724"/>
        <v>0</v>
      </c>
      <c r="AD1576" s="142">
        <v>1</v>
      </c>
      <c r="AE1576" s="141"/>
      <c r="AF1576" s="121" t="s">
        <v>292</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292</v>
      </c>
      <c r="V1577" s="133">
        <f t="shared" si="721"/>
        <v>0</v>
      </c>
      <c r="W1577" s="133">
        <f>VLOOKUP(U1577,Sheet1!$B$6:$C$45,2,FALSE)*V1577</f>
        <v>0</v>
      </c>
      <c r="X1577" s="141"/>
      <c r="Y1577" s="121" t="s">
        <v>292</v>
      </c>
      <c r="Z1577" s="146">
        <f>VLOOKUP(Takeoffs!Y1577,Sheet1!$B$6:$C$124,2,FALSE)</f>
        <v>0</v>
      </c>
      <c r="AA1577" s="146">
        <f t="shared" si="722"/>
        <v>0</v>
      </c>
      <c r="AB1577" s="143">
        <f t="shared" si="723"/>
        <v>0</v>
      </c>
      <c r="AC1577" s="133">
        <f t="shared" si="724"/>
        <v>0</v>
      </c>
      <c r="AD1577" s="142">
        <v>1</v>
      </c>
      <c r="AE1577" s="141"/>
      <c r="AF1577" s="121" t="s">
        <v>292</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292</v>
      </c>
      <c r="V1578" s="133">
        <f t="shared" si="721"/>
        <v>0</v>
      </c>
      <c r="W1578" s="133">
        <f>VLOOKUP(U1578,Sheet1!$B$6:$C$45,2,FALSE)*V1578</f>
        <v>0</v>
      </c>
      <c r="X1578" s="141"/>
      <c r="Y1578" s="121" t="s">
        <v>292</v>
      </c>
      <c r="Z1578" s="146">
        <f>VLOOKUP(Takeoffs!Y1578,Sheet1!$B$6:$C$124,2,FALSE)</f>
        <v>0</v>
      </c>
      <c r="AA1578" s="146">
        <f t="shared" si="722"/>
        <v>0</v>
      </c>
      <c r="AB1578" s="143">
        <f t="shared" si="723"/>
        <v>0</v>
      </c>
      <c r="AC1578" s="133">
        <f t="shared" si="724"/>
        <v>0</v>
      </c>
      <c r="AD1578" s="142">
        <v>1</v>
      </c>
      <c r="AE1578" s="141"/>
      <c r="AF1578" s="121" t="s">
        <v>292</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292</v>
      </c>
      <c r="V1579" s="133">
        <f t="shared" si="721"/>
        <v>0</v>
      </c>
      <c r="W1579" s="133">
        <f>VLOOKUP(U1579,Sheet1!$B$6:$C$45,2,FALSE)*V1579</f>
        <v>0</v>
      </c>
      <c r="X1579" s="141"/>
      <c r="Y1579" s="121" t="s">
        <v>292</v>
      </c>
      <c r="Z1579" s="146">
        <f>VLOOKUP(Takeoffs!Y1579,Sheet1!$B$6:$C$124,2,FALSE)</f>
        <v>0</v>
      </c>
      <c r="AA1579" s="146">
        <f t="shared" si="722"/>
        <v>0</v>
      </c>
      <c r="AB1579" s="143">
        <f t="shared" si="723"/>
        <v>0</v>
      </c>
      <c r="AC1579" s="133">
        <f t="shared" si="724"/>
        <v>0</v>
      </c>
      <c r="AD1579" s="142">
        <v>1</v>
      </c>
      <c r="AE1579" s="141"/>
      <c r="AF1579" s="121" t="s">
        <v>292</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292</v>
      </c>
      <c r="V1580" s="133">
        <f t="shared" si="721"/>
        <v>0</v>
      </c>
      <c r="W1580" s="133">
        <f>VLOOKUP(U1580,Sheet1!$B$6:$C$45,2,FALSE)*V1580</f>
        <v>0</v>
      </c>
      <c r="X1580" s="141"/>
      <c r="Y1580" s="121" t="s">
        <v>292</v>
      </c>
      <c r="Z1580" s="146">
        <f>VLOOKUP(Takeoffs!Y1580,Sheet1!$B$6:$C$124,2,FALSE)</f>
        <v>0</v>
      </c>
      <c r="AA1580" s="146">
        <f t="shared" si="722"/>
        <v>0</v>
      </c>
      <c r="AB1580" s="143">
        <f t="shared" si="723"/>
        <v>0</v>
      </c>
      <c r="AC1580" s="133">
        <f t="shared" si="724"/>
        <v>0</v>
      </c>
      <c r="AD1580" s="142">
        <v>1</v>
      </c>
      <c r="AE1580" s="141"/>
      <c r="AF1580" s="121" t="s">
        <v>292</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377</v>
      </c>
      <c r="L1581" s="128" t="s">
        <v>378</v>
      </c>
      <c r="N1581" s="129"/>
      <c r="O1581" s="130" t="s">
        <v>357</v>
      </c>
      <c r="P1581" s="131">
        <f>V1581+AA1581+AH1581</f>
        <v>0</v>
      </c>
      <c r="Q1581" s="131"/>
      <c r="R1581" s="131"/>
      <c r="S1581" s="130"/>
      <c r="T1581" s="127"/>
      <c r="U1581" s="126" t="s">
        <v>351</v>
      </c>
      <c r="V1581" s="127">
        <f>W1581*80</f>
        <v>0</v>
      </c>
      <c r="W1581" s="147">
        <f>SUM(W1560:W1580)</f>
        <v>0</v>
      </c>
      <c r="X1581" s="148"/>
      <c r="Y1581" s="127" t="s">
        <v>352</v>
      </c>
      <c r="Z1581" s="116"/>
      <c r="AA1581" s="116">
        <f>SUM(AA1560:AA1580)</f>
        <v>0</v>
      </c>
      <c r="AB1581" s="149"/>
      <c r="AC1581" s="149"/>
      <c r="AD1581" s="149"/>
      <c r="AE1581" s="149"/>
      <c r="AF1581" s="127" t="s">
        <v>356</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hidden="1" x14ac:dyDescent="0.8">
      <c r="A1582" s="262">
        <f>ROW()</f>
        <v>1582</v>
      </c>
      <c r="B1582" s="234" t="s">
        <v>491</v>
      </c>
      <c r="C1582" s="217" t="str">
        <f>N1560</f>
        <v>Packaged units</v>
      </c>
      <c r="D1582" s="260" t="s">
        <v>678</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367</v>
      </c>
      <c r="N1582" s="160" t="str">
        <f>N1560</f>
        <v>Packaged units</v>
      </c>
      <c r="O1582" s="160" t="s">
        <v>365</v>
      </c>
      <c r="P1582" s="64" t="e">
        <f>P1581/M1560</f>
        <v>#DIV/0!</v>
      </c>
      <c r="Q1582" s="161"/>
      <c r="R1582" s="161"/>
      <c r="S1582" s="160"/>
      <c r="T1582" s="161"/>
      <c r="U1582" s="571" t="s">
        <v>366</v>
      </c>
      <c r="V1582" s="571"/>
      <c r="W1582" s="162" t="e">
        <f>W1581/M1560</f>
        <v>#DIV/0!</v>
      </c>
      <c r="X1582" s="163"/>
      <c r="Y1582" s="570" t="s">
        <v>365</v>
      </c>
      <c r="Z1582" s="570"/>
      <c r="AA1582" s="164" t="e">
        <f>AA1581/M1560</f>
        <v>#DIV/0!</v>
      </c>
      <c r="AB1582" s="161"/>
      <c r="AC1582" s="161"/>
      <c r="AD1582" s="161"/>
      <c r="AE1582" s="161"/>
      <c r="AF1582" s="570" t="s">
        <v>365</v>
      </c>
      <c r="AG1582" s="570"/>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452</v>
      </c>
      <c r="M1583" s="116" t="s">
        <v>107</v>
      </c>
      <c r="N1583" s="116" t="s">
        <v>108</v>
      </c>
      <c r="O1583" s="170" t="s">
        <v>386</v>
      </c>
      <c r="P1583" s="572" t="s">
        <v>375</v>
      </c>
      <c r="Q1583" s="572"/>
      <c r="R1583" s="101" t="s">
        <v>452</v>
      </c>
      <c r="S1583" s="116" t="s">
        <v>0</v>
      </c>
      <c r="T1583" s="118"/>
      <c r="U1583" s="116" t="s">
        <v>287</v>
      </c>
      <c r="V1583" s="116" t="s">
        <v>288</v>
      </c>
      <c r="W1583" s="116" t="s">
        <v>291</v>
      </c>
      <c r="X1583" s="140"/>
      <c r="Y1583" s="116" t="s">
        <v>289</v>
      </c>
      <c r="Z1583" s="116" t="s">
        <v>354</v>
      </c>
      <c r="AA1583" s="116" t="s">
        <v>355</v>
      </c>
      <c r="AB1583" s="116" t="s">
        <v>317</v>
      </c>
      <c r="AC1583" s="116" t="s">
        <v>318</v>
      </c>
      <c r="AD1583" s="116" t="s">
        <v>316</v>
      </c>
      <c r="AE1583" s="140"/>
      <c r="AF1583" s="116" t="s">
        <v>293</v>
      </c>
      <c r="AG1583" s="116" t="s">
        <v>354</v>
      </c>
      <c r="AH1583" s="116" t="s">
        <v>355</v>
      </c>
      <c r="AI1583" s="116" t="s">
        <v>296</v>
      </c>
      <c r="AJ1583" s="116" t="s">
        <v>294</v>
      </c>
      <c r="AK1583" s="116" t="s">
        <v>295</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619</v>
      </c>
      <c r="O1584" s="121" t="s">
        <v>133</v>
      </c>
      <c r="P1584" s="169" t="s">
        <v>379</v>
      </c>
      <c r="Q1584" s="169" t="s">
        <v>375</v>
      </c>
      <c r="R1584" s="169"/>
      <c r="S1584" s="133">
        <f>M1584</f>
        <v>0</v>
      </c>
      <c r="T1584" s="119"/>
      <c r="U1584" s="121" t="s">
        <v>292</v>
      </c>
      <c r="V1584" s="133">
        <f>S1584</f>
        <v>0</v>
      </c>
      <c r="W1584" s="133">
        <f>VLOOKUP(U1584,Sheet1!$B$6:$C$45,2,FALSE)*V1584</f>
        <v>0</v>
      </c>
      <c r="X1584" s="141"/>
      <c r="Y1584" s="121" t="s">
        <v>292</v>
      </c>
      <c r="Z1584" s="146">
        <f>VLOOKUP(Takeoffs!Y1584,Sheet1!$B$6:$C$124,2,FALSE)</f>
        <v>0</v>
      </c>
      <c r="AA1584" s="146">
        <f>Z1584*AB1584</f>
        <v>0</v>
      </c>
      <c r="AB1584" s="143">
        <f>AD1584*AC1584</f>
        <v>0</v>
      </c>
      <c r="AC1584" s="133">
        <f>S1584</f>
        <v>0</v>
      </c>
      <c r="AD1584" s="142">
        <v>1</v>
      </c>
      <c r="AE1584" s="141"/>
      <c r="AF1584" s="121" t="s">
        <v>292</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308</v>
      </c>
      <c r="P1585" s="121"/>
      <c r="Q1585" s="66"/>
      <c r="R1585" s="121"/>
      <c r="S1585" s="133">
        <f>M1584</f>
        <v>0</v>
      </c>
      <c r="T1585" s="120"/>
      <c r="U1585" s="121" t="s">
        <v>292</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292</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621</v>
      </c>
      <c r="P1586" s="121"/>
      <c r="Q1586" s="66"/>
      <c r="R1586" s="121"/>
      <c r="S1586" s="133">
        <f>M1584</f>
        <v>0</v>
      </c>
      <c r="T1586" s="120"/>
      <c r="U1586" s="117" t="s">
        <v>363</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292</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593</v>
      </c>
      <c r="Q1587" s="66" t="s">
        <v>622</v>
      </c>
      <c r="R1587" s="121"/>
      <c r="S1587" s="133">
        <f>M1584</f>
        <v>0</v>
      </c>
      <c r="T1587" s="120"/>
      <c r="U1587" s="121" t="s">
        <v>292</v>
      </c>
      <c r="V1587" s="133">
        <f t="shared" si="730"/>
        <v>0</v>
      </c>
      <c r="W1587" s="133">
        <f>VLOOKUP(U1587,Sheet1!$B$6:$C$45,2,FALSE)*V1587</f>
        <v>0</v>
      </c>
      <c r="X1587" s="141"/>
      <c r="Y1587" s="121" t="s">
        <v>292</v>
      </c>
      <c r="Z1587" s="146">
        <f>VLOOKUP(Takeoffs!Y1587,Sheet1!$B$6:$C$124,2,FALSE)</f>
        <v>0</v>
      </c>
      <c r="AA1587" s="146">
        <f t="shared" si="731"/>
        <v>0</v>
      </c>
      <c r="AB1587" s="143">
        <f t="shared" si="732"/>
        <v>0</v>
      </c>
      <c r="AC1587" s="133">
        <f t="shared" si="733"/>
        <v>0</v>
      </c>
      <c r="AD1587" s="142">
        <v>1</v>
      </c>
      <c r="AE1587" s="141"/>
      <c r="AF1587" s="121" t="s">
        <v>292</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611</v>
      </c>
      <c r="P1588" s="121" t="s">
        <v>593</v>
      </c>
      <c r="Q1588" s="121" t="s">
        <v>594</v>
      </c>
      <c r="R1588" s="121"/>
      <c r="S1588" s="133">
        <f>M1584</f>
        <v>0</v>
      </c>
      <c r="T1588" s="120"/>
      <c r="U1588" s="121" t="s">
        <v>292</v>
      </c>
      <c r="V1588" s="133">
        <f t="shared" si="730"/>
        <v>0</v>
      </c>
      <c r="W1588" s="133">
        <f>VLOOKUP(U1588,Sheet1!$B$6:$C$45,2,FALSE)*V1588</f>
        <v>0</v>
      </c>
      <c r="X1588" s="141"/>
      <c r="Y1588" s="121" t="s">
        <v>292</v>
      </c>
      <c r="Z1588" s="146">
        <f>VLOOKUP(Takeoffs!Y1588,Sheet1!$B$6:$C$124,2,FALSE)</f>
        <v>0</v>
      </c>
      <c r="AA1588" s="146">
        <f t="shared" si="731"/>
        <v>0</v>
      </c>
      <c r="AB1588" s="143">
        <f t="shared" si="732"/>
        <v>0</v>
      </c>
      <c r="AC1588" s="133">
        <f t="shared" si="733"/>
        <v>0</v>
      </c>
      <c r="AD1588" s="142">
        <v>1</v>
      </c>
      <c r="AE1588" s="141"/>
      <c r="AF1588" s="121" t="s">
        <v>292</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596</v>
      </c>
      <c r="P1589" s="121"/>
      <c r="Q1589" s="121"/>
      <c r="R1589" s="121"/>
      <c r="S1589" s="133">
        <f>M1584</f>
        <v>0</v>
      </c>
      <c r="T1589" s="120"/>
      <c r="U1589" s="121" t="s">
        <v>292</v>
      </c>
      <c r="V1589" s="133">
        <f t="shared" si="730"/>
        <v>0</v>
      </c>
      <c r="W1589" s="133">
        <f>VLOOKUP(U1589,Sheet1!$B$6:$C$45,2,FALSE)*V1589</f>
        <v>0</v>
      </c>
      <c r="X1589" s="141"/>
      <c r="Y1589" s="121" t="s">
        <v>292</v>
      </c>
      <c r="Z1589" s="146">
        <f>VLOOKUP(Takeoffs!Y1589,Sheet1!$B$6:$C$124,2,FALSE)</f>
        <v>0</v>
      </c>
      <c r="AA1589" s="146">
        <f t="shared" si="731"/>
        <v>0</v>
      </c>
      <c r="AB1589" s="143">
        <f t="shared" si="732"/>
        <v>0</v>
      </c>
      <c r="AC1589" s="133">
        <f t="shared" si="733"/>
        <v>0</v>
      </c>
      <c r="AD1589" s="142">
        <v>1</v>
      </c>
      <c r="AE1589" s="141"/>
      <c r="AF1589" s="121" t="s">
        <v>292</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597</v>
      </c>
      <c r="P1590" s="121" t="s">
        <v>593</v>
      </c>
      <c r="Q1590" s="66" t="s">
        <v>623</v>
      </c>
      <c r="R1590" s="121"/>
      <c r="S1590" s="133">
        <f>M1584</f>
        <v>0</v>
      </c>
      <c r="T1590" s="120"/>
      <c r="U1590" s="117" t="s">
        <v>363</v>
      </c>
      <c r="V1590" s="133">
        <f t="shared" si="730"/>
        <v>0</v>
      </c>
      <c r="W1590" s="133">
        <f>VLOOKUP(U1590,Sheet1!$B$6:$C$45,2,FALSE)*V1590</f>
        <v>0</v>
      </c>
      <c r="X1590" s="141"/>
      <c r="Y1590" s="121" t="s">
        <v>292</v>
      </c>
      <c r="Z1590" s="146">
        <f>VLOOKUP(Takeoffs!Y1590,Sheet1!$B$6:$C$124,2,FALSE)</f>
        <v>0</v>
      </c>
      <c r="AA1590" s="146">
        <f t="shared" si="731"/>
        <v>0</v>
      </c>
      <c r="AB1590" s="143">
        <f t="shared" si="732"/>
        <v>0</v>
      </c>
      <c r="AC1590" s="133">
        <f t="shared" si="733"/>
        <v>0</v>
      </c>
      <c r="AD1590" s="142">
        <v>1</v>
      </c>
      <c r="AE1590" s="141"/>
      <c r="AF1590" s="121" t="s">
        <v>292</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292</v>
      </c>
      <c r="V1591" s="133">
        <f t="shared" si="730"/>
        <v>0</v>
      </c>
      <c r="W1591" s="133">
        <f>VLOOKUP(U1591,Sheet1!$B$6:$C$45,2,FALSE)*V1591</f>
        <v>0</v>
      </c>
      <c r="X1591" s="141"/>
      <c r="Y1591" s="121" t="s">
        <v>292</v>
      </c>
      <c r="Z1591" s="146">
        <f>VLOOKUP(Takeoffs!Y1591,Sheet1!$B$6:$C$124,2,FALSE)</f>
        <v>0</v>
      </c>
      <c r="AA1591" s="146">
        <f t="shared" si="731"/>
        <v>0</v>
      </c>
      <c r="AB1591" s="143">
        <f t="shared" si="732"/>
        <v>0</v>
      </c>
      <c r="AC1591" s="133">
        <f t="shared" si="733"/>
        <v>0</v>
      </c>
      <c r="AD1591" s="142">
        <v>1</v>
      </c>
      <c r="AE1591" s="141"/>
      <c r="AF1591" s="121" t="s">
        <v>292</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292</v>
      </c>
      <c r="V1592" s="133">
        <f t="shared" si="730"/>
        <v>0</v>
      </c>
      <c r="W1592" s="133">
        <f>VLOOKUP(U1592,Sheet1!$B$6:$C$45,2,FALSE)*V1592</f>
        <v>0</v>
      </c>
      <c r="X1592" s="141"/>
      <c r="Y1592" s="121" t="s">
        <v>292</v>
      </c>
      <c r="Z1592" s="146">
        <f>VLOOKUP(Takeoffs!Y1592,Sheet1!$B$6:$C$124,2,FALSE)</f>
        <v>0</v>
      </c>
      <c r="AA1592" s="146">
        <f t="shared" si="731"/>
        <v>0</v>
      </c>
      <c r="AB1592" s="143">
        <f t="shared" si="732"/>
        <v>0</v>
      </c>
      <c r="AC1592" s="133">
        <f t="shared" si="733"/>
        <v>0</v>
      </c>
      <c r="AD1592" s="142">
        <v>1</v>
      </c>
      <c r="AE1592" s="141"/>
      <c r="AF1592" s="121" t="s">
        <v>292</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292</v>
      </c>
      <c r="V1593" s="133">
        <f t="shared" si="730"/>
        <v>0</v>
      </c>
      <c r="W1593" s="133">
        <f>VLOOKUP(U1593,Sheet1!$B$6:$C$45,2,FALSE)*V1593</f>
        <v>0</v>
      </c>
      <c r="X1593" s="141"/>
      <c r="Y1593" s="121" t="s">
        <v>292</v>
      </c>
      <c r="Z1593" s="146">
        <f>VLOOKUP(Takeoffs!Y1593,Sheet1!$B$6:$C$124,2,FALSE)</f>
        <v>0</v>
      </c>
      <c r="AA1593" s="146">
        <f t="shared" si="731"/>
        <v>0</v>
      </c>
      <c r="AB1593" s="143">
        <f t="shared" si="732"/>
        <v>0</v>
      </c>
      <c r="AC1593" s="133">
        <f t="shared" si="733"/>
        <v>0</v>
      </c>
      <c r="AD1593" s="142">
        <v>1</v>
      </c>
      <c r="AE1593" s="141"/>
      <c r="AF1593" s="121" t="s">
        <v>292</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292</v>
      </c>
      <c r="V1594" s="133">
        <f t="shared" si="730"/>
        <v>0</v>
      </c>
      <c r="W1594" s="133">
        <f>VLOOKUP(U1594,Sheet1!$B$6:$C$45,2,FALSE)*V1594</f>
        <v>0</v>
      </c>
      <c r="X1594" s="141"/>
      <c r="Y1594" s="121" t="s">
        <v>292</v>
      </c>
      <c r="Z1594" s="146">
        <f>VLOOKUP(Takeoffs!Y1594,Sheet1!$B$6:$C$124,2,FALSE)</f>
        <v>0</v>
      </c>
      <c r="AA1594" s="146">
        <f t="shared" si="731"/>
        <v>0</v>
      </c>
      <c r="AB1594" s="143">
        <f t="shared" si="732"/>
        <v>0</v>
      </c>
      <c r="AC1594" s="133">
        <f t="shared" si="733"/>
        <v>0</v>
      </c>
      <c r="AD1594" s="142">
        <v>1</v>
      </c>
      <c r="AE1594" s="141"/>
      <c r="AF1594" s="121" t="s">
        <v>292</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292</v>
      </c>
      <c r="V1595" s="133">
        <f t="shared" si="730"/>
        <v>0</v>
      </c>
      <c r="W1595" s="133">
        <f>VLOOKUP(U1595,Sheet1!$B$6:$C$45,2,FALSE)*V1595</f>
        <v>0</v>
      </c>
      <c r="X1595" s="141"/>
      <c r="Y1595" s="121" t="s">
        <v>292</v>
      </c>
      <c r="Z1595" s="146">
        <f>VLOOKUP(Takeoffs!Y1595,Sheet1!$B$6:$C$124,2,FALSE)</f>
        <v>0</v>
      </c>
      <c r="AA1595" s="146">
        <f t="shared" si="731"/>
        <v>0</v>
      </c>
      <c r="AB1595" s="143">
        <f t="shared" si="732"/>
        <v>0</v>
      </c>
      <c r="AC1595" s="133">
        <f t="shared" si="733"/>
        <v>0</v>
      </c>
      <c r="AD1595" s="142">
        <v>1</v>
      </c>
      <c r="AE1595" s="141"/>
      <c r="AF1595" s="121" t="s">
        <v>292</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593</v>
      </c>
      <c r="Q1596" s="121" t="s">
        <v>620</v>
      </c>
      <c r="R1596" s="121"/>
      <c r="S1596" s="133">
        <f>M1584</f>
        <v>0</v>
      </c>
      <c r="T1596" s="120"/>
      <c r="U1596" s="121" t="s">
        <v>292</v>
      </c>
      <c r="V1596" s="133">
        <f t="shared" si="730"/>
        <v>0</v>
      </c>
      <c r="W1596" s="133">
        <f>VLOOKUP(U1596,Sheet1!$B$6:$C$45,2,FALSE)*V1596</f>
        <v>0</v>
      </c>
      <c r="X1596" s="141"/>
      <c r="Y1596" s="121" t="s">
        <v>292</v>
      </c>
      <c r="Z1596" s="146">
        <f>VLOOKUP(Takeoffs!Y1596,Sheet1!$B$6:$C$124,2,FALSE)</f>
        <v>0</v>
      </c>
      <c r="AA1596" s="146">
        <f t="shared" si="731"/>
        <v>0</v>
      </c>
      <c r="AB1596" s="143">
        <f t="shared" si="732"/>
        <v>0</v>
      </c>
      <c r="AC1596" s="133">
        <f t="shared" si="733"/>
        <v>0</v>
      </c>
      <c r="AD1596" s="142">
        <v>1</v>
      </c>
      <c r="AE1596" s="141"/>
      <c r="AF1596" s="121" t="s">
        <v>292</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292</v>
      </c>
      <c r="V1597" s="133">
        <f t="shared" si="730"/>
        <v>0</v>
      </c>
      <c r="W1597" s="133">
        <f>VLOOKUP(U1597,Sheet1!$B$6:$C$45,2,FALSE)*V1597</f>
        <v>0</v>
      </c>
      <c r="X1597" s="141"/>
      <c r="Y1597" s="121" t="s">
        <v>292</v>
      </c>
      <c r="Z1597" s="146">
        <f>VLOOKUP(Takeoffs!Y1597,Sheet1!$B$6:$C$124,2,FALSE)</f>
        <v>0</v>
      </c>
      <c r="AA1597" s="146">
        <f t="shared" si="731"/>
        <v>0</v>
      </c>
      <c r="AB1597" s="143">
        <f t="shared" si="732"/>
        <v>0</v>
      </c>
      <c r="AC1597" s="133">
        <f t="shared" si="733"/>
        <v>0</v>
      </c>
      <c r="AD1597" s="142">
        <v>1</v>
      </c>
      <c r="AE1597" s="141"/>
      <c r="AF1597" s="121" t="s">
        <v>292</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292</v>
      </c>
      <c r="V1598" s="133">
        <f t="shared" si="730"/>
        <v>0</v>
      </c>
      <c r="W1598" s="133">
        <f>VLOOKUP(U1598,Sheet1!$B$6:$C$45,2,FALSE)*V1598</f>
        <v>0</v>
      </c>
      <c r="X1598" s="141"/>
      <c r="Y1598" s="121" t="s">
        <v>292</v>
      </c>
      <c r="Z1598" s="146">
        <f>VLOOKUP(Takeoffs!Y1598,Sheet1!$B$6:$C$124,2,FALSE)</f>
        <v>0</v>
      </c>
      <c r="AA1598" s="146">
        <f t="shared" si="731"/>
        <v>0</v>
      </c>
      <c r="AB1598" s="143">
        <f t="shared" si="732"/>
        <v>0</v>
      </c>
      <c r="AC1598" s="133">
        <f t="shared" si="733"/>
        <v>0</v>
      </c>
      <c r="AD1598" s="142">
        <v>1</v>
      </c>
      <c r="AE1598" s="141"/>
      <c r="AF1598" s="121" t="s">
        <v>292</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292</v>
      </c>
      <c r="V1599" s="133">
        <f t="shared" si="730"/>
        <v>0</v>
      </c>
      <c r="W1599" s="133">
        <f>VLOOKUP(U1599,Sheet1!$B$6:$C$45,2,FALSE)*V1599</f>
        <v>0</v>
      </c>
      <c r="X1599" s="141"/>
      <c r="Y1599" s="121" t="s">
        <v>292</v>
      </c>
      <c r="Z1599" s="146">
        <f>VLOOKUP(Takeoffs!Y1599,Sheet1!$B$6:$C$124,2,FALSE)</f>
        <v>0</v>
      </c>
      <c r="AA1599" s="146">
        <f t="shared" si="731"/>
        <v>0</v>
      </c>
      <c r="AB1599" s="143">
        <f t="shared" si="732"/>
        <v>0</v>
      </c>
      <c r="AC1599" s="133">
        <f t="shared" si="733"/>
        <v>0</v>
      </c>
      <c r="AD1599" s="142">
        <v>1</v>
      </c>
      <c r="AE1599" s="141"/>
      <c r="AF1599" s="121" t="s">
        <v>292</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292</v>
      </c>
      <c r="V1600" s="133">
        <f t="shared" si="730"/>
        <v>0</v>
      </c>
      <c r="W1600" s="133">
        <f>VLOOKUP(U1600,Sheet1!$B$6:$C$45,2,FALSE)*V1600</f>
        <v>0</v>
      </c>
      <c r="X1600" s="141"/>
      <c r="Y1600" s="121" t="s">
        <v>292</v>
      </c>
      <c r="Z1600" s="146">
        <f>VLOOKUP(Takeoffs!Y1600,Sheet1!$B$6:$C$124,2,FALSE)</f>
        <v>0</v>
      </c>
      <c r="AA1600" s="146">
        <f t="shared" si="731"/>
        <v>0</v>
      </c>
      <c r="AB1600" s="143">
        <f t="shared" si="732"/>
        <v>0</v>
      </c>
      <c r="AC1600" s="133">
        <f t="shared" si="733"/>
        <v>0</v>
      </c>
      <c r="AD1600" s="142">
        <v>1</v>
      </c>
      <c r="AE1600" s="141"/>
      <c r="AF1600" s="121" t="s">
        <v>292</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292</v>
      </c>
      <c r="V1601" s="133">
        <f t="shared" si="730"/>
        <v>0</v>
      </c>
      <c r="W1601" s="133">
        <f>VLOOKUP(U1601,Sheet1!$B$6:$C$45,2,FALSE)*V1601</f>
        <v>0</v>
      </c>
      <c r="X1601" s="141"/>
      <c r="Y1601" s="121" t="s">
        <v>292</v>
      </c>
      <c r="Z1601" s="146">
        <f>VLOOKUP(Takeoffs!Y1601,Sheet1!$B$6:$C$124,2,FALSE)</f>
        <v>0</v>
      </c>
      <c r="AA1601" s="146">
        <f t="shared" si="731"/>
        <v>0</v>
      </c>
      <c r="AB1601" s="143">
        <f t="shared" si="732"/>
        <v>0</v>
      </c>
      <c r="AC1601" s="133">
        <f t="shared" si="733"/>
        <v>0</v>
      </c>
      <c r="AD1601" s="142">
        <v>1</v>
      </c>
      <c r="AE1601" s="141"/>
      <c r="AF1601" s="121" t="s">
        <v>292</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292</v>
      </c>
      <c r="V1602" s="133">
        <f t="shared" si="730"/>
        <v>0</v>
      </c>
      <c r="W1602" s="133">
        <f>VLOOKUP(U1602,Sheet1!$B$6:$C$45,2,FALSE)*V1602</f>
        <v>0</v>
      </c>
      <c r="X1602" s="141"/>
      <c r="Y1602" s="121" t="s">
        <v>292</v>
      </c>
      <c r="Z1602" s="146">
        <f>VLOOKUP(Takeoffs!Y1602,Sheet1!$B$6:$C$124,2,FALSE)</f>
        <v>0</v>
      </c>
      <c r="AA1602" s="146">
        <f t="shared" si="731"/>
        <v>0</v>
      </c>
      <c r="AB1602" s="143">
        <f t="shared" si="732"/>
        <v>0</v>
      </c>
      <c r="AC1602" s="133">
        <f t="shared" si="733"/>
        <v>0</v>
      </c>
      <c r="AD1602" s="142">
        <v>1</v>
      </c>
      <c r="AE1602" s="141"/>
      <c r="AF1602" s="121" t="s">
        <v>292</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292</v>
      </c>
      <c r="V1603" s="133">
        <f t="shared" si="730"/>
        <v>0</v>
      </c>
      <c r="W1603" s="133">
        <f>VLOOKUP(U1603,Sheet1!$B$6:$C$45,2,FALSE)*V1603</f>
        <v>0</v>
      </c>
      <c r="X1603" s="141"/>
      <c r="Y1603" s="121" t="s">
        <v>292</v>
      </c>
      <c r="Z1603" s="146">
        <f>VLOOKUP(Takeoffs!Y1603,Sheet1!$B$6:$C$124,2,FALSE)</f>
        <v>0</v>
      </c>
      <c r="AA1603" s="146">
        <f t="shared" si="731"/>
        <v>0</v>
      </c>
      <c r="AB1603" s="143">
        <f t="shared" si="732"/>
        <v>0</v>
      </c>
      <c r="AC1603" s="133">
        <f t="shared" si="733"/>
        <v>0</v>
      </c>
      <c r="AD1603" s="142">
        <v>1</v>
      </c>
      <c r="AE1603" s="141"/>
      <c r="AF1603" s="121" t="s">
        <v>292</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292</v>
      </c>
      <c r="V1604" s="133">
        <f t="shared" si="730"/>
        <v>0</v>
      </c>
      <c r="W1604" s="133">
        <f>VLOOKUP(U1604,Sheet1!$B$6:$C$45,2,FALSE)*V1604</f>
        <v>0</v>
      </c>
      <c r="X1604" s="141"/>
      <c r="Y1604" s="121" t="s">
        <v>292</v>
      </c>
      <c r="Z1604" s="146">
        <f>VLOOKUP(Takeoffs!Y1604,Sheet1!$B$6:$C$124,2,FALSE)</f>
        <v>0</v>
      </c>
      <c r="AA1604" s="146">
        <f t="shared" si="731"/>
        <v>0</v>
      </c>
      <c r="AB1604" s="143">
        <f t="shared" si="732"/>
        <v>0</v>
      </c>
      <c r="AC1604" s="133">
        <f t="shared" si="733"/>
        <v>0</v>
      </c>
      <c r="AD1604" s="142">
        <v>1</v>
      </c>
      <c r="AE1604" s="141"/>
      <c r="AF1604" s="121" t="s">
        <v>292</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377</v>
      </c>
      <c r="L1605" s="128" t="s">
        <v>378</v>
      </c>
      <c r="N1605" s="129"/>
      <c r="O1605" s="130" t="s">
        <v>357</v>
      </c>
      <c r="P1605" s="131">
        <f>V1605+AA1605+AH1605</f>
        <v>0</v>
      </c>
      <c r="Q1605" s="131"/>
      <c r="R1605" s="131"/>
      <c r="S1605" s="130"/>
      <c r="T1605" s="127"/>
      <c r="U1605" s="126" t="s">
        <v>351</v>
      </c>
      <c r="V1605" s="127">
        <f>W1605*80</f>
        <v>0</v>
      </c>
      <c r="W1605" s="147">
        <f>SUM(W1584:W1604)</f>
        <v>0</v>
      </c>
      <c r="X1605" s="148"/>
      <c r="Y1605" s="127" t="s">
        <v>352</v>
      </c>
      <c r="Z1605" s="116"/>
      <c r="AA1605" s="116">
        <f>SUM(AA1584:AA1604)</f>
        <v>0</v>
      </c>
      <c r="AB1605" s="149"/>
      <c r="AC1605" s="149"/>
      <c r="AD1605" s="149"/>
      <c r="AE1605" s="149"/>
      <c r="AF1605" s="127" t="s">
        <v>356</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hidden="1" x14ac:dyDescent="0.8">
      <c r="A1606" s="262">
        <f>ROW()</f>
        <v>1606</v>
      </c>
      <c r="B1606" s="234" t="s">
        <v>491</v>
      </c>
      <c r="C1606" s="217" t="str">
        <f>N1584</f>
        <v>Packaged units (Field wiring by customer)</v>
      </c>
      <c r="D1606" s="260" t="s">
        <v>678</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367</v>
      </c>
      <c r="N1606" s="160" t="str">
        <f>N1584</f>
        <v>Packaged units (Field wiring by customer)</v>
      </c>
      <c r="O1606" s="160" t="s">
        <v>365</v>
      </c>
      <c r="P1606" s="64" t="e">
        <f>P1605/M1584</f>
        <v>#DIV/0!</v>
      </c>
      <c r="Q1606" s="161"/>
      <c r="R1606" s="161"/>
      <c r="S1606" s="160"/>
      <c r="T1606" s="161"/>
      <c r="U1606" s="571" t="s">
        <v>366</v>
      </c>
      <c r="V1606" s="571"/>
      <c r="W1606" s="162" t="e">
        <f>W1605/M1584</f>
        <v>#DIV/0!</v>
      </c>
      <c r="X1606" s="163"/>
      <c r="Y1606" s="570" t="s">
        <v>365</v>
      </c>
      <c r="Z1606" s="570"/>
      <c r="AA1606" s="164" t="e">
        <f>AA1605/M1584</f>
        <v>#DIV/0!</v>
      </c>
      <c r="AB1606" s="161"/>
      <c r="AC1606" s="161"/>
      <c r="AD1606" s="161"/>
      <c r="AE1606" s="161"/>
      <c r="AF1606" s="570" t="s">
        <v>365</v>
      </c>
      <c r="AG1606" s="570"/>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452</v>
      </c>
      <c r="M1607" s="2" t="s">
        <v>107</v>
      </c>
      <c r="N1607" s="2" t="s">
        <v>108</v>
      </c>
      <c r="O1607" s="97" t="s">
        <v>386</v>
      </c>
      <c r="P1607" s="572" t="s">
        <v>375</v>
      </c>
      <c r="Q1607" s="572"/>
      <c r="R1607" s="101" t="s">
        <v>452</v>
      </c>
      <c r="S1607" s="2" t="s">
        <v>0</v>
      </c>
      <c r="T1607" s="9"/>
      <c r="U1607" s="2" t="s">
        <v>287</v>
      </c>
      <c r="V1607" s="2" t="s">
        <v>288</v>
      </c>
      <c r="W1607" s="2" t="s">
        <v>291</v>
      </c>
      <c r="X1607" s="58"/>
      <c r="Y1607" s="2" t="s">
        <v>289</v>
      </c>
      <c r="Z1607" s="2" t="s">
        <v>354</v>
      </c>
      <c r="AA1607" s="2" t="s">
        <v>355</v>
      </c>
      <c r="AB1607" s="2" t="s">
        <v>317</v>
      </c>
      <c r="AC1607" s="2" t="s">
        <v>318</v>
      </c>
      <c r="AD1607" s="2" t="s">
        <v>316</v>
      </c>
      <c r="AE1607" s="58"/>
      <c r="AF1607" s="2" t="s">
        <v>293</v>
      </c>
      <c r="AG1607" s="2" t="s">
        <v>354</v>
      </c>
      <c r="AH1607" s="2" t="s">
        <v>355</v>
      </c>
      <c r="AI1607" s="2" t="s">
        <v>296</v>
      </c>
      <c r="AJ1607" s="2" t="s">
        <v>294</v>
      </c>
      <c r="AK1607" s="2" t="s">
        <v>295</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290</v>
      </c>
      <c r="O1608" s="12" t="s">
        <v>133</v>
      </c>
      <c r="P1608" s="96" t="s">
        <v>379</v>
      </c>
      <c r="Q1608" s="96" t="s">
        <v>375</v>
      </c>
      <c r="R1608" s="96"/>
      <c r="S1608" s="28">
        <f>M1608</f>
        <v>0</v>
      </c>
      <c r="T1608" s="10"/>
      <c r="U1608" s="12" t="s">
        <v>292</v>
      </c>
      <c r="V1608" s="28">
        <f>S1608</f>
        <v>0</v>
      </c>
      <c r="W1608" s="28">
        <f>VLOOKUP(U1608,Sheet1!$B$6:$C$45,2,FALSE)*V1608</f>
        <v>0</v>
      </c>
      <c r="X1608" s="59"/>
      <c r="Y1608" s="12" t="s">
        <v>292</v>
      </c>
      <c r="Z1608" s="68">
        <f>VLOOKUP(Takeoffs!Y1608,Sheet1!$B$6:$C$124,2,FALSE)</f>
        <v>0</v>
      </c>
      <c r="AA1608" s="68">
        <f>Z1608*AB1608</f>
        <v>0</v>
      </c>
      <c r="AB1608" s="63">
        <f>AD1608*AC1608</f>
        <v>0</v>
      </c>
      <c r="AC1608" s="28">
        <f>S1608</f>
        <v>0</v>
      </c>
      <c r="AD1608" s="61">
        <v>1</v>
      </c>
      <c r="AE1608" s="59"/>
      <c r="AF1608" s="12" t="s">
        <v>292</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395</v>
      </c>
      <c r="P1609" s="12"/>
      <c r="Q1609" s="12"/>
      <c r="R1609" s="12"/>
      <c r="S1609" s="28">
        <f>M1608</f>
        <v>0</v>
      </c>
      <c r="T1609" s="11"/>
      <c r="U1609" s="12" t="s">
        <v>297</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406</v>
      </c>
      <c r="P1610" s="12"/>
      <c r="Q1610" s="12"/>
      <c r="R1610" s="12"/>
      <c r="S1610" s="28">
        <f>M1608</f>
        <v>0</v>
      </c>
      <c r="T1610" s="11"/>
      <c r="U1610" s="12" t="s">
        <v>292</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292</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292</v>
      </c>
      <c r="V1611" s="28">
        <f t="shared" ref="V1611:V1628" si="746">S1611</f>
        <v>0</v>
      </c>
      <c r="W1611" s="28">
        <f>VLOOKUP(U1611,Sheet1!$B$6:$C$45,2,FALSE)*V1611</f>
        <v>0</v>
      </c>
      <c r="X1611" s="59"/>
      <c r="Y1611" s="12" t="s">
        <v>292</v>
      </c>
      <c r="Z1611" s="68">
        <f>VLOOKUP(Takeoffs!Y1611,Sheet1!$B$6:$C$124,2,FALSE)</f>
        <v>0</v>
      </c>
      <c r="AA1611" s="68">
        <f t="shared" si="739"/>
        <v>0</v>
      </c>
      <c r="AB1611" s="63">
        <f t="shared" si="740"/>
        <v>0</v>
      </c>
      <c r="AC1611" s="28">
        <f t="shared" ref="AC1611:AC1628" si="747">S1611</f>
        <v>0</v>
      </c>
      <c r="AD1611" s="61">
        <v>1</v>
      </c>
      <c r="AE1611" s="59"/>
      <c r="AF1611" s="12" t="s">
        <v>292</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292</v>
      </c>
      <c r="V1612" s="28">
        <f t="shared" si="746"/>
        <v>0</v>
      </c>
      <c r="W1612" s="28">
        <f>VLOOKUP(U1612,Sheet1!$B$6:$C$45,2,FALSE)*V1612</f>
        <v>0</v>
      </c>
      <c r="X1612" s="59"/>
      <c r="Y1612" s="12" t="s">
        <v>292</v>
      </c>
      <c r="Z1612" s="68">
        <f>VLOOKUP(Takeoffs!Y1612,Sheet1!$B$6:$C$124,2,FALSE)</f>
        <v>0</v>
      </c>
      <c r="AA1612" s="68">
        <f t="shared" si="739"/>
        <v>0</v>
      </c>
      <c r="AB1612" s="63">
        <f t="shared" si="740"/>
        <v>0</v>
      </c>
      <c r="AC1612" s="28">
        <f t="shared" si="747"/>
        <v>0</v>
      </c>
      <c r="AD1612" s="61">
        <v>1</v>
      </c>
      <c r="AE1612" s="59"/>
      <c r="AF1612" s="12" t="s">
        <v>292</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292</v>
      </c>
      <c r="V1613" s="28">
        <f t="shared" si="746"/>
        <v>0</v>
      </c>
      <c r="W1613" s="28">
        <f>VLOOKUP(U1613,Sheet1!$B$6:$C$45,2,FALSE)*V1613</f>
        <v>0</v>
      </c>
      <c r="X1613" s="59"/>
      <c r="Y1613" s="12" t="s">
        <v>292</v>
      </c>
      <c r="Z1613" s="68">
        <f>VLOOKUP(Takeoffs!Y1613,Sheet1!$B$6:$C$124,2,FALSE)</f>
        <v>0</v>
      </c>
      <c r="AA1613" s="68">
        <f t="shared" si="739"/>
        <v>0</v>
      </c>
      <c r="AB1613" s="63">
        <f t="shared" si="740"/>
        <v>0</v>
      </c>
      <c r="AC1613" s="28">
        <f t="shared" si="747"/>
        <v>0</v>
      </c>
      <c r="AD1613" s="61">
        <v>1</v>
      </c>
      <c r="AE1613" s="59"/>
      <c r="AF1613" s="12" t="s">
        <v>292</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292</v>
      </c>
      <c r="V1614" s="28">
        <f t="shared" si="746"/>
        <v>0</v>
      </c>
      <c r="W1614" s="28">
        <f>VLOOKUP(U1614,Sheet1!$B$6:$C$45,2,FALSE)*V1614</f>
        <v>0</v>
      </c>
      <c r="X1614" s="59"/>
      <c r="Y1614" s="12" t="s">
        <v>292</v>
      </c>
      <c r="Z1614" s="68">
        <f>VLOOKUP(Takeoffs!Y1614,Sheet1!$B$6:$C$124,2,FALSE)</f>
        <v>0</v>
      </c>
      <c r="AA1614" s="68">
        <f t="shared" si="739"/>
        <v>0</v>
      </c>
      <c r="AB1614" s="63">
        <f t="shared" si="740"/>
        <v>0</v>
      </c>
      <c r="AC1614" s="28">
        <f t="shared" si="747"/>
        <v>0</v>
      </c>
      <c r="AD1614" s="61">
        <v>1</v>
      </c>
      <c r="AE1614" s="59"/>
      <c r="AF1614" s="12" t="s">
        <v>292</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292</v>
      </c>
      <c r="V1615" s="28">
        <f t="shared" si="746"/>
        <v>0</v>
      </c>
      <c r="W1615" s="28">
        <f>VLOOKUP(U1615,Sheet1!$B$6:$C$45,2,FALSE)*V1615</f>
        <v>0</v>
      </c>
      <c r="X1615" s="59"/>
      <c r="Y1615" s="12" t="s">
        <v>292</v>
      </c>
      <c r="Z1615" s="68">
        <f>VLOOKUP(Takeoffs!Y1615,Sheet1!$B$6:$C$124,2,FALSE)</f>
        <v>0</v>
      </c>
      <c r="AA1615" s="68">
        <f t="shared" si="739"/>
        <v>0</v>
      </c>
      <c r="AB1615" s="63">
        <f t="shared" si="740"/>
        <v>0</v>
      </c>
      <c r="AC1615" s="28">
        <f t="shared" si="747"/>
        <v>0</v>
      </c>
      <c r="AD1615" s="61">
        <v>1</v>
      </c>
      <c r="AE1615" s="59"/>
      <c r="AF1615" s="12" t="s">
        <v>292</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292</v>
      </c>
      <c r="V1616" s="28">
        <f t="shared" si="746"/>
        <v>0</v>
      </c>
      <c r="W1616" s="28">
        <f>VLOOKUP(U1616,Sheet1!$B$6:$C$45,2,FALSE)*V1616</f>
        <v>0</v>
      </c>
      <c r="X1616" s="59"/>
      <c r="Y1616" s="12" t="s">
        <v>292</v>
      </c>
      <c r="Z1616" s="68">
        <f>VLOOKUP(Takeoffs!Y1616,Sheet1!$B$6:$C$124,2,FALSE)</f>
        <v>0</v>
      </c>
      <c r="AA1616" s="68">
        <f t="shared" si="739"/>
        <v>0</v>
      </c>
      <c r="AB1616" s="63">
        <f t="shared" si="740"/>
        <v>0</v>
      </c>
      <c r="AC1616" s="28">
        <f t="shared" si="747"/>
        <v>0</v>
      </c>
      <c r="AD1616" s="61">
        <v>1</v>
      </c>
      <c r="AE1616" s="59"/>
      <c r="AF1616" s="12" t="s">
        <v>292</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292</v>
      </c>
      <c r="V1617" s="28">
        <f t="shared" si="746"/>
        <v>0</v>
      </c>
      <c r="W1617" s="28">
        <f>VLOOKUP(U1617,Sheet1!$B$6:$C$45,2,FALSE)*V1617</f>
        <v>0</v>
      </c>
      <c r="X1617" s="59"/>
      <c r="Y1617" s="12" t="s">
        <v>292</v>
      </c>
      <c r="Z1617" s="68">
        <f>VLOOKUP(Takeoffs!Y1617,Sheet1!$B$6:$C$124,2,FALSE)</f>
        <v>0</v>
      </c>
      <c r="AA1617" s="68">
        <f t="shared" si="739"/>
        <v>0</v>
      </c>
      <c r="AB1617" s="63">
        <f t="shared" si="740"/>
        <v>0</v>
      </c>
      <c r="AC1617" s="28">
        <f t="shared" si="747"/>
        <v>0</v>
      </c>
      <c r="AD1617" s="61">
        <v>1</v>
      </c>
      <c r="AE1617" s="59"/>
      <c r="AF1617" s="12" t="s">
        <v>292</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292</v>
      </c>
      <c r="V1618" s="28">
        <f t="shared" si="746"/>
        <v>0</v>
      </c>
      <c r="W1618" s="28">
        <f>VLOOKUP(U1618,Sheet1!$B$6:$C$45,2,FALSE)*V1618</f>
        <v>0</v>
      </c>
      <c r="X1618" s="59"/>
      <c r="Y1618" s="12" t="s">
        <v>292</v>
      </c>
      <c r="Z1618" s="68">
        <f>VLOOKUP(Takeoffs!Y1618,Sheet1!$B$6:$C$124,2,FALSE)</f>
        <v>0</v>
      </c>
      <c r="AA1618" s="68">
        <f t="shared" si="739"/>
        <v>0</v>
      </c>
      <c r="AB1618" s="63">
        <f t="shared" si="740"/>
        <v>0</v>
      </c>
      <c r="AC1618" s="28">
        <f t="shared" si="747"/>
        <v>0</v>
      </c>
      <c r="AD1618" s="61">
        <v>1</v>
      </c>
      <c r="AE1618" s="59"/>
      <c r="AF1618" s="12" t="s">
        <v>292</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292</v>
      </c>
      <c r="V1619" s="28">
        <f t="shared" si="746"/>
        <v>0</v>
      </c>
      <c r="W1619" s="28">
        <f>VLOOKUP(U1619,Sheet1!$B$6:$C$45,2,FALSE)*V1619</f>
        <v>0</v>
      </c>
      <c r="X1619" s="59"/>
      <c r="Y1619" s="12" t="s">
        <v>292</v>
      </c>
      <c r="Z1619" s="68">
        <f>VLOOKUP(Takeoffs!Y1619,Sheet1!$B$6:$C$124,2,FALSE)</f>
        <v>0</v>
      </c>
      <c r="AA1619" s="68">
        <f t="shared" si="739"/>
        <v>0</v>
      </c>
      <c r="AB1619" s="63">
        <f t="shared" si="740"/>
        <v>0</v>
      </c>
      <c r="AC1619" s="28">
        <f t="shared" si="747"/>
        <v>0</v>
      </c>
      <c r="AD1619" s="61">
        <v>1</v>
      </c>
      <c r="AE1619" s="59"/>
      <c r="AF1619" s="12" t="s">
        <v>292</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292</v>
      </c>
      <c r="V1620" s="28">
        <f t="shared" si="746"/>
        <v>0</v>
      </c>
      <c r="W1620" s="28">
        <f>VLOOKUP(U1620,Sheet1!$B$6:$C$45,2,FALSE)*V1620</f>
        <v>0</v>
      </c>
      <c r="X1620" s="59"/>
      <c r="Y1620" s="12" t="s">
        <v>292</v>
      </c>
      <c r="Z1620" s="68">
        <f>VLOOKUP(Takeoffs!Y1620,Sheet1!$B$6:$C$124,2,FALSE)</f>
        <v>0</v>
      </c>
      <c r="AA1620" s="68">
        <f t="shared" si="739"/>
        <v>0</v>
      </c>
      <c r="AB1620" s="63">
        <f t="shared" si="740"/>
        <v>0</v>
      </c>
      <c r="AC1620" s="28">
        <f t="shared" si="747"/>
        <v>0</v>
      </c>
      <c r="AD1620" s="61">
        <v>1</v>
      </c>
      <c r="AE1620" s="59"/>
      <c r="AF1620" s="12" t="s">
        <v>292</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292</v>
      </c>
      <c r="V1621" s="28">
        <f t="shared" si="746"/>
        <v>0</v>
      </c>
      <c r="W1621" s="28">
        <f>VLOOKUP(U1621,Sheet1!$B$6:$C$45,2,FALSE)*V1621</f>
        <v>0</v>
      </c>
      <c r="X1621" s="59"/>
      <c r="Y1621" s="12" t="s">
        <v>292</v>
      </c>
      <c r="Z1621" s="68">
        <f>VLOOKUP(Takeoffs!Y1621,Sheet1!$B$6:$C$124,2,FALSE)</f>
        <v>0</v>
      </c>
      <c r="AA1621" s="68">
        <f t="shared" si="739"/>
        <v>0</v>
      </c>
      <c r="AB1621" s="63">
        <f t="shared" si="740"/>
        <v>0</v>
      </c>
      <c r="AC1621" s="28">
        <f t="shared" si="747"/>
        <v>0</v>
      </c>
      <c r="AD1621" s="61">
        <v>1</v>
      </c>
      <c r="AE1621" s="59"/>
      <c r="AF1621" s="12" t="s">
        <v>292</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292</v>
      </c>
      <c r="V1622" s="28">
        <f t="shared" si="746"/>
        <v>0</v>
      </c>
      <c r="W1622" s="28">
        <f>VLOOKUP(U1622,Sheet1!$B$6:$C$45,2,FALSE)*V1622</f>
        <v>0</v>
      </c>
      <c r="X1622" s="59"/>
      <c r="Y1622" s="12" t="s">
        <v>292</v>
      </c>
      <c r="Z1622" s="68">
        <f>VLOOKUP(Takeoffs!Y1622,Sheet1!$B$6:$C$124,2,FALSE)</f>
        <v>0</v>
      </c>
      <c r="AA1622" s="68">
        <f t="shared" si="739"/>
        <v>0</v>
      </c>
      <c r="AB1622" s="63">
        <f t="shared" si="740"/>
        <v>0</v>
      </c>
      <c r="AC1622" s="28">
        <f t="shared" si="747"/>
        <v>0</v>
      </c>
      <c r="AD1622" s="61">
        <v>1</v>
      </c>
      <c r="AE1622" s="59"/>
      <c r="AF1622" s="12" t="s">
        <v>292</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292</v>
      </c>
      <c r="V1623" s="28">
        <f t="shared" si="746"/>
        <v>0</v>
      </c>
      <c r="W1623" s="28">
        <f>VLOOKUP(U1623,Sheet1!$B$6:$C$45,2,FALSE)*V1623</f>
        <v>0</v>
      </c>
      <c r="X1623" s="59"/>
      <c r="Y1623" s="12" t="s">
        <v>292</v>
      </c>
      <c r="Z1623" s="68">
        <f>VLOOKUP(Takeoffs!Y1623,Sheet1!$B$6:$C$124,2,FALSE)</f>
        <v>0</v>
      </c>
      <c r="AA1623" s="68">
        <f t="shared" si="739"/>
        <v>0</v>
      </c>
      <c r="AB1623" s="63">
        <f t="shared" si="740"/>
        <v>0</v>
      </c>
      <c r="AC1623" s="28">
        <f t="shared" si="747"/>
        <v>0</v>
      </c>
      <c r="AD1623" s="61">
        <v>1</v>
      </c>
      <c r="AE1623" s="59"/>
      <c r="AF1623" s="12" t="s">
        <v>292</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292</v>
      </c>
      <c r="V1624" s="28">
        <f t="shared" si="746"/>
        <v>0</v>
      </c>
      <c r="W1624" s="28">
        <f>VLOOKUP(U1624,Sheet1!$B$6:$C$45,2,FALSE)*V1624</f>
        <v>0</v>
      </c>
      <c r="X1624" s="59"/>
      <c r="Y1624" s="12" t="s">
        <v>292</v>
      </c>
      <c r="Z1624" s="68">
        <f>VLOOKUP(Takeoffs!Y1624,Sheet1!$B$6:$C$124,2,FALSE)</f>
        <v>0</v>
      </c>
      <c r="AA1624" s="68">
        <f t="shared" si="739"/>
        <v>0</v>
      </c>
      <c r="AB1624" s="63">
        <f t="shared" si="740"/>
        <v>0</v>
      </c>
      <c r="AC1624" s="28">
        <f t="shared" si="747"/>
        <v>0</v>
      </c>
      <c r="AD1624" s="61">
        <v>1</v>
      </c>
      <c r="AE1624" s="59"/>
      <c r="AF1624" s="12" t="s">
        <v>292</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292</v>
      </c>
      <c r="V1625" s="28">
        <f t="shared" si="746"/>
        <v>0</v>
      </c>
      <c r="W1625" s="28">
        <f>VLOOKUP(U1625,Sheet1!$B$6:$C$45,2,FALSE)*V1625</f>
        <v>0</v>
      </c>
      <c r="X1625" s="59"/>
      <c r="Y1625" s="12" t="s">
        <v>292</v>
      </c>
      <c r="Z1625" s="68">
        <f>VLOOKUP(Takeoffs!Y1625,Sheet1!$B$6:$C$124,2,FALSE)</f>
        <v>0</v>
      </c>
      <c r="AA1625" s="68">
        <f t="shared" si="739"/>
        <v>0</v>
      </c>
      <c r="AB1625" s="63">
        <f t="shared" si="740"/>
        <v>0</v>
      </c>
      <c r="AC1625" s="28">
        <f t="shared" si="747"/>
        <v>0</v>
      </c>
      <c r="AD1625" s="61">
        <v>1</v>
      </c>
      <c r="AE1625" s="59"/>
      <c r="AF1625" s="12" t="s">
        <v>292</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292</v>
      </c>
      <c r="V1626" s="28">
        <f t="shared" si="746"/>
        <v>0</v>
      </c>
      <c r="W1626" s="28">
        <f>VLOOKUP(U1626,Sheet1!$B$6:$C$45,2,FALSE)*V1626</f>
        <v>0</v>
      </c>
      <c r="X1626" s="59"/>
      <c r="Y1626" s="12" t="s">
        <v>292</v>
      </c>
      <c r="Z1626" s="68">
        <f>VLOOKUP(Takeoffs!Y1626,Sheet1!$B$6:$C$124,2,FALSE)</f>
        <v>0</v>
      </c>
      <c r="AA1626" s="68">
        <f t="shared" si="739"/>
        <v>0</v>
      </c>
      <c r="AB1626" s="63">
        <f t="shared" si="740"/>
        <v>0</v>
      </c>
      <c r="AC1626" s="28">
        <f t="shared" si="747"/>
        <v>0</v>
      </c>
      <c r="AD1626" s="61">
        <v>1</v>
      </c>
      <c r="AE1626" s="59"/>
      <c r="AF1626" s="12" t="s">
        <v>292</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292</v>
      </c>
      <c r="V1627" s="28">
        <f t="shared" si="746"/>
        <v>0</v>
      </c>
      <c r="W1627" s="28">
        <f>VLOOKUP(U1627,Sheet1!$B$6:$C$45,2,FALSE)*V1627</f>
        <v>0</v>
      </c>
      <c r="X1627" s="59"/>
      <c r="Y1627" s="12" t="s">
        <v>292</v>
      </c>
      <c r="Z1627" s="68">
        <f>VLOOKUP(Takeoffs!Y1627,Sheet1!$B$6:$C$124,2,FALSE)</f>
        <v>0</v>
      </c>
      <c r="AA1627" s="68">
        <f t="shared" si="739"/>
        <v>0</v>
      </c>
      <c r="AB1627" s="63">
        <f t="shared" si="740"/>
        <v>0</v>
      </c>
      <c r="AC1627" s="28">
        <f t="shared" si="747"/>
        <v>0</v>
      </c>
      <c r="AD1627" s="61">
        <v>1</v>
      </c>
      <c r="AE1627" s="59"/>
      <c r="AF1627" s="12" t="s">
        <v>292</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292</v>
      </c>
      <c r="V1628" s="28">
        <f t="shared" si="746"/>
        <v>0</v>
      </c>
      <c r="W1628" s="28">
        <f>VLOOKUP(U1628,Sheet1!$B$6:$C$45,2,FALSE)*V1628</f>
        <v>0</v>
      </c>
      <c r="X1628" s="59"/>
      <c r="Y1628" s="12" t="s">
        <v>292</v>
      </c>
      <c r="Z1628" s="68">
        <f>VLOOKUP(Takeoffs!Y1628,Sheet1!$B$6:$C$124,2,FALSE)</f>
        <v>0</v>
      </c>
      <c r="AA1628" s="68">
        <f t="shared" si="739"/>
        <v>0</v>
      </c>
      <c r="AB1628" s="63">
        <f t="shared" si="740"/>
        <v>0</v>
      </c>
      <c r="AC1628" s="28">
        <f t="shared" si="747"/>
        <v>0</v>
      </c>
      <c r="AD1628" s="61">
        <v>1</v>
      </c>
      <c r="AE1628" s="59"/>
      <c r="AF1628" s="12" t="s">
        <v>292</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377</v>
      </c>
      <c r="L1629" s="21" t="s">
        <v>378</v>
      </c>
      <c r="N1629" s="22"/>
      <c r="O1629" s="23" t="s">
        <v>357</v>
      </c>
      <c r="P1629" s="24">
        <f>V1629+AA1629+AH1629</f>
        <v>0</v>
      </c>
      <c r="Q1629" s="24"/>
      <c r="R1629" s="24"/>
      <c r="S1629" s="23"/>
      <c r="T1629" s="20"/>
      <c r="U1629" s="19" t="s">
        <v>351</v>
      </c>
      <c r="V1629" s="20">
        <f>W1629*80</f>
        <v>0</v>
      </c>
      <c r="W1629" s="69">
        <f>SUM(W1608:W1628)</f>
        <v>0</v>
      </c>
      <c r="X1629" s="70"/>
      <c r="Y1629" s="20" t="s">
        <v>352</v>
      </c>
      <c r="Z1629" s="2"/>
      <c r="AA1629" s="2">
        <f>SUM(AA1608:AA1628)</f>
        <v>0</v>
      </c>
      <c r="AB1629" s="71"/>
      <c r="AC1629" s="71"/>
      <c r="AD1629" s="71"/>
      <c r="AE1629" s="71"/>
      <c r="AF1629" s="20" t="s">
        <v>356</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hidden="1" x14ac:dyDescent="0.8">
      <c r="A1630" s="262">
        <f>ROW()</f>
        <v>1630</v>
      </c>
      <c r="B1630" s="234" t="s">
        <v>491</v>
      </c>
      <c r="C1630" s="217" t="str">
        <f>N1608</f>
        <v>Office VRF outdoor units</v>
      </c>
      <c r="D1630" s="260" t="s">
        <v>678</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367</v>
      </c>
      <c r="N1630" s="83" t="str">
        <f>N1608</f>
        <v>Office VRF outdoor units</v>
      </c>
      <c r="O1630" s="83" t="s">
        <v>365</v>
      </c>
      <c r="P1630" s="64" t="e">
        <f>P1629/M1608</f>
        <v>#DIV/0!</v>
      </c>
      <c r="Q1630" s="84"/>
      <c r="R1630" s="84"/>
      <c r="S1630" s="83"/>
      <c r="T1630" s="84"/>
      <c r="U1630" s="571" t="s">
        <v>366</v>
      </c>
      <c r="V1630" s="571"/>
      <c r="W1630" s="85" t="e">
        <f>W1629/M1608</f>
        <v>#DIV/0!</v>
      </c>
      <c r="X1630" s="86"/>
      <c r="Y1630" s="570" t="s">
        <v>365</v>
      </c>
      <c r="Z1630" s="570"/>
      <c r="AA1630" s="87" t="e">
        <f>AA1629/M1608</f>
        <v>#DIV/0!</v>
      </c>
      <c r="AB1630" s="84"/>
      <c r="AC1630" s="84"/>
      <c r="AD1630" s="84"/>
      <c r="AE1630" s="84"/>
      <c r="AF1630" s="570" t="s">
        <v>365</v>
      </c>
      <c r="AG1630" s="570"/>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hidden="1" x14ac:dyDescent="1.2">
      <c r="A1631" s="262">
        <f>ROW()</f>
        <v>1631</v>
      </c>
      <c r="B1631" s="261" t="s">
        <v>491</v>
      </c>
      <c r="D1631" s="261" t="str">
        <f>IF(B1631="Shopping List",IF(ISNUMBER(SEARCH("MSSB",C1631)),"MSSB",IF(ISNUMBER(SEARCH("local",C1631)),"LOCAL","")))</f>
        <v/>
      </c>
      <c r="I1631" s="269">
        <f>SUM(I1655:I1775)</f>
        <v>0</v>
      </c>
      <c r="J1631" s="261" t="s">
        <v>494</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452</v>
      </c>
      <c r="M1632" s="116" t="s">
        <v>107</v>
      </c>
      <c r="N1632" s="116" t="s">
        <v>108</v>
      </c>
      <c r="O1632" s="170" t="s">
        <v>386</v>
      </c>
      <c r="P1632" s="572" t="s">
        <v>375</v>
      </c>
      <c r="Q1632" s="572"/>
      <c r="R1632" s="101" t="s">
        <v>452</v>
      </c>
      <c r="S1632" s="116" t="s">
        <v>0</v>
      </c>
      <c r="T1632" s="118"/>
      <c r="U1632" s="116" t="s">
        <v>287</v>
      </c>
      <c r="V1632" s="116" t="s">
        <v>288</v>
      </c>
      <c r="W1632" s="116" t="s">
        <v>291</v>
      </c>
      <c r="X1632" s="140"/>
      <c r="Y1632" s="116" t="s">
        <v>289</v>
      </c>
      <c r="Z1632" s="116" t="s">
        <v>354</v>
      </c>
      <c r="AA1632" s="116" t="s">
        <v>355</v>
      </c>
      <c r="AB1632" s="116" t="s">
        <v>317</v>
      </c>
      <c r="AC1632" s="116" t="s">
        <v>318</v>
      </c>
      <c r="AD1632" s="116" t="s">
        <v>316</v>
      </c>
      <c r="AE1632" s="140"/>
      <c r="AF1632" s="116" t="s">
        <v>293</v>
      </c>
      <c r="AG1632" s="116" t="s">
        <v>354</v>
      </c>
      <c r="AH1632" s="116" t="s">
        <v>355</v>
      </c>
      <c r="AI1632" s="116" t="s">
        <v>296</v>
      </c>
      <c r="AJ1632" s="116" t="s">
        <v>294</v>
      </c>
      <c r="AK1632" s="116" t="s">
        <v>295</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637</v>
      </c>
      <c r="O1633" s="175" t="s">
        <v>133</v>
      </c>
      <c r="P1633" s="173" t="s">
        <v>379</v>
      </c>
      <c r="Q1633" s="173" t="s">
        <v>375</v>
      </c>
      <c r="R1633" s="173"/>
      <c r="S1633" s="174">
        <f>M1633</f>
        <v>0</v>
      </c>
      <c r="T1633" s="175"/>
      <c r="U1633" s="175" t="s">
        <v>292</v>
      </c>
      <c r="V1633" s="174">
        <f>S1633</f>
        <v>0</v>
      </c>
      <c r="W1633" s="174">
        <f>VLOOKUP(U1633,Sheet1!$B$6:$C$45,2,FALSE)*V1633</f>
        <v>0</v>
      </c>
      <c r="X1633" s="174"/>
      <c r="Y1633" s="175" t="s">
        <v>292</v>
      </c>
      <c r="Z1633" s="168">
        <f>VLOOKUP(Takeoffs!Y1633,Sheet1!$B$6:$C$124,2,FALSE)</f>
        <v>0</v>
      </c>
      <c r="AA1633" s="168">
        <f>Z1633*AB1633</f>
        <v>0</v>
      </c>
      <c r="AB1633" s="176">
        <f>AD1633*AC1633</f>
        <v>0</v>
      </c>
      <c r="AC1633" s="174">
        <f>S1633</f>
        <v>0</v>
      </c>
      <c r="AD1633" s="174">
        <v>1</v>
      </c>
      <c r="AE1633" s="174"/>
      <c r="AF1633" s="175" t="s">
        <v>292</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292</v>
      </c>
      <c r="V1634" s="174">
        <f t="shared" ref="V1634:V1653" si="753">S1634</f>
        <v>0</v>
      </c>
      <c r="W1634" s="174">
        <f>VLOOKUP(U1634,Sheet1!$B$6:$C$45,2,FALSE)*V1634</f>
        <v>0</v>
      </c>
      <c r="X1634" s="174"/>
      <c r="Y1634" s="175" t="s">
        <v>292</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292</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292</v>
      </c>
      <c r="V1635" s="174">
        <f t="shared" si="753"/>
        <v>0</v>
      </c>
      <c r="W1635" s="174">
        <f>VLOOKUP(U1635,Sheet1!$B$6:$C$45,2,FALSE)*V1635</f>
        <v>0</v>
      </c>
      <c r="X1635" s="174"/>
      <c r="Y1635" s="175" t="s">
        <v>292</v>
      </c>
      <c r="Z1635" s="168">
        <f>VLOOKUP(Takeoffs!Y1635,Sheet1!$B$6:$C$124,2,FALSE)</f>
        <v>0</v>
      </c>
      <c r="AA1635" s="168">
        <f t="shared" si="754"/>
        <v>0</v>
      </c>
      <c r="AB1635" s="176">
        <f t="shared" si="755"/>
        <v>0</v>
      </c>
      <c r="AC1635" s="174">
        <f t="shared" si="756"/>
        <v>0</v>
      </c>
      <c r="AD1635" s="174">
        <v>1</v>
      </c>
      <c r="AE1635" s="174"/>
      <c r="AF1635" s="175" t="s">
        <v>292</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530</v>
      </c>
      <c r="P1636" s="175"/>
      <c r="Q1636" s="175"/>
      <c r="R1636" s="175"/>
      <c r="S1636" s="174">
        <f>M1633</f>
        <v>0</v>
      </c>
      <c r="T1636" s="172"/>
      <c r="U1636" s="175" t="s">
        <v>292</v>
      </c>
      <c r="V1636" s="174">
        <f t="shared" si="753"/>
        <v>0</v>
      </c>
      <c r="W1636" s="174">
        <f>VLOOKUP(U1636,Sheet1!$B$6:$C$45,2,FALSE)*V1636</f>
        <v>0</v>
      </c>
      <c r="X1636" s="174"/>
      <c r="Y1636" s="175" t="s">
        <v>292</v>
      </c>
      <c r="Z1636" s="168">
        <f>VLOOKUP(Takeoffs!Y1636,Sheet1!$B$6:$C$124,2,FALSE)</f>
        <v>0</v>
      </c>
      <c r="AA1636" s="168">
        <f t="shared" si="754"/>
        <v>0</v>
      </c>
      <c r="AB1636" s="176">
        <f t="shared" si="755"/>
        <v>0</v>
      </c>
      <c r="AC1636" s="174">
        <f t="shared" si="756"/>
        <v>0</v>
      </c>
      <c r="AD1636" s="174">
        <v>1</v>
      </c>
      <c r="AE1636" s="174"/>
      <c r="AF1636" s="175" t="s">
        <v>292</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531</v>
      </c>
      <c r="P1637" s="175"/>
      <c r="Q1637" s="175"/>
      <c r="R1637" s="175"/>
      <c r="S1637" s="174">
        <f>M1633</f>
        <v>0</v>
      </c>
      <c r="T1637" s="172"/>
      <c r="U1637" s="175" t="s">
        <v>292</v>
      </c>
      <c r="V1637" s="174">
        <f t="shared" si="753"/>
        <v>0</v>
      </c>
      <c r="W1637" s="174">
        <f>VLOOKUP(U1637,Sheet1!$B$6:$C$45,2,FALSE)*V1637</f>
        <v>0</v>
      </c>
      <c r="X1637" s="174"/>
      <c r="Y1637" s="175" t="s">
        <v>292</v>
      </c>
      <c r="Z1637" s="168">
        <f>VLOOKUP(Takeoffs!Y1637,Sheet1!$B$6:$C$124,2,FALSE)</f>
        <v>0</v>
      </c>
      <c r="AA1637" s="168">
        <f t="shared" si="754"/>
        <v>0</v>
      </c>
      <c r="AB1637" s="176">
        <f t="shared" si="755"/>
        <v>0</v>
      </c>
      <c r="AC1637" s="174">
        <f t="shared" si="756"/>
        <v>0</v>
      </c>
      <c r="AD1637" s="174">
        <v>1</v>
      </c>
      <c r="AE1637" s="174"/>
      <c r="AF1637" s="175" t="s">
        <v>292</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407</v>
      </c>
      <c r="P1638" s="175"/>
      <c r="Q1638" s="175"/>
      <c r="R1638" s="175"/>
      <c r="S1638" s="174">
        <f>M1633</f>
        <v>0</v>
      </c>
      <c r="T1638" s="172"/>
      <c r="U1638" s="175" t="s">
        <v>292</v>
      </c>
      <c r="V1638" s="174">
        <f t="shared" si="753"/>
        <v>0</v>
      </c>
      <c r="W1638" s="174">
        <f>VLOOKUP(U1638,Sheet1!$B$6:$C$45,2,FALSE)*V1638</f>
        <v>0</v>
      </c>
      <c r="X1638" s="174"/>
      <c r="Y1638" s="175" t="s">
        <v>292</v>
      </c>
      <c r="Z1638" s="168">
        <f>VLOOKUP(Takeoffs!Y1638,Sheet1!$B$6:$C$124,2,FALSE)</f>
        <v>0</v>
      </c>
      <c r="AA1638" s="168">
        <f t="shared" si="754"/>
        <v>0</v>
      </c>
      <c r="AB1638" s="176">
        <f t="shared" si="755"/>
        <v>0</v>
      </c>
      <c r="AC1638" s="174">
        <f t="shared" si="756"/>
        <v>0</v>
      </c>
      <c r="AD1638" s="174">
        <v>1</v>
      </c>
      <c r="AE1638" s="174"/>
      <c r="AF1638" s="175" t="s">
        <v>292</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408</v>
      </c>
      <c r="P1639" s="175"/>
      <c r="Q1639" s="175"/>
      <c r="R1639" s="175"/>
      <c r="S1639" s="174">
        <f>M1633</f>
        <v>0</v>
      </c>
      <c r="T1639" s="172"/>
      <c r="U1639" s="175" t="s">
        <v>292</v>
      </c>
      <c r="V1639" s="174">
        <f t="shared" si="753"/>
        <v>0</v>
      </c>
      <c r="W1639" s="174">
        <f>VLOOKUP(U1639,Sheet1!$B$6:$C$45,2,FALSE)*V1639</f>
        <v>0</v>
      </c>
      <c r="X1639" s="174"/>
      <c r="Y1639" s="175" t="s">
        <v>292</v>
      </c>
      <c r="Z1639" s="168">
        <f>VLOOKUP(Takeoffs!Y1639,Sheet1!$B$6:$C$124,2,FALSE)</f>
        <v>0</v>
      </c>
      <c r="AA1639" s="168">
        <f t="shared" si="754"/>
        <v>0</v>
      </c>
      <c r="AB1639" s="176">
        <f t="shared" si="755"/>
        <v>0</v>
      </c>
      <c r="AC1639" s="174">
        <f t="shared" si="756"/>
        <v>0</v>
      </c>
      <c r="AD1639" s="174">
        <v>1</v>
      </c>
      <c r="AE1639" s="174"/>
      <c r="AF1639" s="175" t="s">
        <v>292</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292</v>
      </c>
      <c r="V1640" s="174">
        <f t="shared" si="753"/>
        <v>0</v>
      </c>
      <c r="W1640" s="174">
        <f>VLOOKUP(U1640,Sheet1!$B$6:$C$45,2,FALSE)*V1640</f>
        <v>0</v>
      </c>
      <c r="X1640" s="174"/>
      <c r="Y1640" s="175" t="s">
        <v>292</v>
      </c>
      <c r="Z1640" s="168">
        <f>VLOOKUP(Takeoffs!Y1640,Sheet1!$B$6:$C$124,2,FALSE)</f>
        <v>0</v>
      </c>
      <c r="AA1640" s="168">
        <f t="shared" si="754"/>
        <v>0</v>
      </c>
      <c r="AB1640" s="176">
        <f t="shared" si="755"/>
        <v>0</v>
      </c>
      <c r="AC1640" s="174">
        <f t="shared" si="756"/>
        <v>0</v>
      </c>
      <c r="AD1640" s="174">
        <v>1</v>
      </c>
      <c r="AE1640" s="174"/>
      <c r="AF1640" s="175" t="s">
        <v>292</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292</v>
      </c>
      <c r="V1641" s="174">
        <f t="shared" si="753"/>
        <v>0</v>
      </c>
      <c r="W1641" s="174">
        <f>VLOOKUP(U1641,Sheet1!$B$6:$C$45,2,FALSE)*V1641</f>
        <v>0</v>
      </c>
      <c r="X1641" s="174"/>
      <c r="Y1641" s="175" t="s">
        <v>292</v>
      </c>
      <c r="Z1641" s="168">
        <f>VLOOKUP(Takeoffs!Y1641,Sheet1!$B$6:$C$124,2,FALSE)</f>
        <v>0</v>
      </c>
      <c r="AA1641" s="168">
        <f t="shared" si="754"/>
        <v>0</v>
      </c>
      <c r="AB1641" s="176">
        <f t="shared" si="755"/>
        <v>0</v>
      </c>
      <c r="AC1641" s="174">
        <f t="shared" si="756"/>
        <v>0</v>
      </c>
      <c r="AD1641" s="174">
        <v>1</v>
      </c>
      <c r="AE1641" s="174"/>
      <c r="AF1641" s="175" t="s">
        <v>292</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292</v>
      </c>
      <c r="V1642" s="174">
        <f t="shared" si="753"/>
        <v>0</v>
      </c>
      <c r="W1642" s="174">
        <f>VLOOKUP(U1642,Sheet1!$B$6:$C$45,2,FALSE)*V1642</f>
        <v>0</v>
      </c>
      <c r="X1642" s="174"/>
      <c r="Y1642" s="175" t="s">
        <v>292</v>
      </c>
      <c r="Z1642" s="168">
        <f>VLOOKUP(Takeoffs!Y1642,Sheet1!$B$6:$C$124,2,FALSE)</f>
        <v>0</v>
      </c>
      <c r="AA1642" s="168">
        <f t="shared" si="754"/>
        <v>0</v>
      </c>
      <c r="AB1642" s="176">
        <f t="shared" si="755"/>
        <v>0</v>
      </c>
      <c r="AC1642" s="174">
        <f t="shared" si="756"/>
        <v>0</v>
      </c>
      <c r="AD1642" s="174">
        <v>1</v>
      </c>
      <c r="AE1642" s="174"/>
      <c r="AF1642" s="175" t="s">
        <v>292</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292</v>
      </c>
      <c r="V1643" s="174">
        <f t="shared" si="753"/>
        <v>0</v>
      </c>
      <c r="W1643" s="174">
        <f>VLOOKUP(U1643,Sheet1!$B$6:$C$45,2,FALSE)*V1643</f>
        <v>0</v>
      </c>
      <c r="X1643" s="174"/>
      <c r="Y1643" s="175" t="s">
        <v>292</v>
      </c>
      <c r="Z1643" s="168">
        <f>VLOOKUP(Takeoffs!Y1643,Sheet1!$B$6:$C$124,2,FALSE)</f>
        <v>0</v>
      </c>
      <c r="AA1643" s="168">
        <f t="shared" si="754"/>
        <v>0</v>
      </c>
      <c r="AB1643" s="176">
        <f t="shared" si="755"/>
        <v>0</v>
      </c>
      <c r="AC1643" s="174">
        <f t="shared" si="756"/>
        <v>0</v>
      </c>
      <c r="AD1643" s="174">
        <v>1</v>
      </c>
      <c r="AE1643" s="174"/>
      <c r="AF1643" s="175" t="s">
        <v>292</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292</v>
      </c>
      <c r="V1644" s="174">
        <f t="shared" si="753"/>
        <v>0</v>
      </c>
      <c r="W1644" s="174">
        <f>VLOOKUP(U1644,Sheet1!$B$6:$C$45,2,FALSE)*V1644</f>
        <v>0</v>
      </c>
      <c r="X1644" s="174"/>
      <c r="Y1644" s="175" t="s">
        <v>292</v>
      </c>
      <c r="Z1644" s="168">
        <f>VLOOKUP(Takeoffs!Y1644,Sheet1!$B$6:$C$124,2,FALSE)</f>
        <v>0</v>
      </c>
      <c r="AA1644" s="168">
        <f t="shared" si="754"/>
        <v>0</v>
      </c>
      <c r="AB1644" s="176">
        <f t="shared" si="755"/>
        <v>0</v>
      </c>
      <c r="AC1644" s="174">
        <f t="shared" si="756"/>
        <v>0</v>
      </c>
      <c r="AD1644" s="174">
        <v>1</v>
      </c>
      <c r="AE1644" s="174"/>
      <c r="AF1644" s="175" t="s">
        <v>292</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292</v>
      </c>
      <c r="V1645" s="174">
        <f t="shared" si="753"/>
        <v>0</v>
      </c>
      <c r="W1645" s="174">
        <f>VLOOKUP(U1645,Sheet1!$B$6:$C$45,2,FALSE)*V1645</f>
        <v>0</v>
      </c>
      <c r="X1645" s="174"/>
      <c r="Y1645" s="175" t="s">
        <v>292</v>
      </c>
      <c r="Z1645" s="168">
        <f>VLOOKUP(Takeoffs!Y1645,Sheet1!$B$6:$C$124,2,FALSE)</f>
        <v>0</v>
      </c>
      <c r="AA1645" s="168">
        <f t="shared" si="754"/>
        <v>0</v>
      </c>
      <c r="AB1645" s="176">
        <f t="shared" si="755"/>
        <v>0</v>
      </c>
      <c r="AC1645" s="174">
        <f t="shared" si="756"/>
        <v>0</v>
      </c>
      <c r="AD1645" s="174">
        <v>1</v>
      </c>
      <c r="AE1645" s="174"/>
      <c r="AF1645" s="175" t="s">
        <v>292</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292</v>
      </c>
      <c r="V1646" s="174">
        <f t="shared" si="753"/>
        <v>0</v>
      </c>
      <c r="W1646" s="174">
        <f>VLOOKUP(U1646,Sheet1!$B$6:$C$45,2,FALSE)*V1646</f>
        <v>0</v>
      </c>
      <c r="X1646" s="174"/>
      <c r="Y1646" s="175" t="s">
        <v>292</v>
      </c>
      <c r="Z1646" s="168">
        <f>VLOOKUP(Takeoffs!Y1646,Sheet1!$B$6:$C$124,2,FALSE)</f>
        <v>0</v>
      </c>
      <c r="AA1646" s="168">
        <f t="shared" si="754"/>
        <v>0</v>
      </c>
      <c r="AB1646" s="176">
        <f t="shared" si="755"/>
        <v>0</v>
      </c>
      <c r="AC1646" s="174">
        <f t="shared" si="756"/>
        <v>0</v>
      </c>
      <c r="AD1646" s="174">
        <v>1</v>
      </c>
      <c r="AE1646" s="174"/>
      <c r="AF1646" s="175" t="s">
        <v>292</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292</v>
      </c>
      <c r="V1647" s="174">
        <f t="shared" si="753"/>
        <v>0</v>
      </c>
      <c r="W1647" s="174">
        <f>VLOOKUP(U1647,Sheet1!$B$6:$C$45,2,FALSE)*V1647</f>
        <v>0</v>
      </c>
      <c r="X1647" s="174"/>
      <c r="Y1647" s="175" t="s">
        <v>292</v>
      </c>
      <c r="Z1647" s="168">
        <f>VLOOKUP(Takeoffs!Y1647,Sheet1!$B$6:$C$124,2,FALSE)</f>
        <v>0</v>
      </c>
      <c r="AA1647" s="168">
        <f t="shared" si="754"/>
        <v>0</v>
      </c>
      <c r="AB1647" s="176">
        <f t="shared" si="755"/>
        <v>0</v>
      </c>
      <c r="AC1647" s="174">
        <f t="shared" si="756"/>
        <v>0</v>
      </c>
      <c r="AD1647" s="174">
        <v>1</v>
      </c>
      <c r="AE1647" s="174"/>
      <c r="AF1647" s="175" t="s">
        <v>292</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292</v>
      </c>
      <c r="V1648" s="174">
        <f t="shared" si="753"/>
        <v>0</v>
      </c>
      <c r="W1648" s="174">
        <f>VLOOKUP(U1648,Sheet1!$B$6:$C$45,2,FALSE)*V1648</f>
        <v>0</v>
      </c>
      <c r="X1648" s="174"/>
      <c r="Y1648" s="175" t="s">
        <v>292</v>
      </c>
      <c r="Z1648" s="168">
        <f>VLOOKUP(Takeoffs!Y1648,Sheet1!$B$6:$C$124,2,FALSE)</f>
        <v>0</v>
      </c>
      <c r="AA1648" s="168">
        <f t="shared" si="754"/>
        <v>0</v>
      </c>
      <c r="AB1648" s="176">
        <f t="shared" si="755"/>
        <v>0</v>
      </c>
      <c r="AC1648" s="174">
        <f t="shared" si="756"/>
        <v>0</v>
      </c>
      <c r="AD1648" s="174">
        <v>2</v>
      </c>
      <c r="AE1648" s="174"/>
      <c r="AF1648" s="175" t="s">
        <v>292</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292</v>
      </c>
      <c r="V1649" s="174">
        <f t="shared" si="753"/>
        <v>0</v>
      </c>
      <c r="W1649" s="174">
        <f>VLOOKUP(U1649,Sheet1!$B$6:$C$45,2,FALSE)*V1649</f>
        <v>0</v>
      </c>
      <c r="X1649" s="174"/>
      <c r="Y1649" s="175" t="s">
        <v>292</v>
      </c>
      <c r="Z1649" s="168">
        <f>VLOOKUP(Takeoffs!Y1649,Sheet1!$B$6:$C$124,2,FALSE)</f>
        <v>0</v>
      </c>
      <c r="AA1649" s="168">
        <f t="shared" si="754"/>
        <v>0</v>
      </c>
      <c r="AB1649" s="176">
        <f t="shared" si="755"/>
        <v>0</v>
      </c>
      <c r="AC1649" s="174">
        <f t="shared" si="756"/>
        <v>0</v>
      </c>
      <c r="AD1649" s="174">
        <v>1</v>
      </c>
      <c r="AE1649" s="174"/>
      <c r="AF1649" s="175" t="s">
        <v>292</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292</v>
      </c>
      <c r="V1650" s="174">
        <f t="shared" si="753"/>
        <v>0</v>
      </c>
      <c r="W1650" s="174">
        <f>VLOOKUP(U1650,Sheet1!$B$6:$C$45,2,FALSE)*V1650</f>
        <v>0</v>
      </c>
      <c r="X1650" s="174"/>
      <c r="Y1650" s="175" t="s">
        <v>292</v>
      </c>
      <c r="Z1650" s="168">
        <f>VLOOKUP(Takeoffs!Y1650,Sheet1!$B$6:$C$124,2,FALSE)</f>
        <v>0</v>
      </c>
      <c r="AA1650" s="168">
        <f t="shared" si="754"/>
        <v>0</v>
      </c>
      <c r="AB1650" s="176">
        <f t="shared" si="755"/>
        <v>0</v>
      </c>
      <c r="AC1650" s="174">
        <f t="shared" si="756"/>
        <v>0</v>
      </c>
      <c r="AD1650" s="174">
        <v>1</v>
      </c>
      <c r="AE1650" s="174"/>
      <c r="AF1650" s="175" t="s">
        <v>292</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292</v>
      </c>
      <c r="V1651" s="174">
        <f t="shared" si="753"/>
        <v>0</v>
      </c>
      <c r="W1651" s="174">
        <f>VLOOKUP(U1651,Sheet1!$B$6:$C$45,2,FALSE)*V1651</f>
        <v>0</v>
      </c>
      <c r="X1651" s="174"/>
      <c r="Y1651" s="175" t="s">
        <v>292</v>
      </c>
      <c r="Z1651" s="168">
        <f>VLOOKUP(Takeoffs!Y1651,Sheet1!$B$6:$C$124,2,FALSE)</f>
        <v>0</v>
      </c>
      <c r="AA1651" s="168">
        <f t="shared" si="754"/>
        <v>0</v>
      </c>
      <c r="AB1651" s="176">
        <f t="shared" si="755"/>
        <v>0</v>
      </c>
      <c r="AC1651" s="174">
        <f t="shared" si="756"/>
        <v>0</v>
      </c>
      <c r="AD1651" s="174">
        <v>1</v>
      </c>
      <c r="AE1651" s="174"/>
      <c r="AF1651" s="175" t="s">
        <v>292</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292</v>
      </c>
      <c r="V1652" s="174">
        <f t="shared" si="753"/>
        <v>0</v>
      </c>
      <c r="W1652" s="174">
        <f>VLOOKUP(U1652,Sheet1!$B$6:$C$45,2,FALSE)*V1652</f>
        <v>0</v>
      </c>
      <c r="X1652" s="174"/>
      <c r="Y1652" s="175" t="s">
        <v>292</v>
      </c>
      <c r="Z1652" s="168">
        <f>VLOOKUP(Takeoffs!Y1652,Sheet1!$B$6:$C$124,2,FALSE)</f>
        <v>0</v>
      </c>
      <c r="AA1652" s="168">
        <f t="shared" si="754"/>
        <v>0</v>
      </c>
      <c r="AB1652" s="176">
        <f t="shared" si="755"/>
        <v>0</v>
      </c>
      <c r="AC1652" s="174">
        <f t="shared" si="756"/>
        <v>0</v>
      </c>
      <c r="AD1652" s="174">
        <v>1</v>
      </c>
      <c r="AE1652" s="174"/>
      <c r="AF1652" s="175" t="s">
        <v>292</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292</v>
      </c>
      <c r="V1653" s="174">
        <f t="shared" si="753"/>
        <v>0</v>
      </c>
      <c r="W1653" s="174">
        <f>VLOOKUP(U1653,Sheet1!$B$6:$C$45,2,FALSE)*V1653</f>
        <v>0</v>
      </c>
      <c r="X1653" s="174"/>
      <c r="Y1653" s="175" t="s">
        <v>292</v>
      </c>
      <c r="Z1653" s="168">
        <f>VLOOKUP(Takeoffs!Y1653,Sheet1!$B$6:$C$124,2,FALSE)</f>
        <v>0</v>
      </c>
      <c r="AA1653" s="168">
        <f t="shared" si="754"/>
        <v>0</v>
      </c>
      <c r="AB1653" s="176">
        <f t="shared" si="755"/>
        <v>0</v>
      </c>
      <c r="AC1653" s="174">
        <f t="shared" si="756"/>
        <v>0</v>
      </c>
      <c r="AD1653" s="174">
        <v>1</v>
      </c>
      <c r="AE1653" s="174"/>
      <c r="AF1653" s="175" t="s">
        <v>292</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377</v>
      </c>
      <c r="L1654" s="128" t="s">
        <v>378</v>
      </c>
      <c r="N1654" s="129"/>
      <c r="O1654" s="175" t="s">
        <v>357</v>
      </c>
      <c r="P1654" s="172">
        <f>P1655*M1633</f>
        <v>0</v>
      </c>
      <c r="Q1654" s="172"/>
      <c r="R1654" s="172"/>
      <c r="S1654" s="175"/>
      <c r="T1654" s="172"/>
      <c r="U1654" s="175" t="s">
        <v>351</v>
      </c>
      <c r="V1654" s="172">
        <f>W1654*80</f>
        <v>0</v>
      </c>
      <c r="W1654" s="177">
        <f>SUM(W1633:W1653)</f>
        <v>0</v>
      </c>
      <c r="X1654" s="178"/>
      <c r="Y1654" s="172" t="s">
        <v>352</v>
      </c>
      <c r="Z1654" s="168"/>
      <c r="AA1654" s="168">
        <f>SUM(AA1633:AA1653)</f>
        <v>0</v>
      </c>
      <c r="AB1654" s="179"/>
      <c r="AC1654" s="179"/>
      <c r="AD1654" s="179"/>
      <c r="AE1654" s="179"/>
      <c r="AF1654" s="172" t="s">
        <v>356</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hidden="1" x14ac:dyDescent="0.8">
      <c r="A1655" s="262">
        <f>ROW()</f>
        <v>1655</v>
      </c>
      <c r="B1655" s="234" t="s">
        <v>491</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367</v>
      </c>
      <c r="N1655" s="160" t="str">
        <f>N1633</f>
        <v>Small Coolingwater Aircooled Chillers - from Chiller MSSB</v>
      </c>
      <c r="O1655" s="175" t="s">
        <v>365</v>
      </c>
      <c r="P1655" s="64">
        <v>1000</v>
      </c>
      <c r="Q1655" s="172"/>
      <c r="R1655" s="172"/>
      <c r="S1655" s="175"/>
      <c r="T1655" s="172"/>
      <c r="U1655" s="574" t="s">
        <v>366</v>
      </c>
      <c r="V1655" s="574"/>
      <c r="W1655" s="177" t="e">
        <f>W1654/M1633</f>
        <v>#DIV/0!</v>
      </c>
      <c r="X1655" s="178"/>
      <c r="Y1655" s="575" t="s">
        <v>365</v>
      </c>
      <c r="Z1655" s="575"/>
      <c r="AA1655" s="181" t="e">
        <f>AA1654/M1633</f>
        <v>#DIV/0!</v>
      </c>
      <c r="AB1655" s="172"/>
      <c r="AC1655" s="172"/>
      <c r="AD1655" s="172"/>
      <c r="AE1655" s="172"/>
      <c r="AF1655" s="575" t="s">
        <v>365</v>
      </c>
      <c r="AG1655" s="575"/>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452</v>
      </c>
      <c r="M1656" s="116" t="s">
        <v>107</v>
      </c>
      <c r="N1656" s="116" t="s">
        <v>108</v>
      </c>
      <c r="O1656" s="170" t="s">
        <v>386</v>
      </c>
      <c r="P1656" s="572" t="s">
        <v>375</v>
      </c>
      <c r="Q1656" s="572"/>
      <c r="R1656" s="101" t="s">
        <v>452</v>
      </c>
      <c r="S1656" s="116" t="s">
        <v>0</v>
      </c>
      <c r="T1656" s="118"/>
      <c r="U1656" s="116" t="s">
        <v>287</v>
      </c>
      <c r="V1656" s="116" t="s">
        <v>288</v>
      </c>
      <c r="W1656" s="116" t="s">
        <v>291</v>
      </c>
      <c r="X1656" s="140"/>
      <c r="Y1656" s="116" t="s">
        <v>289</v>
      </c>
      <c r="Z1656" s="116" t="s">
        <v>354</v>
      </c>
      <c r="AA1656" s="116" t="s">
        <v>355</v>
      </c>
      <c r="AB1656" s="116" t="s">
        <v>317</v>
      </c>
      <c r="AC1656" s="116" t="s">
        <v>318</v>
      </c>
      <c r="AD1656" s="116" t="s">
        <v>316</v>
      </c>
      <c r="AE1656" s="140"/>
      <c r="AF1656" s="116" t="s">
        <v>293</v>
      </c>
      <c r="AG1656" s="116" t="s">
        <v>354</v>
      </c>
      <c r="AH1656" s="116" t="s">
        <v>355</v>
      </c>
      <c r="AI1656" s="116" t="s">
        <v>296</v>
      </c>
      <c r="AJ1656" s="116" t="s">
        <v>294</v>
      </c>
      <c r="AK1656" s="116" t="s">
        <v>295</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562</v>
      </c>
      <c r="O1657" s="175" t="s">
        <v>133</v>
      </c>
      <c r="P1657" s="173" t="s">
        <v>379</v>
      </c>
      <c r="Q1657" s="173" t="s">
        <v>375</v>
      </c>
      <c r="R1657" s="173"/>
      <c r="S1657" s="174">
        <f>M1657</f>
        <v>0</v>
      </c>
      <c r="T1657" s="175"/>
      <c r="U1657" s="175" t="s">
        <v>292</v>
      </c>
      <c r="V1657" s="174">
        <f>S1657</f>
        <v>0</v>
      </c>
      <c r="W1657" s="174">
        <f>VLOOKUP(U1657,Sheet1!$B$6:$C$45,2,FALSE)*V1657</f>
        <v>0</v>
      </c>
      <c r="X1657" s="174"/>
      <c r="Y1657" s="175" t="s">
        <v>292</v>
      </c>
      <c r="Z1657" s="168">
        <f>VLOOKUP(Takeoffs!Y1657,Sheet1!$B$6:$C$124,2,FALSE)</f>
        <v>0</v>
      </c>
      <c r="AA1657" s="168">
        <f>Z1657*AB1657</f>
        <v>0</v>
      </c>
      <c r="AB1657" s="176">
        <f>AD1657*AC1657</f>
        <v>0</v>
      </c>
      <c r="AC1657" s="174">
        <f>S1657</f>
        <v>0</v>
      </c>
      <c r="AD1657" s="174">
        <v>1</v>
      </c>
      <c r="AE1657" s="174"/>
      <c r="AF1657" s="175" t="s">
        <v>292</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292</v>
      </c>
      <c r="V1658" s="174">
        <f t="shared" ref="V1658:V1677" si="762">S1658</f>
        <v>0</v>
      </c>
      <c r="W1658" s="174">
        <f>VLOOKUP(U1658,Sheet1!$B$6:$C$45,2,FALSE)*V1658</f>
        <v>0</v>
      </c>
      <c r="X1658" s="174"/>
      <c r="Y1658" s="175" t="s">
        <v>292</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292</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292</v>
      </c>
      <c r="V1659" s="174">
        <f t="shared" si="762"/>
        <v>0</v>
      </c>
      <c r="W1659" s="174">
        <f>VLOOKUP(U1659,Sheet1!$B$6:$C$45,2,FALSE)*V1659</f>
        <v>0</v>
      </c>
      <c r="X1659" s="174"/>
      <c r="Y1659" s="175" t="s">
        <v>292</v>
      </c>
      <c r="Z1659" s="168">
        <f>VLOOKUP(Takeoffs!Y1659,Sheet1!$B$6:$C$124,2,FALSE)</f>
        <v>0</v>
      </c>
      <c r="AA1659" s="168">
        <f t="shared" si="763"/>
        <v>0</v>
      </c>
      <c r="AB1659" s="176">
        <f t="shared" si="764"/>
        <v>0</v>
      </c>
      <c r="AC1659" s="174">
        <f t="shared" si="765"/>
        <v>0</v>
      </c>
      <c r="AD1659" s="174">
        <v>1</v>
      </c>
      <c r="AE1659" s="174"/>
      <c r="AF1659" s="175" t="s">
        <v>292</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530</v>
      </c>
      <c r="P1660" s="175"/>
      <c r="Q1660" s="175"/>
      <c r="R1660" s="175"/>
      <c r="S1660" s="174">
        <f>M1657</f>
        <v>0</v>
      </c>
      <c r="T1660" s="172"/>
      <c r="U1660" s="175" t="s">
        <v>292</v>
      </c>
      <c r="V1660" s="174">
        <f t="shared" si="762"/>
        <v>0</v>
      </c>
      <c r="W1660" s="174">
        <f>VLOOKUP(U1660,Sheet1!$B$6:$C$45,2,FALSE)*V1660</f>
        <v>0</v>
      </c>
      <c r="X1660" s="174"/>
      <c r="Y1660" s="175" t="s">
        <v>292</v>
      </c>
      <c r="Z1660" s="168">
        <f>VLOOKUP(Takeoffs!Y1660,Sheet1!$B$6:$C$124,2,FALSE)</f>
        <v>0</v>
      </c>
      <c r="AA1660" s="168">
        <f t="shared" si="763"/>
        <v>0</v>
      </c>
      <c r="AB1660" s="176">
        <f t="shared" si="764"/>
        <v>0</v>
      </c>
      <c r="AC1660" s="174">
        <f t="shared" si="765"/>
        <v>0</v>
      </c>
      <c r="AD1660" s="174">
        <v>1</v>
      </c>
      <c r="AE1660" s="174"/>
      <c r="AF1660" s="175" t="s">
        <v>292</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531</v>
      </c>
      <c r="P1661" s="175"/>
      <c r="Q1661" s="175"/>
      <c r="R1661" s="175"/>
      <c r="S1661" s="174">
        <f>M1657</f>
        <v>0</v>
      </c>
      <c r="T1661" s="172"/>
      <c r="U1661" s="175" t="s">
        <v>292</v>
      </c>
      <c r="V1661" s="174">
        <f t="shared" si="762"/>
        <v>0</v>
      </c>
      <c r="W1661" s="174">
        <f>VLOOKUP(U1661,Sheet1!$B$6:$C$45,2,FALSE)*V1661</f>
        <v>0</v>
      </c>
      <c r="X1661" s="174"/>
      <c r="Y1661" s="175" t="s">
        <v>292</v>
      </c>
      <c r="Z1661" s="168">
        <f>VLOOKUP(Takeoffs!Y1661,Sheet1!$B$6:$C$124,2,FALSE)</f>
        <v>0</v>
      </c>
      <c r="AA1661" s="168">
        <f t="shared" si="763"/>
        <v>0</v>
      </c>
      <c r="AB1661" s="176">
        <f t="shared" si="764"/>
        <v>0</v>
      </c>
      <c r="AC1661" s="174">
        <f t="shared" si="765"/>
        <v>0</v>
      </c>
      <c r="AD1661" s="174">
        <v>1</v>
      </c>
      <c r="AE1661" s="174"/>
      <c r="AF1661" s="175" t="s">
        <v>292</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407</v>
      </c>
      <c r="P1662" s="175"/>
      <c r="Q1662" s="175"/>
      <c r="R1662" s="175"/>
      <c r="S1662" s="174">
        <f>M1657</f>
        <v>0</v>
      </c>
      <c r="T1662" s="172"/>
      <c r="U1662" s="175" t="s">
        <v>292</v>
      </c>
      <c r="V1662" s="174">
        <f t="shared" si="762"/>
        <v>0</v>
      </c>
      <c r="W1662" s="174">
        <f>VLOOKUP(U1662,Sheet1!$B$6:$C$45,2,FALSE)*V1662</f>
        <v>0</v>
      </c>
      <c r="X1662" s="174"/>
      <c r="Y1662" s="175" t="s">
        <v>292</v>
      </c>
      <c r="Z1662" s="168">
        <f>VLOOKUP(Takeoffs!Y1662,Sheet1!$B$6:$C$124,2,FALSE)</f>
        <v>0</v>
      </c>
      <c r="AA1662" s="168">
        <f t="shared" si="763"/>
        <v>0</v>
      </c>
      <c r="AB1662" s="176">
        <f t="shared" si="764"/>
        <v>0</v>
      </c>
      <c r="AC1662" s="174">
        <f t="shared" si="765"/>
        <v>0</v>
      </c>
      <c r="AD1662" s="174">
        <v>1</v>
      </c>
      <c r="AE1662" s="174"/>
      <c r="AF1662" s="175" t="s">
        <v>292</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408</v>
      </c>
      <c r="P1663" s="175"/>
      <c r="Q1663" s="175"/>
      <c r="R1663" s="175"/>
      <c r="S1663" s="174">
        <f>M1657</f>
        <v>0</v>
      </c>
      <c r="T1663" s="172"/>
      <c r="U1663" s="175" t="s">
        <v>292</v>
      </c>
      <c r="V1663" s="174">
        <f t="shared" si="762"/>
        <v>0</v>
      </c>
      <c r="W1663" s="174">
        <f>VLOOKUP(U1663,Sheet1!$B$6:$C$45,2,FALSE)*V1663</f>
        <v>0</v>
      </c>
      <c r="X1663" s="174"/>
      <c r="Y1663" s="175" t="s">
        <v>292</v>
      </c>
      <c r="Z1663" s="168">
        <f>VLOOKUP(Takeoffs!Y1663,Sheet1!$B$6:$C$124,2,FALSE)</f>
        <v>0</v>
      </c>
      <c r="AA1663" s="168">
        <f t="shared" si="763"/>
        <v>0</v>
      </c>
      <c r="AB1663" s="176">
        <f t="shared" si="764"/>
        <v>0</v>
      </c>
      <c r="AC1663" s="174">
        <f t="shared" si="765"/>
        <v>0</v>
      </c>
      <c r="AD1663" s="174">
        <v>1</v>
      </c>
      <c r="AE1663" s="174"/>
      <c r="AF1663" s="175" t="s">
        <v>292</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532</v>
      </c>
      <c r="P1664" s="175"/>
      <c r="Q1664" s="175"/>
      <c r="R1664" s="175"/>
      <c r="S1664" s="174">
        <f>M1657</f>
        <v>0</v>
      </c>
      <c r="T1664" s="172"/>
      <c r="U1664" s="175" t="s">
        <v>292</v>
      </c>
      <c r="V1664" s="174">
        <f t="shared" si="762"/>
        <v>0</v>
      </c>
      <c r="W1664" s="174">
        <f>VLOOKUP(U1664,Sheet1!$B$6:$C$45,2,FALSE)*V1664</f>
        <v>0</v>
      </c>
      <c r="X1664" s="174"/>
      <c r="Y1664" s="175" t="s">
        <v>292</v>
      </c>
      <c r="Z1664" s="168">
        <f>VLOOKUP(Takeoffs!Y1664,Sheet1!$B$6:$C$124,2,FALSE)</f>
        <v>0</v>
      </c>
      <c r="AA1664" s="168">
        <f t="shared" si="763"/>
        <v>0</v>
      </c>
      <c r="AB1664" s="176">
        <f t="shared" si="764"/>
        <v>0</v>
      </c>
      <c r="AC1664" s="174">
        <f t="shared" si="765"/>
        <v>0</v>
      </c>
      <c r="AD1664" s="174">
        <v>1</v>
      </c>
      <c r="AE1664" s="174"/>
      <c r="AF1664" s="175" t="s">
        <v>292</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292</v>
      </c>
      <c r="V1665" s="174">
        <f t="shared" si="762"/>
        <v>0</v>
      </c>
      <c r="W1665" s="174">
        <f>VLOOKUP(U1665,Sheet1!$B$6:$C$45,2,FALSE)*V1665</f>
        <v>0</v>
      </c>
      <c r="X1665" s="174"/>
      <c r="Y1665" s="175" t="s">
        <v>292</v>
      </c>
      <c r="Z1665" s="168">
        <f>VLOOKUP(Takeoffs!Y1665,Sheet1!$B$6:$C$124,2,FALSE)</f>
        <v>0</v>
      </c>
      <c r="AA1665" s="168">
        <f t="shared" si="763"/>
        <v>0</v>
      </c>
      <c r="AB1665" s="176">
        <f t="shared" si="764"/>
        <v>0</v>
      </c>
      <c r="AC1665" s="174">
        <f t="shared" si="765"/>
        <v>0</v>
      </c>
      <c r="AD1665" s="174">
        <v>1</v>
      </c>
      <c r="AE1665" s="174"/>
      <c r="AF1665" s="175" t="s">
        <v>292</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292</v>
      </c>
      <c r="V1666" s="174">
        <f t="shared" si="762"/>
        <v>0</v>
      </c>
      <c r="W1666" s="174">
        <f>VLOOKUP(U1666,Sheet1!$B$6:$C$45,2,FALSE)*V1666</f>
        <v>0</v>
      </c>
      <c r="X1666" s="174"/>
      <c r="Y1666" s="175" t="s">
        <v>292</v>
      </c>
      <c r="Z1666" s="168">
        <f>VLOOKUP(Takeoffs!Y1666,Sheet1!$B$6:$C$124,2,FALSE)</f>
        <v>0</v>
      </c>
      <c r="AA1666" s="168">
        <f t="shared" si="763"/>
        <v>0</v>
      </c>
      <c r="AB1666" s="176">
        <f t="shared" si="764"/>
        <v>0</v>
      </c>
      <c r="AC1666" s="174">
        <f t="shared" si="765"/>
        <v>0</v>
      </c>
      <c r="AD1666" s="174">
        <v>1</v>
      </c>
      <c r="AE1666" s="174"/>
      <c r="AF1666" s="175" t="s">
        <v>292</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292</v>
      </c>
      <c r="V1667" s="174">
        <f t="shared" si="762"/>
        <v>0</v>
      </c>
      <c r="W1667" s="174">
        <f>VLOOKUP(U1667,Sheet1!$B$6:$C$45,2,FALSE)*V1667</f>
        <v>0</v>
      </c>
      <c r="X1667" s="174"/>
      <c r="Y1667" s="175" t="s">
        <v>292</v>
      </c>
      <c r="Z1667" s="168">
        <f>VLOOKUP(Takeoffs!Y1667,Sheet1!$B$6:$C$124,2,FALSE)</f>
        <v>0</v>
      </c>
      <c r="AA1667" s="168">
        <f t="shared" si="763"/>
        <v>0</v>
      </c>
      <c r="AB1667" s="176">
        <f t="shared" si="764"/>
        <v>0</v>
      </c>
      <c r="AC1667" s="174">
        <f t="shared" si="765"/>
        <v>0</v>
      </c>
      <c r="AD1667" s="174">
        <v>1</v>
      </c>
      <c r="AE1667" s="174"/>
      <c r="AF1667" s="175" t="s">
        <v>292</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292</v>
      </c>
      <c r="V1668" s="174">
        <f t="shared" si="762"/>
        <v>0</v>
      </c>
      <c r="W1668" s="174">
        <f>VLOOKUP(U1668,Sheet1!$B$6:$C$45,2,FALSE)*V1668</f>
        <v>0</v>
      </c>
      <c r="X1668" s="174"/>
      <c r="Y1668" s="175" t="s">
        <v>292</v>
      </c>
      <c r="Z1668" s="168">
        <f>VLOOKUP(Takeoffs!Y1668,Sheet1!$B$6:$C$124,2,FALSE)</f>
        <v>0</v>
      </c>
      <c r="AA1668" s="168">
        <f t="shared" si="763"/>
        <v>0</v>
      </c>
      <c r="AB1668" s="176">
        <f t="shared" si="764"/>
        <v>0</v>
      </c>
      <c r="AC1668" s="174">
        <f t="shared" si="765"/>
        <v>0</v>
      </c>
      <c r="AD1668" s="174">
        <v>1</v>
      </c>
      <c r="AE1668" s="174"/>
      <c r="AF1668" s="175" t="s">
        <v>292</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292</v>
      </c>
      <c r="V1669" s="174">
        <f t="shared" si="762"/>
        <v>0</v>
      </c>
      <c r="W1669" s="174">
        <f>VLOOKUP(U1669,Sheet1!$B$6:$C$45,2,FALSE)*V1669</f>
        <v>0</v>
      </c>
      <c r="X1669" s="174"/>
      <c r="Y1669" s="175" t="s">
        <v>292</v>
      </c>
      <c r="Z1669" s="168">
        <f>VLOOKUP(Takeoffs!Y1669,Sheet1!$B$6:$C$124,2,FALSE)</f>
        <v>0</v>
      </c>
      <c r="AA1669" s="168">
        <f t="shared" si="763"/>
        <v>0</v>
      </c>
      <c r="AB1669" s="176">
        <f t="shared" si="764"/>
        <v>0</v>
      </c>
      <c r="AC1669" s="174">
        <f t="shared" si="765"/>
        <v>0</v>
      </c>
      <c r="AD1669" s="174">
        <v>1</v>
      </c>
      <c r="AE1669" s="174"/>
      <c r="AF1669" s="175" t="s">
        <v>292</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292</v>
      </c>
      <c r="V1670" s="174">
        <f t="shared" si="762"/>
        <v>0</v>
      </c>
      <c r="W1670" s="174">
        <f>VLOOKUP(U1670,Sheet1!$B$6:$C$45,2,FALSE)*V1670</f>
        <v>0</v>
      </c>
      <c r="X1670" s="174"/>
      <c r="Y1670" s="175" t="s">
        <v>292</v>
      </c>
      <c r="Z1670" s="168">
        <f>VLOOKUP(Takeoffs!Y1670,Sheet1!$B$6:$C$124,2,FALSE)</f>
        <v>0</v>
      </c>
      <c r="AA1670" s="168">
        <f t="shared" si="763"/>
        <v>0</v>
      </c>
      <c r="AB1670" s="176">
        <f t="shared" si="764"/>
        <v>0</v>
      </c>
      <c r="AC1670" s="174">
        <f t="shared" si="765"/>
        <v>0</v>
      </c>
      <c r="AD1670" s="174">
        <v>1</v>
      </c>
      <c r="AE1670" s="174"/>
      <c r="AF1670" s="175" t="s">
        <v>292</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292</v>
      </c>
      <c r="V1671" s="174">
        <f t="shared" si="762"/>
        <v>0</v>
      </c>
      <c r="W1671" s="174">
        <f>VLOOKUP(U1671,Sheet1!$B$6:$C$45,2,FALSE)*V1671</f>
        <v>0</v>
      </c>
      <c r="X1671" s="174"/>
      <c r="Y1671" s="175" t="s">
        <v>292</v>
      </c>
      <c r="Z1671" s="168">
        <f>VLOOKUP(Takeoffs!Y1671,Sheet1!$B$6:$C$124,2,FALSE)</f>
        <v>0</v>
      </c>
      <c r="AA1671" s="168">
        <f t="shared" si="763"/>
        <v>0</v>
      </c>
      <c r="AB1671" s="176">
        <f t="shared" si="764"/>
        <v>0</v>
      </c>
      <c r="AC1671" s="174">
        <f t="shared" si="765"/>
        <v>0</v>
      </c>
      <c r="AD1671" s="174">
        <v>1</v>
      </c>
      <c r="AE1671" s="174"/>
      <c r="AF1671" s="175" t="s">
        <v>292</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292</v>
      </c>
      <c r="V1672" s="174">
        <f t="shared" si="762"/>
        <v>0</v>
      </c>
      <c r="W1672" s="174">
        <f>VLOOKUP(U1672,Sheet1!$B$6:$C$45,2,FALSE)*V1672</f>
        <v>0</v>
      </c>
      <c r="X1672" s="174"/>
      <c r="Y1672" s="175" t="s">
        <v>292</v>
      </c>
      <c r="Z1672" s="168">
        <f>VLOOKUP(Takeoffs!Y1672,Sheet1!$B$6:$C$124,2,FALSE)</f>
        <v>0</v>
      </c>
      <c r="AA1672" s="168">
        <f t="shared" si="763"/>
        <v>0</v>
      </c>
      <c r="AB1672" s="176">
        <f t="shared" si="764"/>
        <v>0</v>
      </c>
      <c r="AC1672" s="174">
        <f t="shared" si="765"/>
        <v>0</v>
      </c>
      <c r="AD1672" s="174">
        <v>2</v>
      </c>
      <c r="AE1672" s="174"/>
      <c r="AF1672" s="175" t="s">
        <v>292</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292</v>
      </c>
      <c r="V1673" s="174">
        <f t="shared" si="762"/>
        <v>0</v>
      </c>
      <c r="W1673" s="174">
        <f>VLOOKUP(U1673,Sheet1!$B$6:$C$45,2,FALSE)*V1673</f>
        <v>0</v>
      </c>
      <c r="X1673" s="174"/>
      <c r="Y1673" s="175" t="s">
        <v>292</v>
      </c>
      <c r="Z1673" s="168">
        <f>VLOOKUP(Takeoffs!Y1673,Sheet1!$B$6:$C$124,2,FALSE)</f>
        <v>0</v>
      </c>
      <c r="AA1673" s="168">
        <f t="shared" si="763"/>
        <v>0</v>
      </c>
      <c r="AB1673" s="176">
        <f t="shared" si="764"/>
        <v>0</v>
      </c>
      <c r="AC1673" s="174">
        <f t="shared" si="765"/>
        <v>0</v>
      </c>
      <c r="AD1673" s="174">
        <v>1</v>
      </c>
      <c r="AE1673" s="174"/>
      <c r="AF1673" s="175" t="s">
        <v>292</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292</v>
      </c>
      <c r="V1674" s="174">
        <f t="shared" si="762"/>
        <v>0</v>
      </c>
      <c r="W1674" s="174">
        <f>VLOOKUP(U1674,Sheet1!$B$6:$C$45,2,FALSE)*V1674</f>
        <v>0</v>
      </c>
      <c r="X1674" s="174"/>
      <c r="Y1674" s="175" t="s">
        <v>292</v>
      </c>
      <c r="Z1674" s="168">
        <f>VLOOKUP(Takeoffs!Y1674,Sheet1!$B$6:$C$124,2,FALSE)</f>
        <v>0</v>
      </c>
      <c r="AA1674" s="168">
        <f t="shared" si="763"/>
        <v>0</v>
      </c>
      <c r="AB1674" s="176">
        <f t="shared" si="764"/>
        <v>0</v>
      </c>
      <c r="AC1674" s="174">
        <f t="shared" si="765"/>
        <v>0</v>
      </c>
      <c r="AD1674" s="174">
        <v>1</v>
      </c>
      <c r="AE1674" s="174"/>
      <c r="AF1674" s="175" t="s">
        <v>292</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292</v>
      </c>
      <c r="V1675" s="174">
        <f t="shared" si="762"/>
        <v>0</v>
      </c>
      <c r="W1675" s="174">
        <f>VLOOKUP(U1675,Sheet1!$B$6:$C$45,2,FALSE)*V1675</f>
        <v>0</v>
      </c>
      <c r="X1675" s="174"/>
      <c r="Y1675" s="175" t="s">
        <v>292</v>
      </c>
      <c r="Z1675" s="168">
        <f>VLOOKUP(Takeoffs!Y1675,Sheet1!$B$6:$C$124,2,FALSE)</f>
        <v>0</v>
      </c>
      <c r="AA1675" s="168">
        <f t="shared" si="763"/>
        <v>0</v>
      </c>
      <c r="AB1675" s="176">
        <f t="shared" si="764"/>
        <v>0</v>
      </c>
      <c r="AC1675" s="174">
        <f t="shared" si="765"/>
        <v>0</v>
      </c>
      <c r="AD1675" s="174">
        <v>1</v>
      </c>
      <c r="AE1675" s="174"/>
      <c r="AF1675" s="175" t="s">
        <v>292</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292</v>
      </c>
      <c r="V1676" s="174">
        <f t="shared" si="762"/>
        <v>0</v>
      </c>
      <c r="W1676" s="174">
        <f>VLOOKUP(U1676,Sheet1!$B$6:$C$45,2,FALSE)*V1676</f>
        <v>0</v>
      </c>
      <c r="X1676" s="174"/>
      <c r="Y1676" s="175" t="s">
        <v>292</v>
      </c>
      <c r="Z1676" s="168">
        <f>VLOOKUP(Takeoffs!Y1676,Sheet1!$B$6:$C$124,2,FALSE)</f>
        <v>0</v>
      </c>
      <c r="AA1676" s="168">
        <f t="shared" si="763"/>
        <v>0</v>
      </c>
      <c r="AB1676" s="176">
        <f t="shared" si="764"/>
        <v>0</v>
      </c>
      <c r="AC1676" s="174">
        <f t="shared" si="765"/>
        <v>0</v>
      </c>
      <c r="AD1676" s="174">
        <v>1</v>
      </c>
      <c r="AE1676" s="174"/>
      <c r="AF1676" s="175" t="s">
        <v>292</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292</v>
      </c>
      <c r="V1677" s="174">
        <f t="shared" si="762"/>
        <v>0</v>
      </c>
      <c r="W1677" s="174">
        <f>VLOOKUP(U1677,Sheet1!$B$6:$C$45,2,FALSE)*V1677</f>
        <v>0</v>
      </c>
      <c r="X1677" s="174"/>
      <c r="Y1677" s="175" t="s">
        <v>292</v>
      </c>
      <c r="Z1677" s="168">
        <f>VLOOKUP(Takeoffs!Y1677,Sheet1!$B$6:$C$124,2,FALSE)</f>
        <v>0</v>
      </c>
      <c r="AA1677" s="168">
        <f t="shared" si="763"/>
        <v>0</v>
      </c>
      <c r="AB1677" s="176">
        <f t="shared" si="764"/>
        <v>0</v>
      </c>
      <c r="AC1677" s="174">
        <f t="shared" si="765"/>
        <v>0</v>
      </c>
      <c r="AD1677" s="174">
        <v>1</v>
      </c>
      <c r="AE1677" s="174"/>
      <c r="AF1677" s="175" t="s">
        <v>292</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377</v>
      </c>
      <c r="L1678" s="128" t="s">
        <v>378</v>
      </c>
      <c r="N1678" s="129"/>
      <c r="O1678" s="175" t="s">
        <v>357</v>
      </c>
      <c r="P1678" s="172">
        <f>P1679*M1657</f>
        <v>0</v>
      </c>
      <c r="Q1678" s="172"/>
      <c r="R1678" s="172"/>
      <c r="S1678" s="175"/>
      <c r="T1678" s="172"/>
      <c r="U1678" s="175" t="s">
        <v>351</v>
      </c>
      <c r="V1678" s="172">
        <f>W1678*80</f>
        <v>0</v>
      </c>
      <c r="W1678" s="177">
        <f>SUM(W1657:W1677)</f>
        <v>0</v>
      </c>
      <c r="X1678" s="178"/>
      <c r="Y1678" s="172" t="s">
        <v>352</v>
      </c>
      <c r="Z1678" s="168"/>
      <c r="AA1678" s="168">
        <f>SUM(AA1657:AA1677)</f>
        <v>0</v>
      </c>
      <c r="AB1678" s="179"/>
      <c r="AC1678" s="179"/>
      <c r="AD1678" s="179"/>
      <c r="AE1678" s="179"/>
      <c r="AF1678" s="172" t="s">
        <v>356</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123.45" hidden="1" x14ac:dyDescent="0.8">
      <c r="A1679" s="262">
        <f>ROW()</f>
        <v>1679</v>
      </c>
      <c r="B1679" s="234" t="s">
        <v>491</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367</v>
      </c>
      <c r="N1679" s="160" t="str">
        <f>N1657</f>
        <v>Small Aircooled Chillers - from Chiller MSSB</v>
      </c>
      <c r="O1679" s="175" t="s">
        <v>365</v>
      </c>
      <c r="P1679" s="64">
        <v>2000</v>
      </c>
      <c r="Q1679" s="172"/>
      <c r="R1679" s="172"/>
      <c r="S1679" s="175"/>
      <c r="T1679" s="172"/>
      <c r="U1679" s="574" t="s">
        <v>366</v>
      </c>
      <c r="V1679" s="574"/>
      <c r="W1679" s="177" t="e">
        <f>W1678/M1657</f>
        <v>#DIV/0!</v>
      </c>
      <c r="X1679" s="178"/>
      <c r="Y1679" s="575" t="s">
        <v>365</v>
      </c>
      <c r="Z1679" s="575"/>
      <c r="AA1679" s="181" t="e">
        <f>AA1678/M1657</f>
        <v>#DIV/0!</v>
      </c>
      <c r="AB1679" s="172"/>
      <c r="AC1679" s="172"/>
      <c r="AD1679" s="172"/>
      <c r="AE1679" s="172"/>
      <c r="AF1679" s="575" t="s">
        <v>365</v>
      </c>
      <c r="AG1679" s="575"/>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452</v>
      </c>
      <c r="M1680" s="116" t="s">
        <v>107</v>
      </c>
      <c r="N1680" s="116" t="s">
        <v>108</v>
      </c>
      <c r="O1680" s="170" t="s">
        <v>386</v>
      </c>
      <c r="P1680" s="572" t="s">
        <v>375</v>
      </c>
      <c r="Q1680" s="572"/>
      <c r="R1680" s="101" t="s">
        <v>452</v>
      </c>
      <c r="S1680" s="116" t="s">
        <v>0</v>
      </c>
      <c r="T1680" s="118"/>
      <c r="U1680" s="116" t="s">
        <v>287</v>
      </c>
      <c r="V1680" s="116" t="s">
        <v>288</v>
      </c>
      <c r="W1680" s="116" t="s">
        <v>291</v>
      </c>
      <c r="X1680" s="140"/>
      <c r="Y1680" s="116" t="s">
        <v>289</v>
      </c>
      <c r="Z1680" s="116" t="s">
        <v>354</v>
      </c>
      <c r="AA1680" s="116" t="s">
        <v>355</v>
      </c>
      <c r="AB1680" s="116" t="s">
        <v>317</v>
      </c>
      <c r="AC1680" s="116" t="s">
        <v>318</v>
      </c>
      <c r="AD1680" s="116" t="s">
        <v>316</v>
      </c>
      <c r="AE1680" s="140"/>
      <c r="AF1680" s="116" t="s">
        <v>293</v>
      </c>
      <c r="AG1680" s="116" t="s">
        <v>354</v>
      </c>
      <c r="AH1680" s="116" t="s">
        <v>355</v>
      </c>
      <c r="AI1680" s="116" t="s">
        <v>296</v>
      </c>
      <c r="AJ1680" s="116" t="s">
        <v>294</v>
      </c>
      <c r="AK1680" s="116" t="s">
        <v>295</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561</v>
      </c>
      <c r="O1681" s="175" t="s">
        <v>133</v>
      </c>
      <c r="P1681" s="173" t="s">
        <v>379</v>
      </c>
      <c r="Q1681" s="173" t="s">
        <v>375</v>
      </c>
      <c r="R1681" s="173"/>
      <c r="S1681" s="174">
        <f>M1681</f>
        <v>0</v>
      </c>
      <c r="T1681" s="175"/>
      <c r="U1681" s="175" t="s">
        <v>292</v>
      </c>
      <c r="V1681" s="174">
        <f>S1681</f>
        <v>0</v>
      </c>
      <c r="W1681" s="174">
        <f>VLOOKUP(U1681,Sheet1!$B$6:$C$45,2,FALSE)*V1681</f>
        <v>0</v>
      </c>
      <c r="X1681" s="174"/>
      <c r="Y1681" s="175" t="s">
        <v>292</v>
      </c>
      <c r="Z1681" s="168">
        <f>VLOOKUP(Takeoffs!Y1681,Sheet1!$B$6:$C$124,2,FALSE)</f>
        <v>0</v>
      </c>
      <c r="AA1681" s="168">
        <f>Z1681*AB1681</f>
        <v>0</v>
      </c>
      <c r="AB1681" s="176">
        <f>AD1681*AC1681</f>
        <v>0</v>
      </c>
      <c r="AC1681" s="174">
        <f>S1681</f>
        <v>0</v>
      </c>
      <c r="AD1681" s="174">
        <v>1</v>
      </c>
      <c r="AE1681" s="174"/>
      <c r="AF1681" s="175" t="s">
        <v>292</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292</v>
      </c>
      <c r="V1682" s="174">
        <f t="shared" ref="V1682:V1701" si="771">S1682</f>
        <v>0</v>
      </c>
      <c r="W1682" s="174">
        <f>VLOOKUP(U1682,Sheet1!$B$6:$C$45,2,FALSE)*V1682</f>
        <v>0</v>
      </c>
      <c r="X1682" s="174"/>
      <c r="Y1682" s="175" t="s">
        <v>292</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292</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292</v>
      </c>
      <c r="V1683" s="174">
        <f t="shared" si="771"/>
        <v>0</v>
      </c>
      <c r="W1683" s="174">
        <f>VLOOKUP(U1683,Sheet1!$B$6:$C$45,2,FALSE)*V1683</f>
        <v>0</v>
      </c>
      <c r="X1683" s="174"/>
      <c r="Y1683" s="175" t="s">
        <v>292</v>
      </c>
      <c r="Z1683" s="168">
        <f>VLOOKUP(Takeoffs!Y1683,Sheet1!$B$6:$C$124,2,FALSE)</f>
        <v>0</v>
      </c>
      <c r="AA1683" s="168">
        <f t="shared" si="772"/>
        <v>0</v>
      </c>
      <c r="AB1683" s="176">
        <f t="shared" si="773"/>
        <v>0</v>
      </c>
      <c r="AC1683" s="174">
        <f>S1683</f>
        <v>0</v>
      </c>
      <c r="AD1683" s="174">
        <v>1</v>
      </c>
      <c r="AE1683" s="174"/>
      <c r="AF1683" s="175" t="s">
        <v>292</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530</v>
      </c>
      <c r="P1684" s="175"/>
      <c r="Q1684" s="175"/>
      <c r="R1684" s="175"/>
      <c r="S1684" s="174">
        <f>M1681</f>
        <v>0</v>
      </c>
      <c r="T1684" s="172"/>
      <c r="U1684" s="175" t="s">
        <v>292</v>
      </c>
      <c r="V1684" s="174">
        <f t="shared" si="771"/>
        <v>0</v>
      </c>
      <c r="W1684" s="174">
        <f>VLOOKUP(U1684,Sheet1!$B$6:$C$45,2,FALSE)*V1684</f>
        <v>0</v>
      </c>
      <c r="X1684" s="174"/>
      <c r="Y1684" s="175" t="s">
        <v>292</v>
      </c>
      <c r="Z1684" s="168">
        <f>VLOOKUP(Takeoffs!Y1684,Sheet1!$B$6:$C$124,2,FALSE)</f>
        <v>0</v>
      </c>
      <c r="AA1684" s="168">
        <f t="shared" si="772"/>
        <v>0</v>
      </c>
      <c r="AB1684" s="176">
        <f t="shared" si="773"/>
        <v>0</v>
      </c>
      <c r="AC1684" s="174">
        <f t="shared" ref="AC1684:AC1701" si="779">S1684</f>
        <v>0</v>
      </c>
      <c r="AD1684" s="174">
        <v>1</v>
      </c>
      <c r="AE1684" s="174"/>
      <c r="AF1684" s="175" t="s">
        <v>292</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531</v>
      </c>
      <c r="P1685" s="175"/>
      <c r="Q1685" s="175"/>
      <c r="R1685" s="175"/>
      <c r="S1685" s="174">
        <f>M1681</f>
        <v>0</v>
      </c>
      <c r="T1685" s="172"/>
      <c r="U1685" s="175" t="s">
        <v>292</v>
      </c>
      <c r="V1685" s="174">
        <f t="shared" si="771"/>
        <v>0</v>
      </c>
      <c r="W1685" s="174">
        <f>VLOOKUP(U1685,Sheet1!$B$6:$C$45,2,FALSE)*V1685</f>
        <v>0</v>
      </c>
      <c r="X1685" s="174"/>
      <c r="Y1685" s="175" t="s">
        <v>292</v>
      </c>
      <c r="Z1685" s="168">
        <f>VLOOKUP(Takeoffs!Y1685,Sheet1!$B$6:$C$124,2,FALSE)</f>
        <v>0</v>
      </c>
      <c r="AA1685" s="168">
        <f t="shared" si="772"/>
        <v>0</v>
      </c>
      <c r="AB1685" s="176">
        <f t="shared" si="773"/>
        <v>0</v>
      </c>
      <c r="AC1685" s="174">
        <f t="shared" si="779"/>
        <v>0</v>
      </c>
      <c r="AD1685" s="174">
        <v>1</v>
      </c>
      <c r="AE1685" s="174"/>
      <c r="AF1685" s="175" t="s">
        <v>292</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407</v>
      </c>
      <c r="P1686" s="175"/>
      <c r="Q1686" s="175"/>
      <c r="R1686" s="175"/>
      <c r="S1686" s="174">
        <f>M1681</f>
        <v>0</v>
      </c>
      <c r="T1686" s="172"/>
      <c r="U1686" s="175" t="s">
        <v>292</v>
      </c>
      <c r="V1686" s="174">
        <f t="shared" si="771"/>
        <v>0</v>
      </c>
      <c r="W1686" s="174">
        <f>VLOOKUP(U1686,Sheet1!$B$6:$C$45,2,FALSE)*V1686</f>
        <v>0</v>
      </c>
      <c r="X1686" s="174"/>
      <c r="Y1686" s="175" t="s">
        <v>292</v>
      </c>
      <c r="Z1686" s="168">
        <f>VLOOKUP(Takeoffs!Y1686,Sheet1!$B$6:$C$124,2,FALSE)</f>
        <v>0</v>
      </c>
      <c r="AA1686" s="168">
        <f t="shared" si="772"/>
        <v>0</v>
      </c>
      <c r="AB1686" s="176">
        <f t="shared" si="773"/>
        <v>0</v>
      </c>
      <c r="AC1686" s="174">
        <f t="shared" si="779"/>
        <v>0</v>
      </c>
      <c r="AD1686" s="174">
        <v>1</v>
      </c>
      <c r="AE1686" s="174"/>
      <c r="AF1686" s="175" t="s">
        <v>292</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408</v>
      </c>
      <c r="P1687" s="175"/>
      <c r="Q1687" s="175"/>
      <c r="R1687" s="175"/>
      <c r="S1687" s="174">
        <f>M1681</f>
        <v>0</v>
      </c>
      <c r="T1687" s="172"/>
      <c r="U1687" s="175" t="s">
        <v>292</v>
      </c>
      <c r="V1687" s="174">
        <f t="shared" si="771"/>
        <v>0</v>
      </c>
      <c r="W1687" s="174">
        <f>VLOOKUP(U1687,Sheet1!$B$6:$C$45,2,FALSE)*V1687</f>
        <v>0</v>
      </c>
      <c r="X1687" s="174"/>
      <c r="Y1687" s="175" t="s">
        <v>292</v>
      </c>
      <c r="Z1687" s="168">
        <f>VLOOKUP(Takeoffs!Y1687,Sheet1!$B$6:$C$124,2,FALSE)</f>
        <v>0</v>
      </c>
      <c r="AA1687" s="168">
        <f t="shared" si="772"/>
        <v>0</v>
      </c>
      <c r="AB1687" s="176">
        <f t="shared" si="773"/>
        <v>0</v>
      </c>
      <c r="AC1687" s="174">
        <f t="shared" si="779"/>
        <v>0</v>
      </c>
      <c r="AD1687" s="174">
        <v>1</v>
      </c>
      <c r="AE1687" s="174"/>
      <c r="AF1687" s="175" t="s">
        <v>292</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532</v>
      </c>
      <c r="P1688" s="175"/>
      <c r="Q1688" s="175"/>
      <c r="R1688" s="175"/>
      <c r="S1688" s="174">
        <f>M1681</f>
        <v>0</v>
      </c>
      <c r="T1688" s="172"/>
      <c r="U1688" s="175" t="s">
        <v>292</v>
      </c>
      <c r="V1688" s="174">
        <f t="shared" si="771"/>
        <v>0</v>
      </c>
      <c r="W1688" s="174">
        <f>VLOOKUP(U1688,Sheet1!$B$6:$C$45,2,FALSE)*V1688</f>
        <v>0</v>
      </c>
      <c r="X1688" s="174"/>
      <c r="Y1688" s="175" t="s">
        <v>292</v>
      </c>
      <c r="Z1688" s="168">
        <f>VLOOKUP(Takeoffs!Y1688,Sheet1!$B$6:$C$124,2,FALSE)</f>
        <v>0</v>
      </c>
      <c r="AA1688" s="168">
        <f t="shared" si="772"/>
        <v>0</v>
      </c>
      <c r="AB1688" s="176">
        <f t="shared" si="773"/>
        <v>0</v>
      </c>
      <c r="AC1688" s="174">
        <f t="shared" si="779"/>
        <v>0</v>
      </c>
      <c r="AD1688" s="174">
        <v>1</v>
      </c>
      <c r="AE1688" s="174"/>
      <c r="AF1688" s="175" t="s">
        <v>292</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292</v>
      </c>
      <c r="V1689" s="174">
        <f t="shared" si="771"/>
        <v>0</v>
      </c>
      <c r="W1689" s="174">
        <f>VLOOKUP(U1689,Sheet1!$B$6:$C$45,2,FALSE)*V1689</f>
        <v>0</v>
      </c>
      <c r="X1689" s="174"/>
      <c r="Y1689" s="175" t="s">
        <v>292</v>
      </c>
      <c r="Z1689" s="168">
        <f>VLOOKUP(Takeoffs!Y1689,Sheet1!$B$6:$C$124,2,FALSE)</f>
        <v>0</v>
      </c>
      <c r="AA1689" s="168">
        <f t="shared" si="772"/>
        <v>0</v>
      </c>
      <c r="AB1689" s="176">
        <f t="shared" si="773"/>
        <v>0</v>
      </c>
      <c r="AC1689" s="174">
        <f t="shared" si="779"/>
        <v>0</v>
      </c>
      <c r="AD1689" s="174">
        <v>1</v>
      </c>
      <c r="AE1689" s="174"/>
      <c r="AF1689" s="175" t="s">
        <v>292</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292</v>
      </c>
      <c r="V1690" s="174">
        <f t="shared" si="771"/>
        <v>0</v>
      </c>
      <c r="W1690" s="174">
        <f>VLOOKUP(U1690,Sheet1!$B$6:$C$45,2,FALSE)*V1690</f>
        <v>0</v>
      </c>
      <c r="X1690" s="174"/>
      <c r="Y1690" s="175" t="s">
        <v>292</v>
      </c>
      <c r="Z1690" s="168">
        <f>VLOOKUP(Takeoffs!Y1690,Sheet1!$B$6:$C$124,2,FALSE)</f>
        <v>0</v>
      </c>
      <c r="AA1690" s="168">
        <f t="shared" si="772"/>
        <v>0</v>
      </c>
      <c r="AB1690" s="176">
        <f t="shared" si="773"/>
        <v>0</v>
      </c>
      <c r="AC1690" s="174">
        <f t="shared" si="779"/>
        <v>0</v>
      </c>
      <c r="AD1690" s="174">
        <v>1</v>
      </c>
      <c r="AE1690" s="174"/>
      <c r="AF1690" s="175" t="s">
        <v>292</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292</v>
      </c>
      <c r="V1691" s="174">
        <f t="shared" si="771"/>
        <v>0</v>
      </c>
      <c r="W1691" s="174">
        <f>VLOOKUP(U1691,Sheet1!$B$6:$C$45,2,FALSE)*V1691</f>
        <v>0</v>
      </c>
      <c r="X1691" s="174"/>
      <c r="Y1691" s="175" t="s">
        <v>292</v>
      </c>
      <c r="Z1691" s="168">
        <f>VLOOKUP(Takeoffs!Y1691,Sheet1!$B$6:$C$124,2,FALSE)</f>
        <v>0</v>
      </c>
      <c r="AA1691" s="168">
        <f t="shared" si="772"/>
        <v>0</v>
      </c>
      <c r="AB1691" s="176">
        <f t="shared" si="773"/>
        <v>0</v>
      </c>
      <c r="AC1691" s="174">
        <f t="shared" si="779"/>
        <v>0</v>
      </c>
      <c r="AD1691" s="174">
        <v>1</v>
      </c>
      <c r="AE1691" s="174"/>
      <c r="AF1691" s="175" t="s">
        <v>292</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292</v>
      </c>
      <c r="V1692" s="174">
        <f t="shared" si="771"/>
        <v>0</v>
      </c>
      <c r="W1692" s="174">
        <f>VLOOKUP(U1692,Sheet1!$B$6:$C$45,2,FALSE)*V1692</f>
        <v>0</v>
      </c>
      <c r="X1692" s="174"/>
      <c r="Y1692" s="175" t="s">
        <v>292</v>
      </c>
      <c r="Z1692" s="168">
        <f>VLOOKUP(Takeoffs!Y1692,Sheet1!$B$6:$C$124,2,FALSE)</f>
        <v>0</v>
      </c>
      <c r="AA1692" s="168">
        <f t="shared" si="772"/>
        <v>0</v>
      </c>
      <c r="AB1692" s="176">
        <f t="shared" si="773"/>
        <v>0</v>
      </c>
      <c r="AC1692" s="174">
        <f t="shared" si="779"/>
        <v>0</v>
      </c>
      <c r="AD1692" s="174">
        <v>1</v>
      </c>
      <c r="AE1692" s="174"/>
      <c r="AF1692" s="175" t="s">
        <v>292</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292</v>
      </c>
      <c r="V1693" s="174">
        <f t="shared" si="771"/>
        <v>0</v>
      </c>
      <c r="W1693" s="174">
        <f>VLOOKUP(U1693,Sheet1!$B$6:$C$45,2,FALSE)*V1693</f>
        <v>0</v>
      </c>
      <c r="X1693" s="174"/>
      <c r="Y1693" s="175" t="s">
        <v>292</v>
      </c>
      <c r="Z1693" s="168">
        <f>VLOOKUP(Takeoffs!Y1693,Sheet1!$B$6:$C$124,2,FALSE)</f>
        <v>0</v>
      </c>
      <c r="AA1693" s="168">
        <f t="shared" si="772"/>
        <v>0</v>
      </c>
      <c r="AB1693" s="176">
        <f t="shared" si="773"/>
        <v>0</v>
      </c>
      <c r="AC1693" s="174">
        <f t="shared" si="779"/>
        <v>0</v>
      </c>
      <c r="AD1693" s="174">
        <v>1</v>
      </c>
      <c r="AE1693" s="174"/>
      <c r="AF1693" s="175" t="s">
        <v>292</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292</v>
      </c>
      <c r="V1694" s="174">
        <f t="shared" si="771"/>
        <v>0</v>
      </c>
      <c r="W1694" s="174">
        <f>VLOOKUP(U1694,Sheet1!$B$6:$C$45,2,FALSE)*V1694</f>
        <v>0</v>
      </c>
      <c r="X1694" s="174"/>
      <c r="Y1694" s="175" t="s">
        <v>292</v>
      </c>
      <c r="Z1694" s="168">
        <f>VLOOKUP(Takeoffs!Y1694,Sheet1!$B$6:$C$124,2,FALSE)</f>
        <v>0</v>
      </c>
      <c r="AA1694" s="168">
        <f t="shared" si="772"/>
        <v>0</v>
      </c>
      <c r="AB1694" s="176">
        <f t="shared" si="773"/>
        <v>0</v>
      </c>
      <c r="AC1694" s="174">
        <f t="shared" si="779"/>
        <v>0</v>
      </c>
      <c r="AD1694" s="174">
        <v>1</v>
      </c>
      <c r="AE1694" s="174"/>
      <c r="AF1694" s="175" t="s">
        <v>292</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292</v>
      </c>
      <c r="V1695" s="174">
        <f t="shared" si="771"/>
        <v>0</v>
      </c>
      <c r="W1695" s="174">
        <f>VLOOKUP(U1695,Sheet1!$B$6:$C$45,2,FALSE)*V1695</f>
        <v>0</v>
      </c>
      <c r="X1695" s="174"/>
      <c r="Y1695" s="175" t="s">
        <v>292</v>
      </c>
      <c r="Z1695" s="168">
        <f>VLOOKUP(Takeoffs!Y1695,Sheet1!$B$6:$C$124,2,FALSE)</f>
        <v>0</v>
      </c>
      <c r="AA1695" s="168">
        <f t="shared" si="772"/>
        <v>0</v>
      </c>
      <c r="AB1695" s="176">
        <f t="shared" si="773"/>
        <v>0</v>
      </c>
      <c r="AC1695" s="174">
        <f t="shared" si="779"/>
        <v>0</v>
      </c>
      <c r="AD1695" s="174">
        <v>1</v>
      </c>
      <c r="AE1695" s="174"/>
      <c r="AF1695" s="175" t="s">
        <v>292</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292</v>
      </c>
      <c r="V1696" s="174">
        <f t="shared" si="771"/>
        <v>0</v>
      </c>
      <c r="W1696" s="174">
        <f>VLOOKUP(U1696,Sheet1!$B$6:$C$45,2,FALSE)*V1696</f>
        <v>0</v>
      </c>
      <c r="X1696" s="174"/>
      <c r="Y1696" s="175" t="s">
        <v>292</v>
      </c>
      <c r="Z1696" s="168">
        <f>VLOOKUP(Takeoffs!Y1696,Sheet1!$B$6:$C$124,2,FALSE)</f>
        <v>0</v>
      </c>
      <c r="AA1696" s="168">
        <f t="shared" si="772"/>
        <v>0</v>
      </c>
      <c r="AB1696" s="176">
        <f t="shared" si="773"/>
        <v>0</v>
      </c>
      <c r="AC1696" s="174">
        <f t="shared" si="779"/>
        <v>0</v>
      </c>
      <c r="AD1696" s="174">
        <v>2</v>
      </c>
      <c r="AE1696" s="174"/>
      <c r="AF1696" s="175" t="s">
        <v>292</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292</v>
      </c>
      <c r="V1697" s="174">
        <f t="shared" si="771"/>
        <v>0</v>
      </c>
      <c r="W1697" s="174">
        <f>VLOOKUP(U1697,Sheet1!$B$6:$C$45,2,FALSE)*V1697</f>
        <v>0</v>
      </c>
      <c r="X1697" s="174"/>
      <c r="Y1697" s="175" t="s">
        <v>292</v>
      </c>
      <c r="Z1697" s="168">
        <f>VLOOKUP(Takeoffs!Y1697,Sheet1!$B$6:$C$124,2,FALSE)</f>
        <v>0</v>
      </c>
      <c r="AA1697" s="168">
        <f t="shared" si="772"/>
        <v>0</v>
      </c>
      <c r="AB1697" s="176">
        <f t="shared" si="773"/>
        <v>0</v>
      </c>
      <c r="AC1697" s="174">
        <f t="shared" si="779"/>
        <v>0</v>
      </c>
      <c r="AD1697" s="174">
        <v>1</v>
      </c>
      <c r="AE1697" s="174"/>
      <c r="AF1697" s="175" t="s">
        <v>292</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292</v>
      </c>
      <c r="V1698" s="174">
        <f t="shared" si="771"/>
        <v>0</v>
      </c>
      <c r="W1698" s="174">
        <f>VLOOKUP(U1698,Sheet1!$B$6:$C$45,2,FALSE)*V1698</f>
        <v>0</v>
      </c>
      <c r="X1698" s="174"/>
      <c r="Y1698" s="175" t="s">
        <v>292</v>
      </c>
      <c r="Z1698" s="168">
        <f>VLOOKUP(Takeoffs!Y1698,Sheet1!$B$6:$C$124,2,FALSE)</f>
        <v>0</v>
      </c>
      <c r="AA1698" s="168">
        <f t="shared" si="772"/>
        <v>0</v>
      </c>
      <c r="AB1698" s="176">
        <f t="shared" si="773"/>
        <v>0</v>
      </c>
      <c r="AC1698" s="174">
        <f t="shared" si="779"/>
        <v>0</v>
      </c>
      <c r="AD1698" s="174">
        <v>1</v>
      </c>
      <c r="AE1698" s="174"/>
      <c r="AF1698" s="175" t="s">
        <v>292</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292</v>
      </c>
      <c r="V1699" s="174">
        <f t="shared" si="771"/>
        <v>0</v>
      </c>
      <c r="W1699" s="174">
        <f>VLOOKUP(U1699,Sheet1!$B$6:$C$45,2,FALSE)*V1699</f>
        <v>0</v>
      </c>
      <c r="X1699" s="174"/>
      <c r="Y1699" s="175" t="s">
        <v>292</v>
      </c>
      <c r="Z1699" s="168">
        <f>VLOOKUP(Takeoffs!Y1699,Sheet1!$B$6:$C$124,2,FALSE)</f>
        <v>0</v>
      </c>
      <c r="AA1699" s="168">
        <f t="shared" si="772"/>
        <v>0</v>
      </c>
      <c r="AB1699" s="176">
        <f t="shared" si="773"/>
        <v>0</v>
      </c>
      <c r="AC1699" s="174">
        <f t="shared" si="779"/>
        <v>0</v>
      </c>
      <c r="AD1699" s="174">
        <v>1</v>
      </c>
      <c r="AE1699" s="174"/>
      <c r="AF1699" s="175" t="s">
        <v>292</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292</v>
      </c>
      <c r="V1700" s="174">
        <f t="shared" si="771"/>
        <v>0</v>
      </c>
      <c r="W1700" s="174">
        <f>VLOOKUP(U1700,Sheet1!$B$6:$C$45,2,FALSE)*V1700</f>
        <v>0</v>
      </c>
      <c r="X1700" s="174"/>
      <c r="Y1700" s="175" t="s">
        <v>292</v>
      </c>
      <c r="Z1700" s="168">
        <f>VLOOKUP(Takeoffs!Y1700,Sheet1!$B$6:$C$124,2,FALSE)</f>
        <v>0</v>
      </c>
      <c r="AA1700" s="168">
        <f t="shared" si="772"/>
        <v>0</v>
      </c>
      <c r="AB1700" s="176">
        <f t="shared" si="773"/>
        <v>0</v>
      </c>
      <c r="AC1700" s="174">
        <f t="shared" si="779"/>
        <v>0</v>
      </c>
      <c r="AD1700" s="174">
        <v>1</v>
      </c>
      <c r="AE1700" s="174"/>
      <c r="AF1700" s="175" t="s">
        <v>292</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292</v>
      </c>
      <c r="V1701" s="174">
        <f t="shared" si="771"/>
        <v>0</v>
      </c>
      <c r="W1701" s="174">
        <f>VLOOKUP(U1701,Sheet1!$B$6:$C$45,2,FALSE)*V1701</f>
        <v>0</v>
      </c>
      <c r="X1701" s="174"/>
      <c r="Y1701" s="175" t="s">
        <v>292</v>
      </c>
      <c r="Z1701" s="168">
        <f>VLOOKUP(Takeoffs!Y1701,Sheet1!$B$6:$C$124,2,FALSE)</f>
        <v>0</v>
      </c>
      <c r="AA1701" s="168">
        <f t="shared" si="772"/>
        <v>0</v>
      </c>
      <c r="AB1701" s="176">
        <f t="shared" si="773"/>
        <v>0</v>
      </c>
      <c r="AC1701" s="174">
        <f t="shared" si="779"/>
        <v>0</v>
      </c>
      <c r="AD1701" s="174">
        <v>1</v>
      </c>
      <c r="AE1701" s="174"/>
      <c r="AF1701" s="175" t="s">
        <v>292</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377</v>
      </c>
      <c r="L1702" s="128" t="s">
        <v>378</v>
      </c>
      <c r="N1702" s="129"/>
      <c r="O1702" s="175" t="s">
        <v>357</v>
      </c>
      <c r="P1702" s="172">
        <f>P1703*M1681</f>
        <v>0</v>
      </c>
      <c r="Q1702" s="172"/>
      <c r="R1702" s="172"/>
      <c r="S1702" s="175"/>
      <c r="T1702" s="172"/>
      <c r="U1702" s="175" t="s">
        <v>351</v>
      </c>
      <c r="V1702" s="172">
        <f>W1702*80</f>
        <v>0</v>
      </c>
      <c r="W1702" s="177">
        <f>SUM(W1681:W1701)</f>
        <v>0</v>
      </c>
      <c r="X1702" s="178"/>
      <c r="Y1702" s="172" t="s">
        <v>352</v>
      </c>
      <c r="Z1702" s="168"/>
      <c r="AA1702" s="168">
        <f>SUM(AA1681:AA1701)</f>
        <v>0</v>
      </c>
      <c r="AB1702" s="179"/>
      <c r="AC1702" s="179"/>
      <c r="AD1702" s="179"/>
      <c r="AE1702" s="179"/>
      <c r="AF1702" s="172" t="s">
        <v>356</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123.45" hidden="1" x14ac:dyDescent="0.8">
      <c r="A1703" s="262">
        <f>ROW()</f>
        <v>1703</v>
      </c>
      <c r="B1703" s="234" t="s">
        <v>491</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367</v>
      </c>
      <c r="N1703" s="160" t="str">
        <f>N1681</f>
        <v>Medium Aircooled Chillers - from Chiller MSSB</v>
      </c>
      <c r="O1703" s="175" t="s">
        <v>365</v>
      </c>
      <c r="P1703" s="64">
        <v>2500</v>
      </c>
      <c r="Q1703" s="172"/>
      <c r="R1703" s="172"/>
      <c r="S1703" s="175"/>
      <c r="T1703" s="172"/>
      <c r="U1703" s="574" t="s">
        <v>366</v>
      </c>
      <c r="V1703" s="574"/>
      <c r="W1703" s="177" t="e">
        <f>W1702/M1681</f>
        <v>#DIV/0!</v>
      </c>
      <c r="X1703" s="178"/>
      <c r="Y1703" s="575" t="s">
        <v>365</v>
      </c>
      <c r="Z1703" s="575"/>
      <c r="AA1703" s="181" t="e">
        <f>AA1702/M1681</f>
        <v>#DIV/0!</v>
      </c>
      <c r="AB1703" s="172"/>
      <c r="AC1703" s="172"/>
      <c r="AD1703" s="172"/>
      <c r="AE1703" s="172"/>
      <c r="AF1703" s="575" t="s">
        <v>365</v>
      </c>
      <c r="AG1703" s="575"/>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452</v>
      </c>
      <c r="M1704" s="116" t="s">
        <v>107</v>
      </c>
      <c r="N1704" s="116" t="s">
        <v>108</v>
      </c>
      <c r="O1704" s="170" t="s">
        <v>386</v>
      </c>
      <c r="P1704" s="572" t="s">
        <v>375</v>
      </c>
      <c r="Q1704" s="572"/>
      <c r="R1704" s="101" t="s">
        <v>452</v>
      </c>
      <c r="S1704" s="116" t="s">
        <v>0</v>
      </c>
      <c r="T1704" s="118"/>
      <c r="U1704" s="116" t="s">
        <v>287</v>
      </c>
      <c r="V1704" s="116" t="s">
        <v>288</v>
      </c>
      <c r="W1704" s="116" t="s">
        <v>291</v>
      </c>
      <c r="X1704" s="140"/>
      <c r="Y1704" s="116" t="s">
        <v>289</v>
      </c>
      <c r="Z1704" s="116" t="s">
        <v>354</v>
      </c>
      <c r="AA1704" s="116" t="s">
        <v>355</v>
      </c>
      <c r="AB1704" s="116" t="s">
        <v>317</v>
      </c>
      <c r="AC1704" s="116" t="s">
        <v>318</v>
      </c>
      <c r="AD1704" s="116" t="s">
        <v>316</v>
      </c>
      <c r="AE1704" s="140"/>
      <c r="AF1704" s="116" t="s">
        <v>293</v>
      </c>
      <c r="AG1704" s="116" t="s">
        <v>354</v>
      </c>
      <c r="AH1704" s="116" t="s">
        <v>355</v>
      </c>
      <c r="AI1704" s="116" t="s">
        <v>296</v>
      </c>
      <c r="AJ1704" s="116" t="s">
        <v>294</v>
      </c>
      <c r="AK1704" s="116" t="s">
        <v>295</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558</v>
      </c>
      <c r="O1705" s="121" t="s">
        <v>488</v>
      </c>
      <c r="P1705" s="169" t="s">
        <v>379</v>
      </c>
      <c r="Q1705" s="169" t="s">
        <v>375</v>
      </c>
      <c r="R1705" s="169"/>
      <c r="S1705" s="133">
        <f>M1705</f>
        <v>0</v>
      </c>
      <c r="T1705" s="119"/>
      <c r="U1705" s="121" t="s">
        <v>292</v>
      </c>
      <c r="V1705" s="133">
        <f>S1705</f>
        <v>0</v>
      </c>
      <c r="W1705" s="133">
        <f>VLOOKUP(U1705,Sheet1!$B$6:$C$45,2,FALSE)*V1705</f>
        <v>0</v>
      </c>
      <c r="X1705" s="141"/>
      <c r="Y1705" s="121" t="s">
        <v>292</v>
      </c>
      <c r="Z1705" s="146">
        <f>VLOOKUP(Takeoffs!Y1705,Sheet1!$B$6:$C$124,2,FALSE)</f>
        <v>0</v>
      </c>
      <c r="AA1705" s="146">
        <f>Z1705*AB1705</f>
        <v>0</v>
      </c>
      <c r="AB1705" s="143">
        <f>AD1705*AC1705</f>
        <v>0</v>
      </c>
      <c r="AC1705" s="133">
        <f>S1705</f>
        <v>0</v>
      </c>
      <c r="AD1705" s="142">
        <v>1</v>
      </c>
      <c r="AE1705" s="141"/>
      <c r="AF1705" s="121" t="s">
        <v>292</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340</v>
      </c>
      <c r="P1706" s="121"/>
      <c r="Q1706" s="121"/>
      <c r="R1706" s="121"/>
      <c r="S1706" s="133">
        <f>M1705</f>
        <v>0</v>
      </c>
      <c r="T1706" s="120"/>
      <c r="U1706" s="121" t="s">
        <v>292</v>
      </c>
      <c r="V1706" s="133">
        <f t="shared" ref="V1706:V1725" si="785">S1706</f>
        <v>0</v>
      </c>
      <c r="W1706" s="133">
        <f>VLOOKUP(U1706,Sheet1!$B$6:$C$45,2,FALSE)*V1706</f>
        <v>0</v>
      </c>
      <c r="X1706" s="141"/>
      <c r="Y1706" s="121" t="s">
        <v>292</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292</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308</v>
      </c>
      <c r="P1707" s="121"/>
      <c r="Q1707" s="121"/>
      <c r="R1707" s="121"/>
      <c r="S1707" s="133">
        <f>M1705</f>
        <v>0</v>
      </c>
      <c r="T1707" s="120"/>
      <c r="U1707" s="121" t="s">
        <v>292</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305</v>
      </c>
      <c r="P1708" s="121"/>
      <c r="Q1708" s="121"/>
      <c r="R1708" s="121"/>
      <c r="S1708" s="133">
        <f>M1705</f>
        <v>0</v>
      </c>
      <c r="T1708" s="120"/>
      <c r="U1708" s="117" t="s">
        <v>478</v>
      </c>
      <c r="V1708" s="133">
        <f t="shared" si="785"/>
        <v>0</v>
      </c>
      <c r="W1708" s="133">
        <f>VLOOKUP(U1708,Sheet1!$B$6:$C$45,2,FALSE)*V1708</f>
        <v>0</v>
      </c>
      <c r="X1708" s="141"/>
      <c r="Y1708" s="121" t="s">
        <v>292</v>
      </c>
      <c r="Z1708" s="146">
        <f>VLOOKUP(Takeoffs!Y1708,Sheet1!$B$6:$C$124,2,FALSE)</f>
        <v>0</v>
      </c>
      <c r="AA1708" s="146">
        <f t="shared" si="786"/>
        <v>0</v>
      </c>
      <c r="AB1708" s="143">
        <f t="shared" si="787"/>
        <v>0</v>
      </c>
      <c r="AC1708" s="133">
        <f t="shared" si="788"/>
        <v>0</v>
      </c>
      <c r="AD1708" s="142">
        <v>1</v>
      </c>
      <c r="AE1708" s="141"/>
      <c r="AF1708" s="121" t="s">
        <v>292</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323</v>
      </c>
      <c r="P1709" s="121"/>
      <c r="Q1709" s="121"/>
      <c r="R1709" s="121"/>
      <c r="S1709" s="133">
        <f>M1705</f>
        <v>0</v>
      </c>
      <c r="T1709" s="120"/>
      <c r="U1709" s="121" t="s">
        <v>235</v>
      </c>
      <c r="V1709" s="133">
        <f t="shared" si="785"/>
        <v>0</v>
      </c>
      <c r="W1709" s="133">
        <f>VLOOKUP(U1709,Sheet1!$B$6:$C$45,2,FALSE)*V1709</f>
        <v>0</v>
      </c>
      <c r="X1709" s="141"/>
      <c r="Y1709" s="135" t="s">
        <v>546</v>
      </c>
      <c r="Z1709" s="146">
        <f>VLOOKUP(Takeoffs!Y1709,Sheet1!$B$6:$C$124,2,FALSE)</f>
        <v>865.92</v>
      </c>
      <c r="AA1709" s="146">
        <f t="shared" si="786"/>
        <v>0</v>
      </c>
      <c r="AB1709" s="143">
        <f t="shared" si="787"/>
        <v>0</v>
      </c>
      <c r="AC1709" s="133">
        <f t="shared" si="788"/>
        <v>0</v>
      </c>
      <c r="AD1709" s="142">
        <v>1</v>
      </c>
      <c r="AE1709" s="141"/>
      <c r="AF1709" s="121" t="s">
        <v>292</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390</v>
      </c>
      <c r="P1710" s="121"/>
      <c r="Q1710" s="121"/>
      <c r="R1710" s="121"/>
      <c r="S1710" s="133">
        <f>M1705</f>
        <v>0</v>
      </c>
      <c r="T1710" s="120"/>
      <c r="U1710" s="121" t="s">
        <v>292</v>
      </c>
      <c r="V1710" s="133">
        <f t="shared" si="785"/>
        <v>0</v>
      </c>
      <c r="W1710" s="133">
        <f>VLOOKUP(U1710,Sheet1!$B$6:$C$45,2,FALSE)*V1710</f>
        <v>0</v>
      </c>
      <c r="X1710" s="141"/>
      <c r="Y1710" s="121" t="s">
        <v>292</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309</v>
      </c>
      <c r="P1711" s="121"/>
      <c r="Q1711" s="121"/>
      <c r="R1711" s="121"/>
      <c r="S1711" s="133">
        <f>M1705</f>
        <v>0</v>
      </c>
      <c r="T1711" s="120"/>
      <c r="U1711" s="121" t="s">
        <v>292</v>
      </c>
      <c r="V1711" s="133">
        <f t="shared" si="785"/>
        <v>0</v>
      </c>
      <c r="W1711" s="133">
        <f>VLOOKUP(U1711,Sheet1!$B$6:$C$45,2,FALSE)*V1711</f>
        <v>0</v>
      </c>
      <c r="X1711" s="141"/>
      <c r="Y1711" s="121" t="s">
        <v>292</v>
      </c>
      <c r="Z1711" s="146">
        <f>VLOOKUP(Takeoffs!Y1711,Sheet1!$B$6:$C$124,2,FALSE)</f>
        <v>0</v>
      </c>
      <c r="AA1711" s="146">
        <f t="shared" si="786"/>
        <v>0</v>
      </c>
      <c r="AB1711" s="143">
        <f t="shared" si="787"/>
        <v>0</v>
      </c>
      <c r="AC1711" s="133">
        <f t="shared" si="788"/>
        <v>0</v>
      </c>
      <c r="AD1711" s="142">
        <v>1</v>
      </c>
      <c r="AE1711" s="141"/>
      <c r="AF1711" s="121" t="s">
        <v>292</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292</v>
      </c>
      <c r="V1712" s="133">
        <f t="shared" si="785"/>
        <v>0</v>
      </c>
      <c r="W1712" s="133">
        <f>VLOOKUP(U1712,Sheet1!$B$6:$C$45,2,FALSE)*V1712</f>
        <v>0</v>
      </c>
      <c r="X1712" s="141"/>
      <c r="Y1712" s="121" t="s">
        <v>292</v>
      </c>
      <c r="Z1712" s="146">
        <f>VLOOKUP(Takeoffs!Y1712,Sheet1!$B$6:$C$124,2,FALSE)</f>
        <v>0</v>
      </c>
      <c r="AA1712" s="146">
        <f t="shared" si="786"/>
        <v>0</v>
      </c>
      <c r="AB1712" s="143">
        <f t="shared" si="787"/>
        <v>0</v>
      </c>
      <c r="AC1712" s="133">
        <f t="shared" si="788"/>
        <v>0</v>
      </c>
      <c r="AD1712" s="142">
        <v>1</v>
      </c>
      <c r="AE1712" s="141"/>
      <c r="AF1712" s="121" t="s">
        <v>292</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328</v>
      </c>
      <c r="P1713" s="121"/>
      <c r="Q1713" s="121"/>
      <c r="R1713" s="121"/>
      <c r="S1713" s="133">
        <f>M1705</f>
        <v>0</v>
      </c>
      <c r="T1713" s="120"/>
      <c r="U1713" s="121" t="s">
        <v>364</v>
      </c>
      <c r="V1713" s="133">
        <f t="shared" si="785"/>
        <v>0</v>
      </c>
      <c r="W1713" s="133">
        <f>VLOOKUP(U1713,Sheet1!$B$6:$C$45,2,FALSE)*V1713</f>
        <v>0</v>
      </c>
      <c r="X1713" s="141"/>
      <c r="Y1713" s="121" t="s">
        <v>292</v>
      </c>
      <c r="Z1713" s="146">
        <f>VLOOKUP(Takeoffs!Y1713,Sheet1!$B$6:$C$124,2,FALSE)</f>
        <v>0</v>
      </c>
      <c r="AA1713" s="146">
        <f t="shared" si="786"/>
        <v>0</v>
      </c>
      <c r="AB1713" s="143">
        <f t="shared" si="787"/>
        <v>0</v>
      </c>
      <c r="AC1713" s="133">
        <f t="shared" si="788"/>
        <v>0</v>
      </c>
      <c r="AD1713" s="142">
        <v>1</v>
      </c>
      <c r="AE1713" s="141"/>
      <c r="AF1713" s="121" t="s">
        <v>292</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292</v>
      </c>
      <c r="V1714" s="133">
        <f t="shared" si="785"/>
        <v>0</v>
      </c>
      <c r="W1714" s="133">
        <f>VLOOKUP(U1714,Sheet1!$B$6:$C$45,2,FALSE)*V1714</f>
        <v>0</v>
      </c>
      <c r="X1714" s="141"/>
      <c r="Y1714" s="121" t="s">
        <v>292</v>
      </c>
      <c r="Z1714" s="146">
        <f>VLOOKUP(Takeoffs!Y1714,Sheet1!$B$6:$C$124,2,FALSE)</f>
        <v>0</v>
      </c>
      <c r="AA1714" s="146">
        <f t="shared" si="786"/>
        <v>0</v>
      </c>
      <c r="AB1714" s="143">
        <f t="shared" si="787"/>
        <v>0</v>
      </c>
      <c r="AC1714" s="133">
        <f t="shared" si="788"/>
        <v>0</v>
      </c>
      <c r="AD1714" s="142">
        <v>1</v>
      </c>
      <c r="AE1714" s="141"/>
      <c r="AF1714" s="121" t="s">
        <v>292</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292</v>
      </c>
      <c r="V1715" s="133">
        <f t="shared" si="785"/>
        <v>0</v>
      </c>
      <c r="W1715" s="133">
        <f>VLOOKUP(U1715,Sheet1!$B$6:$C$45,2,FALSE)*V1715</f>
        <v>0</v>
      </c>
      <c r="X1715" s="141"/>
      <c r="Y1715" s="121" t="s">
        <v>292</v>
      </c>
      <c r="Z1715" s="146">
        <f>VLOOKUP(Takeoffs!Y1715,Sheet1!$B$6:$C$124,2,FALSE)</f>
        <v>0</v>
      </c>
      <c r="AA1715" s="146">
        <f t="shared" si="786"/>
        <v>0</v>
      </c>
      <c r="AB1715" s="143">
        <f t="shared" si="787"/>
        <v>0</v>
      </c>
      <c r="AC1715" s="133">
        <f t="shared" si="788"/>
        <v>0</v>
      </c>
      <c r="AD1715" s="142">
        <v>1</v>
      </c>
      <c r="AE1715" s="141"/>
      <c r="AF1715" s="121" t="s">
        <v>292</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292</v>
      </c>
      <c r="V1716" s="133">
        <f t="shared" si="785"/>
        <v>0</v>
      </c>
      <c r="W1716" s="133">
        <f>VLOOKUP(U1716,Sheet1!$B$6:$C$45,2,FALSE)*V1716</f>
        <v>0</v>
      </c>
      <c r="X1716" s="141"/>
      <c r="Y1716" s="121" t="s">
        <v>292</v>
      </c>
      <c r="Z1716" s="146">
        <f>VLOOKUP(Takeoffs!Y1716,Sheet1!$B$6:$C$124,2,FALSE)</f>
        <v>0</v>
      </c>
      <c r="AA1716" s="146">
        <f t="shared" si="786"/>
        <v>0</v>
      </c>
      <c r="AB1716" s="143">
        <f t="shared" si="787"/>
        <v>0</v>
      </c>
      <c r="AC1716" s="133">
        <f t="shared" si="788"/>
        <v>0</v>
      </c>
      <c r="AD1716" s="142">
        <v>1</v>
      </c>
      <c r="AE1716" s="141"/>
      <c r="AF1716" s="121" t="s">
        <v>292</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292</v>
      </c>
      <c r="V1717" s="133">
        <f t="shared" si="785"/>
        <v>0</v>
      </c>
      <c r="W1717" s="133">
        <f>VLOOKUP(U1717,Sheet1!$B$6:$C$45,2,FALSE)*V1717</f>
        <v>0</v>
      </c>
      <c r="X1717" s="141"/>
      <c r="Y1717" s="121" t="s">
        <v>292</v>
      </c>
      <c r="Z1717" s="146">
        <f>VLOOKUP(Takeoffs!Y1717,Sheet1!$B$6:$C$124,2,FALSE)</f>
        <v>0</v>
      </c>
      <c r="AA1717" s="146">
        <f t="shared" si="786"/>
        <v>0</v>
      </c>
      <c r="AB1717" s="143">
        <f t="shared" si="787"/>
        <v>0</v>
      </c>
      <c r="AC1717" s="133">
        <f t="shared" si="788"/>
        <v>0</v>
      </c>
      <c r="AD1717" s="142">
        <v>1</v>
      </c>
      <c r="AE1717" s="141"/>
      <c r="AF1717" s="152" t="s">
        <v>418</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312</v>
      </c>
      <c r="P1718" s="121"/>
      <c r="Q1718" s="121"/>
      <c r="R1718" s="121"/>
      <c r="S1718" s="133">
        <f>M1705</f>
        <v>0</v>
      </c>
      <c r="T1718" s="120"/>
      <c r="U1718" s="121" t="s">
        <v>232</v>
      </c>
      <c r="V1718" s="133">
        <f t="shared" si="785"/>
        <v>0</v>
      </c>
      <c r="W1718" s="133">
        <f>VLOOKUP(U1718,Sheet1!$B$6:$C$45,2,FALSE)*V1718</f>
        <v>0</v>
      </c>
      <c r="X1718" s="141"/>
      <c r="Y1718" s="122" t="s">
        <v>1344</v>
      </c>
      <c r="Z1718" s="146">
        <f>VLOOKUP(Takeoffs!Y1718,Sheet1!$B$6:$C$124,2,FALSE)</f>
        <v>109.25999999999999</v>
      </c>
      <c r="AA1718" s="146">
        <f t="shared" si="786"/>
        <v>0</v>
      </c>
      <c r="AB1718" s="143">
        <f t="shared" si="787"/>
        <v>0</v>
      </c>
      <c r="AC1718" s="133">
        <f t="shared" si="788"/>
        <v>0</v>
      </c>
      <c r="AD1718" s="142">
        <v>1</v>
      </c>
      <c r="AE1718" s="141"/>
      <c r="AF1718" s="121" t="s">
        <v>292</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292</v>
      </c>
      <c r="V1719" s="133">
        <f t="shared" si="785"/>
        <v>0</v>
      </c>
      <c r="W1719" s="133">
        <f>VLOOKUP(U1719,Sheet1!$B$6:$C$45,2,FALSE)*V1719</f>
        <v>0</v>
      </c>
      <c r="X1719" s="141"/>
      <c r="Y1719" s="121" t="s">
        <v>292</v>
      </c>
      <c r="Z1719" s="146">
        <f>VLOOKUP(Takeoffs!Y1719,Sheet1!$B$6:$C$124,2,FALSE)</f>
        <v>0</v>
      </c>
      <c r="AA1719" s="146">
        <f t="shared" si="786"/>
        <v>0</v>
      </c>
      <c r="AB1719" s="143">
        <f t="shared" si="787"/>
        <v>0</v>
      </c>
      <c r="AC1719" s="133">
        <f t="shared" si="788"/>
        <v>0</v>
      </c>
      <c r="AD1719" s="142">
        <v>1</v>
      </c>
      <c r="AE1719" s="141"/>
      <c r="AF1719" s="121" t="s">
        <v>292</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337</v>
      </c>
      <c r="P1720" s="121"/>
      <c r="Q1720" s="121"/>
      <c r="R1720" s="121" t="s">
        <v>331</v>
      </c>
      <c r="S1720" s="133">
        <f>M1705</f>
        <v>0</v>
      </c>
      <c r="T1720" s="120"/>
      <c r="U1720" s="121" t="s">
        <v>292</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292</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508</v>
      </c>
      <c r="P1721" s="121"/>
      <c r="Q1721" s="121"/>
      <c r="R1721" s="121"/>
      <c r="S1721" s="133">
        <f>M1705</f>
        <v>0</v>
      </c>
      <c r="T1721" s="120"/>
      <c r="U1721" s="121" t="s">
        <v>292</v>
      </c>
      <c r="V1721" s="133">
        <f t="shared" si="785"/>
        <v>0</v>
      </c>
      <c r="W1721" s="133">
        <f>VLOOKUP(U1721,Sheet1!$B$6:$C$45,2,FALSE)*V1721</f>
        <v>0</v>
      </c>
      <c r="X1721" s="141"/>
      <c r="Y1721" s="135" t="s">
        <v>422</v>
      </c>
      <c r="Z1721" s="146">
        <f>VLOOKUP(Takeoffs!Y1721,Sheet1!$B$6:$C$124,2,FALSE)</f>
        <v>23.4</v>
      </c>
      <c r="AA1721" s="146">
        <f t="shared" si="786"/>
        <v>0</v>
      </c>
      <c r="AB1721" s="143">
        <f t="shared" si="787"/>
        <v>0</v>
      </c>
      <c r="AC1721" s="133">
        <f t="shared" si="788"/>
        <v>0</v>
      </c>
      <c r="AD1721" s="142">
        <v>1</v>
      </c>
      <c r="AE1721" s="141"/>
      <c r="AF1721" s="121" t="s">
        <v>292</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329</v>
      </c>
      <c r="P1722" s="121"/>
      <c r="Q1722" s="121"/>
      <c r="R1722" s="121" t="s">
        <v>304</v>
      </c>
      <c r="S1722" s="133">
        <f>M1705</f>
        <v>0</v>
      </c>
      <c r="T1722" s="120"/>
      <c r="U1722" s="121" t="s">
        <v>292</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292</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500</v>
      </c>
      <c r="P1723" s="121"/>
      <c r="Q1723" s="121"/>
      <c r="R1723" s="121"/>
      <c r="S1723" s="133">
        <f>M1705</f>
        <v>0</v>
      </c>
      <c r="T1723" s="120"/>
      <c r="U1723" s="121" t="s">
        <v>292</v>
      </c>
      <c r="V1723" s="133">
        <f t="shared" si="785"/>
        <v>0</v>
      </c>
      <c r="W1723" s="133">
        <f>VLOOKUP(U1723,Sheet1!$B$6:$C$45,2,FALSE)*V1723</f>
        <v>0</v>
      </c>
      <c r="X1723" s="141"/>
      <c r="Y1723" s="121" t="s">
        <v>292</v>
      </c>
      <c r="Z1723" s="146">
        <f>VLOOKUP(Takeoffs!Y1723,Sheet1!$B$6:$C$124,2,FALSE)</f>
        <v>0</v>
      </c>
      <c r="AA1723" s="146">
        <f t="shared" si="786"/>
        <v>0</v>
      </c>
      <c r="AB1723" s="143">
        <f t="shared" si="787"/>
        <v>0</v>
      </c>
      <c r="AC1723" s="133">
        <f t="shared" si="788"/>
        <v>0</v>
      </c>
      <c r="AD1723" s="142">
        <v>1</v>
      </c>
      <c r="AE1723" s="141"/>
      <c r="AF1723" s="121" t="s">
        <v>292</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407</v>
      </c>
      <c r="P1724" s="121"/>
      <c r="Q1724" s="121"/>
      <c r="R1724" s="121"/>
      <c r="S1724" s="133">
        <f>M1705</f>
        <v>0</v>
      </c>
      <c r="T1724" s="120"/>
      <c r="U1724" s="121" t="s">
        <v>292</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292</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408</v>
      </c>
      <c r="P1725" s="121"/>
      <c r="Q1725" s="121"/>
      <c r="R1725" s="121"/>
      <c r="S1725" s="133">
        <f>M1705</f>
        <v>0</v>
      </c>
      <c r="T1725" s="120"/>
      <c r="U1725" s="121" t="s">
        <v>362</v>
      </c>
      <c r="V1725" s="133">
        <f t="shared" si="785"/>
        <v>0</v>
      </c>
      <c r="W1725" s="133">
        <f>VLOOKUP(U1725,Sheet1!$B$6:$C$45,2,FALSE)*V1725</f>
        <v>0</v>
      </c>
      <c r="X1725" s="141"/>
      <c r="Y1725" s="121" t="s">
        <v>292</v>
      </c>
      <c r="Z1725" s="146">
        <f>VLOOKUP(Takeoffs!Y1725,Sheet1!$B$6:$C$124,2,FALSE)</f>
        <v>0</v>
      </c>
      <c r="AA1725" s="146">
        <f t="shared" si="786"/>
        <v>0</v>
      </c>
      <c r="AB1725" s="143">
        <f t="shared" si="787"/>
        <v>0</v>
      </c>
      <c r="AC1725" s="133">
        <f t="shared" si="788"/>
        <v>0</v>
      </c>
      <c r="AD1725" s="142">
        <v>1</v>
      </c>
      <c r="AE1725" s="141"/>
      <c r="AF1725" s="121" t="s">
        <v>292</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377</v>
      </c>
      <c r="L1726" s="128" t="s">
        <v>378</v>
      </c>
      <c r="N1726" s="129"/>
      <c r="O1726" s="130" t="s">
        <v>357</v>
      </c>
      <c r="P1726" s="131">
        <f>V1726+AA1726+AH1726</f>
        <v>0</v>
      </c>
      <c r="Q1726" s="131"/>
      <c r="R1726" s="131"/>
      <c r="S1726" s="130"/>
      <c r="T1726" s="127"/>
      <c r="U1726" s="126" t="s">
        <v>351</v>
      </c>
      <c r="V1726" s="127">
        <f>W1726*80</f>
        <v>0</v>
      </c>
      <c r="W1726" s="147">
        <f>SUM(W1705:W1725)</f>
        <v>0</v>
      </c>
      <c r="X1726" s="148"/>
      <c r="Y1726" s="127" t="s">
        <v>352</v>
      </c>
      <c r="Z1726" s="116"/>
      <c r="AA1726" s="116">
        <f>SUM(AA1705:AA1725)</f>
        <v>0</v>
      </c>
      <c r="AB1726" s="149"/>
      <c r="AC1726" s="149"/>
      <c r="AD1726" s="149"/>
      <c r="AE1726" s="149"/>
      <c r="AF1726" s="127" t="s">
        <v>356</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hidden="1" x14ac:dyDescent="0.8">
      <c r="A1727" s="262">
        <f>ROW()</f>
        <v>1727</v>
      </c>
      <c r="B1727" s="234" t="s">
        <v>491</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367</v>
      </c>
      <c r="N1727" s="160" t="str">
        <f>N1705</f>
        <v>Small VSD pump - from MSSB power supply and BMS interface provisions</v>
      </c>
      <c r="O1727" s="160" t="s">
        <v>365</v>
      </c>
      <c r="P1727" s="64" t="e">
        <f>P1726/M1705</f>
        <v>#DIV/0!</v>
      </c>
      <c r="Q1727" s="161"/>
      <c r="R1727" s="161"/>
      <c r="S1727" s="160"/>
      <c r="T1727" s="161"/>
      <c r="U1727" s="571" t="s">
        <v>366</v>
      </c>
      <c r="V1727" s="571"/>
      <c r="W1727" s="162" t="e">
        <f>W1726/M1705</f>
        <v>#DIV/0!</v>
      </c>
      <c r="X1727" s="163"/>
      <c r="Y1727" s="570" t="s">
        <v>365</v>
      </c>
      <c r="Z1727" s="570"/>
      <c r="AA1727" s="164" t="e">
        <f>AA1726/M1705</f>
        <v>#DIV/0!</v>
      </c>
      <c r="AB1727" s="161"/>
      <c r="AC1727" s="161"/>
      <c r="AD1727" s="161"/>
      <c r="AE1727" s="161"/>
      <c r="AF1727" s="570" t="s">
        <v>365</v>
      </c>
      <c r="AG1727" s="570"/>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452</v>
      </c>
      <c r="M1728" s="116" t="s">
        <v>107</v>
      </c>
      <c r="N1728" s="116" t="s">
        <v>108</v>
      </c>
      <c r="O1728" s="170" t="s">
        <v>386</v>
      </c>
      <c r="P1728" s="572" t="s">
        <v>375</v>
      </c>
      <c r="Q1728" s="572"/>
      <c r="R1728" s="101" t="s">
        <v>452</v>
      </c>
      <c r="S1728" s="116" t="s">
        <v>0</v>
      </c>
      <c r="T1728" s="118"/>
      <c r="U1728" s="116" t="s">
        <v>287</v>
      </c>
      <c r="V1728" s="116" t="s">
        <v>288</v>
      </c>
      <c r="W1728" s="116" t="s">
        <v>291</v>
      </c>
      <c r="X1728" s="140"/>
      <c r="Y1728" s="116" t="s">
        <v>289</v>
      </c>
      <c r="Z1728" s="116" t="s">
        <v>354</v>
      </c>
      <c r="AA1728" s="116" t="s">
        <v>355</v>
      </c>
      <c r="AB1728" s="116" t="s">
        <v>317</v>
      </c>
      <c r="AC1728" s="116" t="s">
        <v>318</v>
      </c>
      <c r="AD1728" s="116" t="s">
        <v>316</v>
      </c>
      <c r="AE1728" s="140"/>
      <c r="AF1728" s="116" t="s">
        <v>293</v>
      </c>
      <c r="AG1728" s="116" t="s">
        <v>354</v>
      </c>
      <c r="AH1728" s="116" t="s">
        <v>355</v>
      </c>
      <c r="AI1728" s="116" t="s">
        <v>296</v>
      </c>
      <c r="AJ1728" s="116" t="s">
        <v>294</v>
      </c>
      <c r="AK1728" s="116" t="s">
        <v>295</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560</v>
      </c>
      <c r="O1729" s="121" t="s">
        <v>488</v>
      </c>
      <c r="P1729" s="169" t="s">
        <v>379</v>
      </c>
      <c r="Q1729" s="169" t="s">
        <v>375</v>
      </c>
      <c r="R1729" s="169"/>
      <c r="S1729" s="133">
        <f>M1729</f>
        <v>0</v>
      </c>
      <c r="T1729" s="119"/>
      <c r="U1729" s="121" t="s">
        <v>292</v>
      </c>
      <c r="V1729" s="133">
        <f>S1729</f>
        <v>0</v>
      </c>
      <c r="W1729" s="133">
        <f>VLOOKUP(U1729,Sheet1!$B$6:$C$45,2,FALSE)*V1729</f>
        <v>0</v>
      </c>
      <c r="X1729" s="141"/>
      <c r="Y1729" s="121" t="s">
        <v>292</v>
      </c>
      <c r="Z1729" s="146">
        <f>VLOOKUP(Takeoffs!Y1729,Sheet1!$B$6:$C$124,2,FALSE)</f>
        <v>0</v>
      </c>
      <c r="AA1729" s="146">
        <f>Z1729*AB1729</f>
        <v>0</v>
      </c>
      <c r="AB1729" s="143">
        <f>AD1729*AC1729</f>
        <v>0</v>
      </c>
      <c r="AC1729" s="133">
        <f>S1729</f>
        <v>0</v>
      </c>
      <c r="AD1729" s="142">
        <v>1</v>
      </c>
      <c r="AE1729" s="141"/>
      <c r="AF1729" s="121" t="s">
        <v>292</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340</v>
      </c>
      <c r="P1730" s="121"/>
      <c r="Q1730" s="121"/>
      <c r="R1730" s="121"/>
      <c r="S1730" s="133">
        <f>M1729</f>
        <v>0</v>
      </c>
      <c r="T1730" s="120"/>
      <c r="U1730" s="121" t="s">
        <v>292</v>
      </c>
      <c r="V1730" s="133">
        <f t="shared" ref="V1730:V1749" si="794">S1730</f>
        <v>0</v>
      </c>
      <c r="W1730" s="133">
        <f>VLOOKUP(U1730,Sheet1!$B$6:$C$45,2,FALSE)*V1730</f>
        <v>0</v>
      </c>
      <c r="X1730" s="141"/>
      <c r="Y1730" s="121" t="s">
        <v>292</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292</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308</v>
      </c>
      <c r="P1731" s="121"/>
      <c r="Q1731" s="121"/>
      <c r="R1731" s="121"/>
      <c r="S1731" s="133">
        <f>M1729</f>
        <v>0</v>
      </c>
      <c r="T1731" s="120"/>
      <c r="U1731" s="121" t="s">
        <v>292</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305</v>
      </c>
      <c r="P1732" s="121"/>
      <c r="Q1732" s="121"/>
      <c r="R1732" s="121"/>
      <c r="S1732" s="133">
        <f>M1729</f>
        <v>0</v>
      </c>
      <c r="T1732" s="120"/>
      <c r="U1732" s="117" t="s">
        <v>478</v>
      </c>
      <c r="V1732" s="133">
        <f t="shared" si="794"/>
        <v>0</v>
      </c>
      <c r="W1732" s="133">
        <f>VLOOKUP(U1732,Sheet1!$B$6:$C$45,2,FALSE)*V1732</f>
        <v>0</v>
      </c>
      <c r="X1732" s="141"/>
      <c r="Y1732" s="121" t="s">
        <v>292</v>
      </c>
      <c r="Z1732" s="146">
        <f>VLOOKUP(Takeoffs!Y1732,Sheet1!$B$6:$C$124,2,FALSE)</f>
        <v>0</v>
      </c>
      <c r="AA1732" s="146">
        <f t="shared" si="795"/>
        <v>0</v>
      </c>
      <c r="AB1732" s="143">
        <f t="shared" si="796"/>
        <v>0</v>
      </c>
      <c r="AC1732" s="133">
        <f t="shared" si="797"/>
        <v>0</v>
      </c>
      <c r="AD1732" s="142">
        <v>1</v>
      </c>
      <c r="AE1732" s="141"/>
      <c r="AF1732" s="121" t="s">
        <v>292</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323</v>
      </c>
      <c r="P1733" s="121"/>
      <c r="Q1733" s="121"/>
      <c r="R1733" s="121"/>
      <c r="S1733" s="133">
        <f>M1729</f>
        <v>0</v>
      </c>
      <c r="T1733" s="120"/>
      <c r="U1733" s="135" t="s">
        <v>233</v>
      </c>
      <c r="V1733" s="133">
        <f t="shared" si="794"/>
        <v>0</v>
      </c>
      <c r="W1733" s="133">
        <f>VLOOKUP(U1733,Sheet1!$B$6:$C$45,2,FALSE)*V1733</f>
        <v>0</v>
      </c>
      <c r="X1733" s="141"/>
      <c r="Y1733" s="121" t="s">
        <v>292</v>
      </c>
      <c r="Z1733" s="146">
        <f>VLOOKUP(Takeoffs!Y1733,Sheet1!$B$6:$C$124,2,FALSE)</f>
        <v>0</v>
      </c>
      <c r="AA1733" s="146">
        <f t="shared" si="795"/>
        <v>0</v>
      </c>
      <c r="AB1733" s="143">
        <f t="shared" si="796"/>
        <v>0</v>
      </c>
      <c r="AC1733" s="133">
        <f t="shared" si="797"/>
        <v>0</v>
      </c>
      <c r="AD1733" s="142">
        <v>1</v>
      </c>
      <c r="AE1733" s="141"/>
      <c r="AF1733" s="121" t="s">
        <v>292</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390</v>
      </c>
      <c r="P1734" s="121"/>
      <c r="Q1734" s="121"/>
      <c r="R1734" s="121"/>
      <c r="S1734" s="133">
        <f>M1729</f>
        <v>0</v>
      </c>
      <c r="T1734" s="120"/>
      <c r="U1734" s="121" t="s">
        <v>292</v>
      </c>
      <c r="V1734" s="133">
        <f t="shared" si="794"/>
        <v>0</v>
      </c>
      <c r="W1734" s="133">
        <f>VLOOKUP(U1734,Sheet1!$B$6:$C$45,2,FALSE)*V1734</f>
        <v>0</v>
      </c>
      <c r="X1734" s="141"/>
      <c r="Y1734" s="121" t="s">
        <v>292</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309</v>
      </c>
      <c r="P1735" s="121"/>
      <c r="Q1735" s="121"/>
      <c r="R1735" s="121"/>
      <c r="S1735" s="133">
        <f>M1729</f>
        <v>0</v>
      </c>
      <c r="T1735" s="120"/>
      <c r="U1735" s="121" t="s">
        <v>292</v>
      </c>
      <c r="V1735" s="133">
        <f t="shared" si="794"/>
        <v>0</v>
      </c>
      <c r="W1735" s="133">
        <f>VLOOKUP(U1735,Sheet1!$B$6:$C$45,2,FALSE)*V1735</f>
        <v>0</v>
      </c>
      <c r="X1735" s="141"/>
      <c r="Y1735" s="121" t="s">
        <v>292</v>
      </c>
      <c r="Z1735" s="146">
        <f>VLOOKUP(Takeoffs!Y1735,Sheet1!$B$6:$C$124,2,FALSE)</f>
        <v>0</v>
      </c>
      <c r="AA1735" s="146">
        <f t="shared" si="795"/>
        <v>0</v>
      </c>
      <c r="AB1735" s="143">
        <f t="shared" si="796"/>
        <v>0</v>
      </c>
      <c r="AC1735" s="133">
        <f t="shared" si="797"/>
        <v>0</v>
      </c>
      <c r="AD1735" s="142">
        <v>1</v>
      </c>
      <c r="AE1735" s="141"/>
      <c r="AF1735" s="121" t="s">
        <v>292</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292</v>
      </c>
      <c r="V1736" s="133">
        <f t="shared" si="794"/>
        <v>0</v>
      </c>
      <c r="W1736" s="133">
        <f>VLOOKUP(U1736,Sheet1!$B$6:$C$45,2,FALSE)*V1736</f>
        <v>0</v>
      </c>
      <c r="X1736" s="141"/>
      <c r="Y1736" s="121" t="s">
        <v>292</v>
      </c>
      <c r="Z1736" s="146">
        <f>VLOOKUP(Takeoffs!Y1736,Sheet1!$B$6:$C$124,2,FALSE)</f>
        <v>0</v>
      </c>
      <c r="AA1736" s="146">
        <f t="shared" si="795"/>
        <v>0</v>
      </c>
      <c r="AB1736" s="143">
        <f t="shared" si="796"/>
        <v>0</v>
      </c>
      <c r="AC1736" s="133">
        <f t="shared" si="797"/>
        <v>0</v>
      </c>
      <c r="AD1736" s="142">
        <v>1</v>
      </c>
      <c r="AE1736" s="141"/>
      <c r="AF1736" s="121" t="s">
        <v>292</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328</v>
      </c>
      <c r="P1737" s="121"/>
      <c r="Q1737" s="121"/>
      <c r="R1737" s="121"/>
      <c r="S1737" s="133">
        <f>M1729</f>
        <v>0</v>
      </c>
      <c r="T1737" s="120"/>
      <c r="U1737" s="121" t="s">
        <v>364</v>
      </c>
      <c r="V1737" s="133">
        <f t="shared" si="794"/>
        <v>0</v>
      </c>
      <c r="W1737" s="133">
        <f>VLOOKUP(U1737,Sheet1!$B$6:$C$45,2,FALSE)*V1737</f>
        <v>0</v>
      </c>
      <c r="X1737" s="141"/>
      <c r="Y1737" s="121" t="s">
        <v>292</v>
      </c>
      <c r="Z1737" s="146">
        <f>VLOOKUP(Takeoffs!Y1737,Sheet1!$B$6:$C$124,2,FALSE)</f>
        <v>0</v>
      </c>
      <c r="AA1737" s="146">
        <f t="shared" si="795"/>
        <v>0</v>
      </c>
      <c r="AB1737" s="143">
        <f t="shared" si="796"/>
        <v>0</v>
      </c>
      <c r="AC1737" s="133">
        <f t="shared" si="797"/>
        <v>0</v>
      </c>
      <c r="AD1737" s="142">
        <v>1</v>
      </c>
      <c r="AE1737" s="141"/>
      <c r="AF1737" s="121" t="s">
        <v>292</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292</v>
      </c>
      <c r="V1738" s="133">
        <f t="shared" si="794"/>
        <v>0</v>
      </c>
      <c r="W1738" s="133">
        <f>VLOOKUP(U1738,Sheet1!$B$6:$C$45,2,FALSE)*V1738</f>
        <v>0</v>
      </c>
      <c r="X1738" s="141"/>
      <c r="Y1738" s="121" t="s">
        <v>292</v>
      </c>
      <c r="Z1738" s="146">
        <f>VLOOKUP(Takeoffs!Y1738,Sheet1!$B$6:$C$124,2,FALSE)</f>
        <v>0</v>
      </c>
      <c r="AA1738" s="146">
        <f t="shared" si="795"/>
        <v>0</v>
      </c>
      <c r="AB1738" s="143">
        <f t="shared" si="796"/>
        <v>0</v>
      </c>
      <c r="AC1738" s="133">
        <f t="shared" si="797"/>
        <v>0</v>
      </c>
      <c r="AD1738" s="142">
        <v>1</v>
      </c>
      <c r="AE1738" s="141"/>
      <c r="AF1738" s="121" t="s">
        <v>292</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292</v>
      </c>
      <c r="V1739" s="133">
        <f t="shared" si="794"/>
        <v>0</v>
      </c>
      <c r="W1739" s="133">
        <f>VLOOKUP(U1739,Sheet1!$B$6:$C$45,2,FALSE)*V1739</f>
        <v>0</v>
      </c>
      <c r="X1739" s="141"/>
      <c r="Y1739" s="121" t="s">
        <v>292</v>
      </c>
      <c r="Z1739" s="146">
        <f>VLOOKUP(Takeoffs!Y1739,Sheet1!$B$6:$C$124,2,FALSE)</f>
        <v>0</v>
      </c>
      <c r="AA1739" s="146">
        <f t="shared" si="795"/>
        <v>0</v>
      </c>
      <c r="AB1739" s="143">
        <f t="shared" si="796"/>
        <v>0</v>
      </c>
      <c r="AC1739" s="133">
        <f t="shared" si="797"/>
        <v>0</v>
      </c>
      <c r="AD1739" s="142">
        <v>1</v>
      </c>
      <c r="AE1739" s="141"/>
      <c r="AF1739" s="121" t="s">
        <v>292</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292</v>
      </c>
      <c r="V1740" s="133">
        <f t="shared" si="794"/>
        <v>0</v>
      </c>
      <c r="W1740" s="133">
        <f>VLOOKUP(U1740,Sheet1!$B$6:$C$45,2,FALSE)*V1740</f>
        <v>0</v>
      </c>
      <c r="X1740" s="141"/>
      <c r="Y1740" s="121" t="s">
        <v>292</v>
      </c>
      <c r="Z1740" s="146">
        <f>VLOOKUP(Takeoffs!Y1740,Sheet1!$B$6:$C$124,2,FALSE)</f>
        <v>0</v>
      </c>
      <c r="AA1740" s="146">
        <f t="shared" si="795"/>
        <v>0</v>
      </c>
      <c r="AB1740" s="143">
        <f t="shared" si="796"/>
        <v>0</v>
      </c>
      <c r="AC1740" s="133">
        <f t="shared" si="797"/>
        <v>0</v>
      </c>
      <c r="AD1740" s="142">
        <v>1</v>
      </c>
      <c r="AE1740" s="141"/>
      <c r="AF1740" s="121" t="s">
        <v>292</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292</v>
      </c>
      <c r="V1741" s="133">
        <f t="shared" si="794"/>
        <v>0</v>
      </c>
      <c r="W1741" s="133">
        <f>VLOOKUP(U1741,Sheet1!$B$6:$C$45,2,FALSE)*V1741</f>
        <v>0</v>
      </c>
      <c r="X1741" s="141"/>
      <c r="Y1741" s="121" t="s">
        <v>292</v>
      </c>
      <c r="Z1741" s="146">
        <f>VLOOKUP(Takeoffs!Y1741,Sheet1!$B$6:$C$124,2,FALSE)</f>
        <v>0</v>
      </c>
      <c r="AA1741" s="146">
        <f t="shared" si="795"/>
        <v>0</v>
      </c>
      <c r="AB1741" s="143">
        <f t="shared" si="796"/>
        <v>0</v>
      </c>
      <c r="AC1741" s="133">
        <f t="shared" si="797"/>
        <v>0</v>
      </c>
      <c r="AD1741" s="142">
        <v>1</v>
      </c>
      <c r="AE1741" s="141"/>
      <c r="AF1741" s="152" t="s">
        <v>418</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312</v>
      </c>
      <c r="P1742" s="121"/>
      <c r="Q1742" s="121"/>
      <c r="R1742" s="121"/>
      <c r="S1742" s="133">
        <f>M1729</f>
        <v>0</v>
      </c>
      <c r="T1742" s="120"/>
      <c r="U1742" s="121" t="s">
        <v>232</v>
      </c>
      <c r="V1742" s="133">
        <f t="shared" si="794"/>
        <v>0</v>
      </c>
      <c r="W1742" s="133">
        <f>VLOOKUP(U1742,Sheet1!$B$6:$C$45,2,FALSE)*V1742</f>
        <v>0</v>
      </c>
      <c r="X1742" s="141"/>
      <c r="Y1742" s="122" t="s">
        <v>1344</v>
      </c>
      <c r="Z1742" s="146">
        <f>VLOOKUP(Takeoffs!Y1742,Sheet1!$B$6:$C$124,2,FALSE)</f>
        <v>109.25999999999999</v>
      </c>
      <c r="AA1742" s="146">
        <f t="shared" si="795"/>
        <v>0</v>
      </c>
      <c r="AB1742" s="143">
        <f t="shared" si="796"/>
        <v>0</v>
      </c>
      <c r="AC1742" s="133">
        <f t="shared" si="797"/>
        <v>0</v>
      </c>
      <c r="AD1742" s="142">
        <v>1</v>
      </c>
      <c r="AE1742" s="141"/>
      <c r="AF1742" s="121" t="s">
        <v>292</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292</v>
      </c>
      <c r="V1743" s="133">
        <f t="shared" si="794"/>
        <v>0</v>
      </c>
      <c r="W1743" s="133">
        <f>VLOOKUP(U1743,Sheet1!$B$6:$C$45,2,FALSE)*V1743</f>
        <v>0</v>
      </c>
      <c r="X1743" s="141"/>
      <c r="Y1743" s="121" t="s">
        <v>292</v>
      </c>
      <c r="Z1743" s="146">
        <f>VLOOKUP(Takeoffs!Y1743,Sheet1!$B$6:$C$124,2,FALSE)</f>
        <v>0</v>
      </c>
      <c r="AA1743" s="146">
        <f t="shared" si="795"/>
        <v>0</v>
      </c>
      <c r="AB1743" s="143">
        <f t="shared" si="796"/>
        <v>0</v>
      </c>
      <c r="AC1743" s="133">
        <f t="shared" si="797"/>
        <v>0</v>
      </c>
      <c r="AD1743" s="142">
        <v>1</v>
      </c>
      <c r="AE1743" s="141"/>
      <c r="AF1743" s="121" t="s">
        <v>292</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337</v>
      </c>
      <c r="P1744" s="121"/>
      <c r="Q1744" s="121"/>
      <c r="R1744" s="121" t="s">
        <v>331</v>
      </c>
      <c r="S1744" s="133">
        <f>M1729</f>
        <v>0</v>
      </c>
      <c r="T1744" s="120"/>
      <c r="U1744" s="121" t="s">
        <v>292</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292</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508</v>
      </c>
      <c r="P1745" s="121"/>
      <c r="Q1745" s="121"/>
      <c r="R1745" s="121"/>
      <c r="S1745" s="133">
        <f>M1729</f>
        <v>0</v>
      </c>
      <c r="T1745" s="120"/>
      <c r="U1745" s="121" t="s">
        <v>292</v>
      </c>
      <c r="V1745" s="133">
        <f t="shared" si="794"/>
        <v>0</v>
      </c>
      <c r="W1745" s="133">
        <f>VLOOKUP(U1745,Sheet1!$B$6:$C$45,2,FALSE)*V1745</f>
        <v>0</v>
      </c>
      <c r="X1745" s="141"/>
      <c r="Y1745" s="135" t="s">
        <v>422</v>
      </c>
      <c r="Z1745" s="146">
        <f>VLOOKUP(Takeoffs!Y1745,Sheet1!$B$6:$C$124,2,FALSE)</f>
        <v>23.4</v>
      </c>
      <c r="AA1745" s="146">
        <f t="shared" si="795"/>
        <v>0</v>
      </c>
      <c r="AB1745" s="143">
        <f t="shared" si="796"/>
        <v>0</v>
      </c>
      <c r="AC1745" s="133">
        <f t="shared" si="797"/>
        <v>0</v>
      </c>
      <c r="AD1745" s="142">
        <v>1</v>
      </c>
      <c r="AE1745" s="141"/>
      <c r="AF1745" s="121" t="s">
        <v>292</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329</v>
      </c>
      <c r="P1746" s="121"/>
      <c r="Q1746" s="121"/>
      <c r="R1746" s="121" t="s">
        <v>304</v>
      </c>
      <c r="S1746" s="133">
        <f>M1729</f>
        <v>0</v>
      </c>
      <c r="T1746" s="120"/>
      <c r="U1746" s="121" t="s">
        <v>292</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292</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500</v>
      </c>
      <c r="P1747" s="121"/>
      <c r="Q1747" s="121"/>
      <c r="R1747" s="121"/>
      <c r="S1747" s="133">
        <f>M1729</f>
        <v>0</v>
      </c>
      <c r="T1747" s="120"/>
      <c r="U1747" s="121" t="s">
        <v>292</v>
      </c>
      <c r="V1747" s="133">
        <f t="shared" si="794"/>
        <v>0</v>
      </c>
      <c r="W1747" s="133">
        <f>VLOOKUP(U1747,Sheet1!$B$6:$C$45,2,FALSE)*V1747</f>
        <v>0</v>
      </c>
      <c r="X1747" s="141"/>
      <c r="Y1747" s="121" t="s">
        <v>292</v>
      </c>
      <c r="Z1747" s="146">
        <f>VLOOKUP(Takeoffs!Y1747,Sheet1!$B$6:$C$124,2,FALSE)</f>
        <v>0</v>
      </c>
      <c r="AA1747" s="146">
        <f t="shared" si="795"/>
        <v>0</v>
      </c>
      <c r="AB1747" s="143">
        <f t="shared" si="796"/>
        <v>0</v>
      </c>
      <c r="AC1747" s="133">
        <f t="shared" si="797"/>
        <v>0</v>
      </c>
      <c r="AD1747" s="142">
        <v>1</v>
      </c>
      <c r="AE1747" s="141"/>
      <c r="AF1747" s="121" t="s">
        <v>292</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407</v>
      </c>
      <c r="P1748" s="121"/>
      <c r="Q1748" s="121"/>
      <c r="R1748" s="121"/>
      <c r="S1748" s="133">
        <f>M1729</f>
        <v>0</v>
      </c>
      <c r="T1748" s="120"/>
      <c r="U1748" s="121" t="s">
        <v>292</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292</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408</v>
      </c>
      <c r="P1749" s="121"/>
      <c r="Q1749" s="121"/>
      <c r="R1749" s="121"/>
      <c r="S1749" s="133">
        <f>M1729</f>
        <v>0</v>
      </c>
      <c r="T1749" s="120"/>
      <c r="U1749" s="121" t="s">
        <v>362</v>
      </c>
      <c r="V1749" s="133">
        <f t="shared" si="794"/>
        <v>0</v>
      </c>
      <c r="W1749" s="133">
        <f>VLOOKUP(U1749,Sheet1!$B$6:$C$45,2,FALSE)*V1749</f>
        <v>0</v>
      </c>
      <c r="X1749" s="141"/>
      <c r="Y1749" s="121" t="s">
        <v>292</v>
      </c>
      <c r="Z1749" s="146">
        <f>VLOOKUP(Takeoffs!Y1749,Sheet1!$B$6:$C$124,2,FALSE)</f>
        <v>0</v>
      </c>
      <c r="AA1749" s="146">
        <f t="shared" si="795"/>
        <v>0</v>
      </c>
      <c r="AB1749" s="143">
        <f t="shared" si="796"/>
        <v>0</v>
      </c>
      <c r="AC1749" s="133">
        <f t="shared" si="797"/>
        <v>0</v>
      </c>
      <c r="AD1749" s="142">
        <v>1</v>
      </c>
      <c r="AE1749" s="141"/>
      <c r="AF1749" s="121" t="s">
        <v>292</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377</v>
      </c>
      <c r="L1750" s="128" t="s">
        <v>378</v>
      </c>
      <c r="N1750" s="129"/>
      <c r="O1750" s="130" t="s">
        <v>357</v>
      </c>
      <c r="P1750" s="131">
        <f>V1750+AA1750+AH1750</f>
        <v>0</v>
      </c>
      <c r="Q1750" s="131"/>
      <c r="R1750" s="131"/>
      <c r="S1750" s="130"/>
      <c r="T1750" s="127"/>
      <c r="U1750" s="126" t="s">
        <v>351</v>
      </c>
      <c r="V1750" s="127">
        <f>W1750*80</f>
        <v>0</v>
      </c>
      <c r="W1750" s="147">
        <f>SUM(W1729:W1749)</f>
        <v>0</v>
      </c>
      <c r="X1750" s="148"/>
      <c r="Y1750" s="127" t="s">
        <v>352</v>
      </c>
      <c r="Z1750" s="116"/>
      <c r="AA1750" s="116">
        <f>SUM(AA1729:AA1749)</f>
        <v>0</v>
      </c>
      <c r="AB1750" s="149"/>
      <c r="AC1750" s="149"/>
      <c r="AD1750" s="149"/>
      <c r="AE1750" s="149"/>
      <c r="AF1750" s="127" t="s">
        <v>356</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hidden="1" x14ac:dyDescent="0.8">
      <c r="A1751" s="262">
        <f>ROW()</f>
        <v>1751</v>
      </c>
      <c r="B1751" s="234" t="s">
        <v>491</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367</v>
      </c>
      <c r="N1751" s="160" t="str">
        <f>N1729</f>
        <v>Small DOL pump - from MSSB power supply and BMS interface provisions</v>
      </c>
      <c r="O1751" s="160" t="s">
        <v>365</v>
      </c>
      <c r="P1751" s="64" t="e">
        <f>P1750/M1729</f>
        <v>#DIV/0!</v>
      </c>
      <c r="Q1751" s="161"/>
      <c r="R1751" s="161"/>
      <c r="S1751" s="160"/>
      <c r="T1751" s="161"/>
      <c r="U1751" s="571" t="s">
        <v>366</v>
      </c>
      <c r="V1751" s="571"/>
      <c r="W1751" s="162" t="e">
        <f>W1750/M1729</f>
        <v>#DIV/0!</v>
      </c>
      <c r="X1751" s="163"/>
      <c r="Y1751" s="570" t="s">
        <v>365</v>
      </c>
      <c r="Z1751" s="570"/>
      <c r="AA1751" s="164" t="e">
        <f>AA1750/M1729</f>
        <v>#DIV/0!</v>
      </c>
      <c r="AB1751" s="161"/>
      <c r="AC1751" s="161"/>
      <c r="AD1751" s="161"/>
      <c r="AE1751" s="161"/>
      <c r="AF1751" s="570" t="s">
        <v>365</v>
      </c>
      <c r="AG1751" s="570"/>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452</v>
      </c>
      <c r="M1752" s="116" t="s">
        <v>107</v>
      </c>
      <c r="N1752" s="116" t="s">
        <v>108</v>
      </c>
      <c r="O1752" s="170" t="s">
        <v>386</v>
      </c>
      <c r="P1752" s="572" t="s">
        <v>375</v>
      </c>
      <c r="Q1752" s="572"/>
      <c r="R1752" s="101" t="s">
        <v>452</v>
      </c>
      <c r="S1752" s="116" t="s">
        <v>0</v>
      </c>
      <c r="T1752" s="118"/>
      <c r="U1752" s="116" t="s">
        <v>287</v>
      </c>
      <c r="V1752" s="116" t="s">
        <v>288</v>
      </c>
      <c r="W1752" s="116" t="s">
        <v>291</v>
      </c>
      <c r="X1752" s="140"/>
      <c r="Y1752" s="116" t="s">
        <v>289</v>
      </c>
      <c r="Z1752" s="116" t="s">
        <v>354</v>
      </c>
      <c r="AA1752" s="116" t="s">
        <v>355</v>
      </c>
      <c r="AB1752" s="116" t="s">
        <v>317</v>
      </c>
      <c r="AC1752" s="116" t="s">
        <v>318</v>
      </c>
      <c r="AD1752" s="116" t="s">
        <v>316</v>
      </c>
      <c r="AE1752" s="140"/>
      <c r="AF1752" s="116" t="s">
        <v>293</v>
      </c>
      <c r="AG1752" s="116" t="s">
        <v>354</v>
      </c>
      <c r="AH1752" s="116" t="s">
        <v>355</v>
      </c>
      <c r="AI1752" s="116" t="s">
        <v>296</v>
      </c>
      <c r="AJ1752" s="116" t="s">
        <v>294</v>
      </c>
      <c r="AK1752" s="116" t="s">
        <v>295</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559</v>
      </c>
      <c r="O1753" s="121" t="s">
        <v>488</v>
      </c>
      <c r="P1753" s="169" t="s">
        <v>379</v>
      </c>
      <c r="Q1753" s="169" t="s">
        <v>375</v>
      </c>
      <c r="R1753" s="169"/>
      <c r="S1753" s="133">
        <f>M1753</f>
        <v>0</v>
      </c>
      <c r="T1753" s="119"/>
      <c r="U1753" s="121" t="s">
        <v>292</v>
      </c>
      <c r="V1753" s="133">
        <f>S1753</f>
        <v>0</v>
      </c>
      <c r="W1753" s="133">
        <f>VLOOKUP(U1753,Sheet1!$B$6:$C$45,2,FALSE)*V1753</f>
        <v>0</v>
      </c>
      <c r="X1753" s="141"/>
      <c r="Y1753" s="121" t="s">
        <v>292</v>
      </c>
      <c r="Z1753" s="146">
        <f>VLOOKUP(Takeoffs!Y1753,Sheet1!$B$6:$C$124,2,FALSE)</f>
        <v>0</v>
      </c>
      <c r="AA1753" s="146">
        <f>Z1753*AB1753</f>
        <v>0</v>
      </c>
      <c r="AB1753" s="143">
        <f>AD1753*AC1753</f>
        <v>0</v>
      </c>
      <c r="AC1753" s="133">
        <f>S1753</f>
        <v>0</v>
      </c>
      <c r="AD1753" s="142">
        <v>1</v>
      </c>
      <c r="AE1753" s="141"/>
      <c r="AF1753" s="121" t="s">
        <v>292</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340</v>
      </c>
      <c r="P1754" s="121"/>
      <c r="Q1754" s="121"/>
      <c r="R1754" s="121"/>
      <c r="S1754" s="133">
        <f>M1753</f>
        <v>0</v>
      </c>
      <c r="T1754" s="120"/>
      <c r="U1754" s="121" t="s">
        <v>292</v>
      </c>
      <c r="V1754" s="133">
        <f t="shared" ref="V1754:V1773" si="808">S1754</f>
        <v>0</v>
      </c>
      <c r="W1754" s="133">
        <f>VLOOKUP(U1754,Sheet1!$B$6:$C$45,2,FALSE)*V1754</f>
        <v>0</v>
      </c>
      <c r="X1754" s="141"/>
      <c r="Y1754" s="121" t="s">
        <v>292</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292</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308</v>
      </c>
      <c r="P1755" s="121"/>
      <c r="Q1755" s="121"/>
      <c r="R1755" s="121"/>
      <c r="S1755" s="133">
        <f>M1753</f>
        <v>0</v>
      </c>
      <c r="T1755" s="120"/>
      <c r="U1755" s="121" t="s">
        <v>292</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305</v>
      </c>
      <c r="P1756" s="121"/>
      <c r="Q1756" s="121"/>
      <c r="R1756" s="121"/>
      <c r="S1756" s="133">
        <f>M1753</f>
        <v>0</v>
      </c>
      <c r="T1756" s="120"/>
      <c r="U1756" s="117" t="s">
        <v>478</v>
      </c>
      <c r="V1756" s="133">
        <f t="shared" si="808"/>
        <v>0</v>
      </c>
      <c r="W1756" s="133">
        <f>VLOOKUP(U1756,Sheet1!$B$6:$C$45,2,FALSE)*V1756</f>
        <v>0</v>
      </c>
      <c r="X1756" s="141"/>
      <c r="Y1756" s="121" t="s">
        <v>292</v>
      </c>
      <c r="Z1756" s="146">
        <f>VLOOKUP(Takeoffs!Y1756,Sheet1!$B$6:$C$124,2,FALSE)</f>
        <v>0</v>
      </c>
      <c r="AA1756" s="146">
        <f t="shared" si="809"/>
        <v>0</v>
      </c>
      <c r="AB1756" s="143">
        <f t="shared" si="810"/>
        <v>0</v>
      </c>
      <c r="AC1756" s="133">
        <f t="shared" ref="AC1756:AC1773" si="815">S1756</f>
        <v>0</v>
      </c>
      <c r="AD1756" s="142">
        <v>1</v>
      </c>
      <c r="AE1756" s="141"/>
      <c r="AF1756" s="121" t="s">
        <v>292</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323</v>
      </c>
      <c r="P1757" s="121"/>
      <c r="Q1757" s="121"/>
      <c r="R1757" s="121"/>
      <c r="S1757" s="133">
        <f>M1753</f>
        <v>0</v>
      </c>
      <c r="T1757" s="120"/>
      <c r="U1757" s="121" t="s">
        <v>235</v>
      </c>
      <c r="V1757" s="133">
        <f t="shared" si="808"/>
        <v>0</v>
      </c>
      <c r="W1757" s="133">
        <f>VLOOKUP(U1757,Sheet1!$B$6:$C$45,2,FALSE)*V1757</f>
        <v>0</v>
      </c>
      <c r="X1757" s="141"/>
      <c r="Y1757" s="135" t="s">
        <v>490</v>
      </c>
      <c r="Z1757" s="146">
        <f>VLOOKUP(Takeoffs!Y1757,Sheet1!$B$6:$C$124,2,FALSE)</f>
        <v>1226.28</v>
      </c>
      <c r="AA1757" s="146">
        <f t="shared" si="809"/>
        <v>0</v>
      </c>
      <c r="AB1757" s="143">
        <f t="shared" si="810"/>
        <v>0</v>
      </c>
      <c r="AC1757" s="133">
        <f t="shared" si="815"/>
        <v>0</v>
      </c>
      <c r="AD1757" s="142">
        <v>1</v>
      </c>
      <c r="AE1757" s="141"/>
      <c r="AF1757" s="121" t="s">
        <v>292</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390</v>
      </c>
      <c r="P1758" s="121"/>
      <c r="Q1758" s="121"/>
      <c r="R1758" s="121"/>
      <c r="S1758" s="133">
        <f>M1753</f>
        <v>0</v>
      </c>
      <c r="T1758" s="120"/>
      <c r="U1758" s="121" t="s">
        <v>292</v>
      </c>
      <c r="V1758" s="133">
        <f t="shared" si="808"/>
        <v>0</v>
      </c>
      <c r="W1758" s="133">
        <f>VLOOKUP(U1758,Sheet1!$B$6:$C$45,2,FALSE)*V1758</f>
        <v>0</v>
      </c>
      <c r="X1758" s="141"/>
      <c r="Y1758" s="121" t="s">
        <v>292</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309</v>
      </c>
      <c r="P1759" s="121"/>
      <c r="Q1759" s="121"/>
      <c r="R1759" s="121"/>
      <c r="S1759" s="133">
        <f>M1753</f>
        <v>0</v>
      </c>
      <c r="T1759" s="120"/>
      <c r="U1759" s="121" t="s">
        <v>292</v>
      </c>
      <c r="V1759" s="133">
        <f t="shared" si="808"/>
        <v>0</v>
      </c>
      <c r="W1759" s="133">
        <f>VLOOKUP(U1759,Sheet1!$B$6:$C$45,2,FALSE)*V1759</f>
        <v>0</v>
      </c>
      <c r="X1759" s="141"/>
      <c r="Y1759" s="121" t="s">
        <v>292</v>
      </c>
      <c r="Z1759" s="146">
        <f>VLOOKUP(Takeoffs!Y1759,Sheet1!$B$6:$C$124,2,FALSE)</f>
        <v>0</v>
      </c>
      <c r="AA1759" s="146">
        <f t="shared" si="809"/>
        <v>0</v>
      </c>
      <c r="AB1759" s="143">
        <f t="shared" si="810"/>
        <v>0</v>
      </c>
      <c r="AC1759" s="133">
        <f t="shared" si="815"/>
        <v>0</v>
      </c>
      <c r="AD1759" s="142">
        <v>1</v>
      </c>
      <c r="AE1759" s="141"/>
      <c r="AF1759" s="121" t="s">
        <v>292</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292</v>
      </c>
      <c r="V1760" s="133">
        <f t="shared" si="808"/>
        <v>0</v>
      </c>
      <c r="W1760" s="133">
        <f>VLOOKUP(U1760,Sheet1!$B$6:$C$45,2,FALSE)*V1760</f>
        <v>0</v>
      </c>
      <c r="X1760" s="141"/>
      <c r="Y1760" s="121" t="s">
        <v>292</v>
      </c>
      <c r="Z1760" s="146">
        <f>VLOOKUP(Takeoffs!Y1760,Sheet1!$B$6:$C$124,2,FALSE)</f>
        <v>0</v>
      </c>
      <c r="AA1760" s="146">
        <f t="shared" si="809"/>
        <v>0</v>
      </c>
      <c r="AB1760" s="143">
        <f t="shared" si="810"/>
        <v>0</v>
      </c>
      <c r="AC1760" s="133">
        <f t="shared" si="815"/>
        <v>0</v>
      </c>
      <c r="AD1760" s="142">
        <v>1</v>
      </c>
      <c r="AE1760" s="141"/>
      <c r="AF1760" s="121" t="s">
        <v>292</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328</v>
      </c>
      <c r="P1761" s="121"/>
      <c r="Q1761" s="121"/>
      <c r="R1761" s="121"/>
      <c r="S1761" s="133">
        <f>M1753</f>
        <v>0</v>
      </c>
      <c r="T1761" s="120"/>
      <c r="U1761" s="121" t="s">
        <v>364</v>
      </c>
      <c r="V1761" s="133">
        <f t="shared" si="808"/>
        <v>0</v>
      </c>
      <c r="W1761" s="133">
        <f>VLOOKUP(U1761,Sheet1!$B$6:$C$45,2,FALSE)*V1761</f>
        <v>0</v>
      </c>
      <c r="X1761" s="141"/>
      <c r="Y1761" s="121" t="s">
        <v>292</v>
      </c>
      <c r="Z1761" s="146">
        <f>VLOOKUP(Takeoffs!Y1761,Sheet1!$B$6:$C$124,2,FALSE)</f>
        <v>0</v>
      </c>
      <c r="AA1761" s="146">
        <f t="shared" si="809"/>
        <v>0</v>
      </c>
      <c r="AB1761" s="143">
        <f t="shared" si="810"/>
        <v>0</v>
      </c>
      <c r="AC1761" s="133">
        <f t="shared" si="815"/>
        <v>0</v>
      </c>
      <c r="AD1761" s="142">
        <v>1</v>
      </c>
      <c r="AE1761" s="141"/>
      <c r="AF1761" s="121" t="s">
        <v>292</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292</v>
      </c>
      <c r="V1762" s="133">
        <f t="shared" si="808"/>
        <v>0</v>
      </c>
      <c r="W1762" s="133">
        <f>VLOOKUP(U1762,Sheet1!$B$6:$C$45,2,FALSE)*V1762</f>
        <v>0</v>
      </c>
      <c r="X1762" s="141"/>
      <c r="Y1762" s="121" t="s">
        <v>292</v>
      </c>
      <c r="Z1762" s="146">
        <f>VLOOKUP(Takeoffs!Y1762,Sheet1!$B$6:$C$124,2,FALSE)</f>
        <v>0</v>
      </c>
      <c r="AA1762" s="146">
        <f t="shared" si="809"/>
        <v>0</v>
      </c>
      <c r="AB1762" s="143">
        <f t="shared" si="810"/>
        <v>0</v>
      </c>
      <c r="AC1762" s="133">
        <f t="shared" si="815"/>
        <v>0</v>
      </c>
      <c r="AD1762" s="142">
        <v>1</v>
      </c>
      <c r="AE1762" s="141"/>
      <c r="AF1762" s="121" t="s">
        <v>292</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292</v>
      </c>
      <c r="V1763" s="133">
        <f t="shared" si="808"/>
        <v>0</v>
      </c>
      <c r="W1763" s="133">
        <f>VLOOKUP(U1763,Sheet1!$B$6:$C$45,2,FALSE)*V1763</f>
        <v>0</v>
      </c>
      <c r="X1763" s="141"/>
      <c r="Y1763" s="121" t="s">
        <v>292</v>
      </c>
      <c r="Z1763" s="146">
        <f>VLOOKUP(Takeoffs!Y1763,Sheet1!$B$6:$C$124,2,FALSE)</f>
        <v>0</v>
      </c>
      <c r="AA1763" s="146">
        <f t="shared" si="809"/>
        <v>0</v>
      </c>
      <c r="AB1763" s="143">
        <f t="shared" si="810"/>
        <v>0</v>
      </c>
      <c r="AC1763" s="133">
        <f t="shared" si="815"/>
        <v>0</v>
      </c>
      <c r="AD1763" s="142">
        <v>1</v>
      </c>
      <c r="AE1763" s="141"/>
      <c r="AF1763" s="121" t="s">
        <v>292</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292</v>
      </c>
      <c r="V1764" s="133">
        <f t="shared" si="808"/>
        <v>0</v>
      </c>
      <c r="W1764" s="133">
        <f>VLOOKUP(U1764,Sheet1!$B$6:$C$45,2,FALSE)*V1764</f>
        <v>0</v>
      </c>
      <c r="X1764" s="141"/>
      <c r="Y1764" s="121" t="s">
        <v>292</v>
      </c>
      <c r="Z1764" s="146">
        <f>VLOOKUP(Takeoffs!Y1764,Sheet1!$B$6:$C$124,2,FALSE)</f>
        <v>0</v>
      </c>
      <c r="AA1764" s="146">
        <f t="shared" si="809"/>
        <v>0</v>
      </c>
      <c r="AB1764" s="143">
        <f t="shared" si="810"/>
        <v>0</v>
      </c>
      <c r="AC1764" s="133">
        <f t="shared" si="815"/>
        <v>0</v>
      </c>
      <c r="AD1764" s="142">
        <v>1</v>
      </c>
      <c r="AE1764" s="141"/>
      <c r="AF1764" s="121" t="s">
        <v>292</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292</v>
      </c>
      <c r="V1765" s="133">
        <f t="shared" si="808"/>
        <v>0</v>
      </c>
      <c r="W1765" s="133">
        <f>VLOOKUP(U1765,Sheet1!$B$6:$C$45,2,FALSE)*V1765</f>
        <v>0</v>
      </c>
      <c r="X1765" s="141"/>
      <c r="Y1765" s="121" t="s">
        <v>292</v>
      </c>
      <c r="Z1765" s="146">
        <f>VLOOKUP(Takeoffs!Y1765,Sheet1!$B$6:$C$124,2,FALSE)</f>
        <v>0</v>
      </c>
      <c r="AA1765" s="146">
        <f t="shared" si="809"/>
        <v>0</v>
      </c>
      <c r="AB1765" s="143">
        <f t="shared" si="810"/>
        <v>0</v>
      </c>
      <c r="AC1765" s="133">
        <f t="shared" si="815"/>
        <v>0</v>
      </c>
      <c r="AD1765" s="142">
        <v>1</v>
      </c>
      <c r="AE1765" s="141"/>
      <c r="AF1765" s="152" t="s">
        <v>418</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312</v>
      </c>
      <c r="P1766" s="121"/>
      <c r="Q1766" s="121"/>
      <c r="R1766" s="121"/>
      <c r="S1766" s="133">
        <f>M1753</f>
        <v>0</v>
      </c>
      <c r="T1766" s="120"/>
      <c r="U1766" s="121" t="s">
        <v>232</v>
      </c>
      <c r="V1766" s="133">
        <f t="shared" si="808"/>
        <v>0</v>
      </c>
      <c r="W1766" s="133">
        <f>VLOOKUP(U1766,Sheet1!$B$6:$C$45,2,FALSE)*V1766</f>
        <v>0</v>
      </c>
      <c r="X1766" s="141"/>
      <c r="Y1766" s="122" t="s">
        <v>1344</v>
      </c>
      <c r="Z1766" s="146">
        <f>VLOOKUP(Takeoffs!Y1766,Sheet1!$B$6:$C$124,2,FALSE)</f>
        <v>109.25999999999999</v>
      </c>
      <c r="AA1766" s="146">
        <f t="shared" si="809"/>
        <v>0</v>
      </c>
      <c r="AB1766" s="143">
        <f t="shared" si="810"/>
        <v>0</v>
      </c>
      <c r="AC1766" s="133">
        <f t="shared" si="815"/>
        <v>0</v>
      </c>
      <c r="AD1766" s="142">
        <v>1</v>
      </c>
      <c r="AE1766" s="141"/>
      <c r="AF1766" s="121" t="s">
        <v>292</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292</v>
      </c>
      <c r="V1767" s="133">
        <f t="shared" si="808"/>
        <v>0</v>
      </c>
      <c r="W1767" s="133">
        <f>VLOOKUP(U1767,Sheet1!$B$6:$C$45,2,FALSE)*V1767</f>
        <v>0</v>
      </c>
      <c r="X1767" s="141"/>
      <c r="Y1767" s="121" t="s">
        <v>292</v>
      </c>
      <c r="Z1767" s="146">
        <f>VLOOKUP(Takeoffs!Y1767,Sheet1!$B$6:$C$124,2,FALSE)</f>
        <v>0</v>
      </c>
      <c r="AA1767" s="146">
        <f t="shared" si="809"/>
        <v>0</v>
      </c>
      <c r="AB1767" s="143">
        <f t="shared" si="810"/>
        <v>0</v>
      </c>
      <c r="AC1767" s="133">
        <f t="shared" si="815"/>
        <v>0</v>
      </c>
      <c r="AD1767" s="142">
        <v>1</v>
      </c>
      <c r="AE1767" s="141"/>
      <c r="AF1767" s="121" t="s">
        <v>292</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337</v>
      </c>
      <c r="P1768" s="121"/>
      <c r="Q1768" s="121"/>
      <c r="R1768" s="121" t="s">
        <v>331</v>
      </c>
      <c r="S1768" s="133">
        <f>M1753</f>
        <v>0</v>
      </c>
      <c r="T1768" s="120"/>
      <c r="U1768" s="121" t="s">
        <v>292</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292</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508</v>
      </c>
      <c r="P1769" s="121"/>
      <c r="Q1769" s="121"/>
      <c r="R1769" s="121"/>
      <c r="S1769" s="133">
        <f>M1753</f>
        <v>0</v>
      </c>
      <c r="T1769" s="120"/>
      <c r="U1769" s="121" t="s">
        <v>292</v>
      </c>
      <c r="V1769" s="133">
        <f t="shared" si="808"/>
        <v>0</v>
      </c>
      <c r="W1769" s="133">
        <f>VLOOKUP(U1769,Sheet1!$B$6:$C$45,2,FALSE)*V1769</f>
        <v>0</v>
      </c>
      <c r="X1769" s="141"/>
      <c r="Y1769" s="135" t="s">
        <v>422</v>
      </c>
      <c r="Z1769" s="146">
        <f>VLOOKUP(Takeoffs!Y1769,Sheet1!$B$6:$C$124,2,FALSE)</f>
        <v>23.4</v>
      </c>
      <c r="AA1769" s="146">
        <f t="shared" si="809"/>
        <v>0</v>
      </c>
      <c r="AB1769" s="143">
        <f t="shared" si="810"/>
        <v>0</v>
      </c>
      <c r="AC1769" s="133">
        <f t="shared" si="815"/>
        <v>0</v>
      </c>
      <c r="AD1769" s="142">
        <v>1</v>
      </c>
      <c r="AE1769" s="141"/>
      <c r="AF1769" s="121" t="s">
        <v>292</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329</v>
      </c>
      <c r="P1770" s="121"/>
      <c r="Q1770" s="121"/>
      <c r="R1770" s="121" t="s">
        <v>304</v>
      </c>
      <c r="S1770" s="133">
        <f>M1753</f>
        <v>0</v>
      </c>
      <c r="T1770" s="120"/>
      <c r="U1770" s="121" t="s">
        <v>292</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292</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500</v>
      </c>
      <c r="P1771" s="121"/>
      <c r="Q1771" s="121"/>
      <c r="R1771" s="121"/>
      <c r="S1771" s="133">
        <f>M1753</f>
        <v>0</v>
      </c>
      <c r="T1771" s="120"/>
      <c r="U1771" s="121" t="s">
        <v>292</v>
      </c>
      <c r="V1771" s="133">
        <f t="shared" si="808"/>
        <v>0</v>
      </c>
      <c r="W1771" s="133">
        <f>VLOOKUP(U1771,Sheet1!$B$6:$C$45,2,FALSE)*V1771</f>
        <v>0</v>
      </c>
      <c r="X1771" s="141"/>
      <c r="Y1771" s="121" t="s">
        <v>292</v>
      </c>
      <c r="Z1771" s="146">
        <f>VLOOKUP(Takeoffs!Y1771,Sheet1!$B$6:$C$124,2,FALSE)</f>
        <v>0</v>
      </c>
      <c r="AA1771" s="146">
        <f t="shared" si="809"/>
        <v>0</v>
      </c>
      <c r="AB1771" s="143">
        <f t="shared" si="810"/>
        <v>0</v>
      </c>
      <c r="AC1771" s="133">
        <f t="shared" si="815"/>
        <v>0</v>
      </c>
      <c r="AD1771" s="142">
        <v>1</v>
      </c>
      <c r="AE1771" s="141"/>
      <c r="AF1771" s="121" t="s">
        <v>292</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407</v>
      </c>
      <c r="P1772" s="121"/>
      <c r="Q1772" s="121"/>
      <c r="R1772" s="121"/>
      <c r="S1772" s="133">
        <f>M1753</f>
        <v>0</v>
      </c>
      <c r="T1772" s="120"/>
      <c r="U1772" s="121" t="s">
        <v>292</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292</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408</v>
      </c>
      <c r="P1773" s="121"/>
      <c r="Q1773" s="121"/>
      <c r="R1773" s="121"/>
      <c r="S1773" s="133">
        <f>M1753</f>
        <v>0</v>
      </c>
      <c r="T1773" s="120"/>
      <c r="U1773" s="121" t="s">
        <v>362</v>
      </c>
      <c r="V1773" s="133">
        <f t="shared" si="808"/>
        <v>0</v>
      </c>
      <c r="W1773" s="133">
        <f>VLOOKUP(U1773,Sheet1!$B$6:$C$45,2,FALSE)*V1773</f>
        <v>0</v>
      </c>
      <c r="X1773" s="141"/>
      <c r="Y1773" s="121" t="s">
        <v>292</v>
      </c>
      <c r="Z1773" s="146">
        <f>VLOOKUP(Takeoffs!Y1773,Sheet1!$B$6:$C$124,2,FALSE)</f>
        <v>0</v>
      </c>
      <c r="AA1773" s="146">
        <f t="shared" si="809"/>
        <v>0</v>
      </c>
      <c r="AB1773" s="143">
        <f t="shared" si="810"/>
        <v>0</v>
      </c>
      <c r="AC1773" s="133">
        <f t="shared" si="815"/>
        <v>0</v>
      </c>
      <c r="AD1773" s="142">
        <v>1</v>
      </c>
      <c r="AE1773" s="141"/>
      <c r="AF1773" s="121" t="s">
        <v>292</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377</v>
      </c>
      <c r="L1774" s="128" t="s">
        <v>378</v>
      </c>
      <c r="N1774" s="129"/>
      <c r="O1774" s="130" t="s">
        <v>357</v>
      </c>
      <c r="P1774" s="131">
        <f>V1774+AA1774+AH1774</f>
        <v>0</v>
      </c>
      <c r="Q1774" s="131"/>
      <c r="R1774" s="131"/>
      <c r="S1774" s="130"/>
      <c r="T1774" s="127"/>
      <c r="U1774" s="126" t="s">
        <v>351</v>
      </c>
      <c r="V1774" s="127">
        <f>W1774*80</f>
        <v>0</v>
      </c>
      <c r="W1774" s="147">
        <f>SUM(W1753:W1773)</f>
        <v>0</v>
      </c>
      <c r="X1774" s="148"/>
      <c r="Y1774" s="127" t="s">
        <v>352</v>
      </c>
      <c r="Z1774" s="116"/>
      <c r="AA1774" s="116">
        <f>SUM(AA1753:AA1773)</f>
        <v>0</v>
      </c>
      <c r="AB1774" s="149"/>
      <c r="AC1774" s="149"/>
      <c r="AD1774" s="149"/>
      <c r="AE1774" s="149"/>
      <c r="AF1774" s="127" t="s">
        <v>356</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hidden="1" x14ac:dyDescent="0.8">
      <c r="A1775" s="262">
        <f>ROW()</f>
        <v>1775</v>
      </c>
      <c r="B1775" s="234" t="s">
        <v>491</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367</v>
      </c>
      <c r="N1775" s="160" t="str">
        <f>N1753</f>
        <v>Medium VSD pump - from MSSB power supply and BMS interface provisions</v>
      </c>
      <c r="O1775" s="160" t="s">
        <v>365</v>
      </c>
      <c r="P1775" s="64" t="e">
        <f>P1774/M1753</f>
        <v>#DIV/0!</v>
      </c>
      <c r="Q1775" s="161"/>
      <c r="R1775" s="161"/>
      <c r="S1775" s="160"/>
      <c r="T1775" s="161"/>
      <c r="U1775" s="571" t="s">
        <v>366</v>
      </c>
      <c r="V1775" s="571"/>
      <c r="W1775" s="162" t="e">
        <f>W1774/M1753</f>
        <v>#DIV/0!</v>
      </c>
      <c r="X1775" s="163"/>
      <c r="Y1775" s="570" t="s">
        <v>365</v>
      </c>
      <c r="Z1775" s="570"/>
      <c r="AA1775" s="164" t="e">
        <f>AA1774/M1753</f>
        <v>#DIV/0!</v>
      </c>
      <c r="AB1775" s="161"/>
      <c r="AC1775" s="161"/>
      <c r="AD1775" s="161"/>
      <c r="AE1775" s="161"/>
      <c r="AF1775" s="570" t="s">
        <v>365</v>
      </c>
      <c r="AG1775" s="570"/>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hidden="1" x14ac:dyDescent="1.2">
      <c r="A1776" s="262">
        <f>ROW()</f>
        <v>1776</v>
      </c>
      <c r="B1776" s="261" t="s">
        <v>491</v>
      </c>
      <c r="D1776" s="261" t="str">
        <f>IF(B1776="Shopping List",IF(ISNUMBER(SEARCH("MSSB",C1776)),"MSSB",IF(ISNUMBER(SEARCH("local",C1776)),"LOCAL","")))</f>
        <v/>
      </c>
      <c r="I1776" s="269">
        <f>SUM(I1800:I1896)</f>
        <v>0</v>
      </c>
      <c r="J1776" s="261" t="s">
        <v>495</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452</v>
      </c>
      <c r="M1777" s="116" t="s">
        <v>107</v>
      </c>
      <c r="N1777" s="116" t="s">
        <v>108</v>
      </c>
      <c r="O1777" s="170" t="s">
        <v>386</v>
      </c>
      <c r="P1777" s="572" t="s">
        <v>375</v>
      </c>
      <c r="Q1777" s="572"/>
      <c r="R1777" s="101" t="s">
        <v>452</v>
      </c>
      <c r="S1777" s="116" t="s">
        <v>0</v>
      </c>
      <c r="T1777" s="118"/>
      <c r="U1777" s="116" t="s">
        <v>287</v>
      </c>
      <c r="V1777" s="116" t="s">
        <v>288</v>
      </c>
      <c r="W1777" s="116" t="s">
        <v>291</v>
      </c>
      <c r="X1777" s="140"/>
      <c r="Y1777" s="116" t="s">
        <v>289</v>
      </c>
      <c r="Z1777" s="116" t="s">
        <v>354</v>
      </c>
      <c r="AA1777" s="116" t="s">
        <v>355</v>
      </c>
      <c r="AB1777" s="116" t="s">
        <v>317</v>
      </c>
      <c r="AC1777" s="116" t="s">
        <v>318</v>
      </c>
      <c r="AD1777" s="116" t="s">
        <v>316</v>
      </c>
      <c r="AE1777" s="140"/>
      <c r="AF1777" s="116" t="s">
        <v>293</v>
      </c>
      <c r="AG1777" s="116" t="s">
        <v>354</v>
      </c>
      <c r="AH1777" s="116" t="s">
        <v>355</v>
      </c>
      <c r="AI1777" s="116" t="s">
        <v>296</v>
      </c>
      <c r="AJ1777" s="116" t="s">
        <v>294</v>
      </c>
      <c r="AK1777" s="116" t="s">
        <v>295</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568</v>
      </c>
      <c r="O1778" s="121" t="s">
        <v>347</v>
      </c>
      <c r="P1778" s="169" t="s">
        <v>379</v>
      </c>
      <c r="Q1778" s="169" t="s">
        <v>375</v>
      </c>
      <c r="R1778" s="169"/>
      <c r="S1778" s="133">
        <f>M1778</f>
        <v>0</v>
      </c>
      <c r="T1778" s="119"/>
      <c r="U1778" s="153" t="s">
        <v>292</v>
      </c>
      <c r="V1778" s="133">
        <f>S1778</f>
        <v>0</v>
      </c>
      <c r="W1778" s="133">
        <f>VLOOKUP(U1778,Sheet1!$B$6:$C$45,2,FALSE)*V1778</f>
        <v>0</v>
      </c>
      <c r="X1778" s="141"/>
      <c r="Y1778" s="121" t="s">
        <v>292</v>
      </c>
      <c r="Z1778" s="146">
        <f>VLOOKUP(Takeoffs!Y1778,Sheet1!$B$6:$C$124,2,FALSE)</f>
        <v>0</v>
      </c>
      <c r="AA1778" s="146">
        <f>Z1778*AB1778</f>
        <v>0</v>
      </c>
      <c r="AB1778" s="143">
        <f>AD1778*AC1778</f>
        <v>0</v>
      </c>
      <c r="AC1778" s="133">
        <f>S1778</f>
        <v>0</v>
      </c>
      <c r="AD1778" s="142">
        <v>1</v>
      </c>
      <c r="AE1778" s="141"/>
      <c r="AF1778" s="121" t="s">
        <v>292</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411</v>
      </c>
      <c r="P1779" s="121"/>
      <c r="Q1779" s="121"/>
      <c r="R1779" s="121"/>
      <c r="S1779" s="133">
        <f>M1778</f>
        <v>0</v>
      </c>
      <c r="T1779" s="120"/>
      <c r="U1779" s="121" t="s">
        <v>235</v>
      </c>
      <c r="V1779" s="133">
        <f t="shared" ref="V1779:V1798" si="817">S1779</f>
        <v>0</v>
      </c>
      <c r="W1779" s="133">
        <f>VLOOKUP(U1779,Sheet1!$B$6:$C$45,2,FALSE)*V1779</f>
        <v>0</v>
      </c>
      <c r="X1779" s="141"/>
      <c r="Y1779" s="121" t="s">
        <v>292</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292</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308</v>
      </c>
      <c r="P1780" s="121"/>
      <c r="Q1780" s="121"/>
      <c r="R1780" s="121"/>
      <c r="S1780" s="133">
        <f>M1778</f>
        <v>0</v>
      </c>
      <c r="T1780" s="120"/>
      <c r="U1780" s="121" t="s">
        <v>292</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292</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305</v>
      </c>
      <c r="P1781" s="121"/>
      <c r="Q1781" s="121"/>
      <c r="R1781" s="121"/>
      <c r="S1781" s="133">
        <f>M1778</f>
        <v>0</v>
      </c>
      <c r="T1781" s="120"/>
      <c r="U1781" s="121" t="s">
        <v>361</v>
      </c>
      <c r="V1781" s="133">
        <f t="shared" si="817"/>
        <v>0</v>
      </c>
      <c r="W1781" s="133">
        <f>VLOOKUP(U1781,Sheet1!$B$6:$C$45,2,FALSE)*V1781</f>
        <v>0</v>
      </c>
      <c r="X1781" s="141"/>
      <c r="Y1781" s="121" t="s">
        <v>292</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391</v>
      </c>
      <c r="P1782" s="121"/>
      <c r="Q1782" s="121"/>
      <c r="R1782" s="121"/>
      <c r="S1782" s="133">
        <f>M1778</f>
        <v>0</v>
      </c>
      <c r="T1782" s="120"/>
      <c r="U1782" s="121" t="s">
        <v>292</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292</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390</v>
      </c>
      <c r="P1783" s="121"/>
      <c r="Q1783" s="121"/>
      <c r="R1783" s="121"/>
      <c r="S1783" s="133">
        <f>M1778</f>
        <v>0</v>
      </c>
      <c r="T1783" s="120"/>
      <c r="U1783" s="121" t="s">
        <v>292</v>
      </c>
      <c r="V1783" s="133">
        <f t="shared" si="817"/>
        <v>0</v>
      </c>
      <c r="W1783" s="133">
        <f>VLOOKUP(U1783,Sheet1!$B$6:$C$45,2,FALSE)*V1783</f>
        <v>0</v>
      </c>
      <c r="X1783" s="141"/>
      <c r="Y1783" s="121" t="s">
        <v>292</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309</v>
      </c>
      <c r="P1784" s="121"/>
      <c r="Q1784" s="121"/>
      <c r="R1784" s="121"/>
      <c r="S1784" s="133">
        <f>M1778</f>
        <v>0</v>
      </c>
      <c r="T1784" s="120"/>
      <c r="U1784" s="121" t="s">
        <v>292</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292</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310</v>
      </c>
      <c r="P1785" s="121"/>
      <c r="Q1785" s="121"/>
      <c r="R1785" s="121"/>
      <c r="S1785" s="133">
        <f>M1778</f>
        <v>0</v>
      </c>
      <c r="T1785" s="120"/>
      <c r="U1785" s="121" t="s">
        <v>292</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292</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306</v>
      </c>
      <c r="P1786" s="121"/>
      <c r="Q1786" s="121"/>
      <c r="R1786" s="121"/>
      <c r="S1786" s="133">
        <f>M1778</f>
        <v>0</v>
      </c>
      <c r="T1786" s="120"/>
      <c r="U1786" s="121" t="s">
        <v>292</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292</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307</v>
      </c>
      <c r="P1787" s="121"/>
      <c r="Q1787" s="121"/>
      <c r="R1787" s="121"/>
      <c r="S1787" s="133">
        <f>M1778</f>
        <v>0</v>
      </c>
      <c r="T1787" s="120"/>
      <c r="U1787" s="121" t="s">
        <v>364</v>
      </c>
      <c r="V1787" s="133">
        <f t="shared" si="817"/>
        <v>0</v>
      </c>
      <c r="W1787" s="133">
        <f>VLOOKUP(U1787,Sheet1!$B$6:$C$45,2,FALSE)*V1787</f>
        <v>0</v>
      </c>
      <c r="X1787" s="141"/>
      <c r="Y1787" s="121" t="s">
        <v>292</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292</v>
      </c>
      <c r="V1788" s="133">
        <f t="shared" si="817"/>
        <v>0</v>
      </c>
      <c r="W1788" s="133">
        <f>VLOOKUP(U1788,Sheet1!$B$6:$C$45,2,FALSE)*V1788</f>
        <v>0</v>
      </c>
      <c r="X1788" s="141"/>
      <c r="Y1788" s="121" t="s">
        <v>292</v>
      </c>
      <c r="Z1788" s="146">
        <f>VLOOKUP(Takeoffs!Y1788,Sheet1!$B$6:$C$124,2,FALSE)</f>
        <v>0</v>
      </c>
      <c r="AA1788" s="146">
        <f t="shared" si="818"/>
        <v>0</v>
      </c>
      <c r="AB1788" s="143">
        <f t="shared" si="819"/>
        <v>0</v>
      </c>
      <c r="AC1788" s="133">
        <f t="shared" si="820"/>
        <v>0</v>
      </c>
      <c r="AD1788" s="142">
        <v>2</v>
      </c>
      <c r="AE1788" s="141"/>
      <c r="AF1788" s="121" t="s">
        <v>292</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292</v>
      </c>
      <c r="V1789" s="133">
        <f t="shared" si="817"/>
        <v>0</v>
      </c>
      <c r="W1789" s="133">
        <f>VLOOKUP(U1789,Sheet1!$B$6:$C$45,2,FALSE)*V1789</f>
        <v>0</v>
      </c>
      <c r="X1789" s="141"/>
      <c r="Y1789" s="121" t="s">
        <v>292</v>
      </c>
      <c r="Z1789" s="146">
        <f>VLOOKUP(Takeoffs!Y1789,Sheet1!$B$6:$C$124,2,FALSE)</f>
        <v>0</v>
      </c>
      <c r="AA1789" s="146">
        <f t="shared" si="818"/>
        <v>0</v>
      </c>
      <c r="AB1789" s="143">
        <f t="shared" si="819"/>
        <v>0</v>
      </c>
      <c r="AC1789" s="133">
        <f t="shared" si="820"/>
        <v>0</v>
      </c>
      <c r="AD1789" s="142">
        <v>1</v>
      </c>
      <c r="AE1789" s="141"/>
      <c r="AF1789" s="121" t="s">
        <v>292</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364</v>
      </c>
      <c r="V1790" s="133">
        <f t="shared" si="817"/>
        <v>0</v>
      </c>
      <c r="W1790" s="133">
        <f>VLOOKUP(U1790,Sheet1!$B$6:$C$45,2,FALSE)*V1790</f>
        <v>0</v>
      </c>
      <c r="X1790" s="141"/>
      <c r="Y1790" s="121" t="s">
        <v>292</v>
      </c>
      <c r="Z1790" s="146">
        <f>VLOOKUP(Takeoffs!Y1790,Sheet1!$B$6:$C$124,2,FALSE)</f>
        <v>0</v>
      </c>
      <c r="AA1790" s="146">
        <f t="shared" si="818"/>
        <v>0</v>
      </c>
      <c r="AB1790" s="143">
        <f t="shared" si="819"/>
        <v>0</v>
      </c>
      <c r="AC1790" s="133">
        <f t="shared" si="820"/>
        <v>0</v>
      </c>
      <c r="AD1790" s="142">
        <v>1</v>
      </c>
      <c r="AE1790" s="141"/>
      <c r="AF1790" s="121" t="s">
        <v>292</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312</v>
      </c>
      <c r="P1791" s="121"/>
      <c r="Q1791" s="121"/>
      <c r="R1791" s="121"/>
      <c r="S1791" s="133">
        <f>M1778</f>
        <v>0</v>
      </c>
      <c r="T1791" s="120"/>
      <c r="U1791" s="121" t="s">
        <v>232</v>
      </c>
      <c r="V1791" s="133">
        <f t="shared" si="817"/>
        <v>0</v>
      </c>
      <c r="W1791" s="133">
        <f>VLOOKUP(U1791,Sheet1!$B$6:$C$45,2,FALSE)*V1791</f>
        <v>0</v>
      </c>
      <c r="X1791" s="141"/>
      <c r="Y1791" s="122" t="s">
        <v>1344</v>
      </c>
      <c r="Z1791" s="146">
        <f>VLOOKUP(Takeoffs!Y1791,Sheet1!$B$6:$C$124,2,FALSE)</f>
        <v>109.25999999999999</v>
      </c>
      <c r="AA1791" s="146">
        <f t="shared" si="818"/>
        <v>0</v>
      </c>
      <c r="AB1791" s="143">
        <f t="shared" si="819"/>
        <v>0</v>
      </c>
      <c r="AC1791" s="133">
        <f t="shared" si="820"/>
        <v>0</v>
      </c>
      <c r="AD1791" s="142">
        <v>1</v>
      </c>
      <c r="AE1791" s="141"/>
      <c r="AF1791" s="121" t="s">
        <v>292</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313</v>
      </c>
      <c r="P1792" s="121"/>
      <c r="Q1792" s="121"/>
      <c r="R1792" s="121"/>
      <c r="S1792" s="133">
        <f>M1778</f>
        <v>0</v>
      </c>
      <c r="T1792" s="120"/>
      <c r="U1792" s="121" t="s">
        <v>363</v>
      </c>
      <c r="V1792" s="133">
        <f t="shared" si="817"/>
        <v>0</v>
      </c>
      <c r="W1792" s="133">
        <f>VLOOKUP(U1792,Sheet1!$B$6:$C$45,2,FALSE)*V1792</f>
        <v>0</v>
      </c>
      <c r="X1792" s="141"/>
      <c r="Y1792" s="122" t="s">
        <v>321</v>
      </c>
      <c r="Z1792" s="146">
        <f>VLOOKUP(Takeoffs!Y1792,Sheet1!$B$6:$C$124,2,FALSE)</f>
        <v>60</v>
      </c>
      <c r="AA1792" s="146">
        <f t="shared" si="818"/>
        <v>0</v>
      </c>
      <c r="AB1792" s="143">
        <f t="shared" si="819"/>
        <v>0</v>
      </c>
      <c r="AC1792" s="133">
        <f t="shared" si="820"/>
        <v>0</v>
      </c>
      <c r="AD1792" s="142">
        <v>1</v>
      </c>
      <c r="AE1792" s="141"/>
      <c r="AF1792" s="121" t="s">
        <v>292</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314</v>
      </c>
      <c r="P1793" s="121"/>
      <c r="Q1793" s="121"/>
      <c r="R1793" s="121" t="s">
        <v>455</v>
      </c>
      <c r="S1793" s="133">
        <f>M1778</f>
        <v>0</v>
      </c>
      <c r="T1793" s="120"/>
      <c r="U1793" s="121" t="s">
        <v>292</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292</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315</v>
      </c>
      <c r="P1794" s="121"/>
      <c r="Q1794" s="121"/>
      <c r="R1794" s="121"/>
      <c r="S1794" s="133">
        <f>M1778</f>
        <v>0</v>
      </c>
      <c r="T1794" s="120"/>
      <c r="U1794" s="121" t="s">
        <v>292</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292</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329</v>
      </c>
      <c r="P1795" s="121"/>
      <c r="Q1795" s="121"/>
      <c r="R1795" s="121" t="s">
        <v>304</v>
      </c>
      <c r="S1795" s="133">
        <f>M1778</f>
        <v>0</v>
      </c>
      <c r="T1795" s="120"/>
      <c r="U1795" s="121" t="s">
        <v>292</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292</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292</v>
      </c>
      <c r="V1796" s="133">
        <f t="shared" si="817"/>
        <v>0</v>
      </c>
      <c r="W1796" s="133">
        <f>VLOOKUP(U1796,Sheet1!$B$6:$C$45,2,FALSE)*V1796</f>
        <v>0</v>
      </c>
      <c r="X1796" s="141"/>
      <c r="Y1796" s="121" t="s">
        <v>292</v>
      </c>
      <c r="Z1796" s="146">
        <f>VLOOKUP(Takeoffs!Y1796,Sheet1!$B$6:$C$124,2,FALSE)</f>
        <v>0</v>
      </c>
      <c r="AA1796" s="146">
        <f t="shared" si="818"/>
        <v>0</v>
      </c>
      <c r="AB1796" s="143">
        <f t="shared" si="819"/>
        <v>0</v>
      </c>
      <c r="AC1796" s="133">
        <f t="shared" si="820"/>
        <v>0</v>
      </c>
      <c r="AD1796" s="142">
        <v>1</v>
      </c>
      <c r="AE1796" s="141"/>
      <c r="AF1796" s="121" t="s">
        <v>292</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412</v>
      </c>
      <c r="P1797" s="121" t="s">
        <v>380</v>
      </c>
      <c r="Q1797" s="121" t="s">
        <v>384</v>
      </c>
      <c r="R1797" s="121"/>
      <c r="S1797" s="133">
        <f>M1778</f>
        <v>0</v>
      </c>
      <c r="T1797" s="120"/>
      <c r="U1797" s="121" t="s">
        <v>292</v>
      </c>
      <c r="V1797" s="133">
        <f t="shared" si="817"/>
        <v>0</v>
      </c>
      <c r="W1797" s="133">
        <f>VLOOKUP(U1797,Sheet1!$B$6:$C$45,2,FALSE)*V1797</f>
        <v>0</v>
      </c>
      <c r="X1797" s="141"/>
      <c r="Y1797" s="122" t="s">
        <v>322</v>
      </c>
      <c r="Z1797" s="146">
        <f>VLOOKUP(Takeoffs!Y1797,Sheet1!$B$6:$C$124,2,FALSE)</f>
        <v>48</v>
      </c>
      <c r="AA1797" s="146">
        <f t="shared" si="818"/>
        <v>0</v>
      </c>
      <c r="AB1797" s="143">
        <f t="shared" si="819"/>
        <v>0</v>
      </c>
      <c r="AC1797" s="133">
        <f t="shared" si="820"/>
        <v>0</v>
      </c>
      <c r="AD1797" s="142">
        <v>1</v>
      </c>
      <c r="AE1797" s="141"/>
      <c r="AF1797" s="121" t="s">
        <v>292</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408</v>
      </c>
      <c r="P1798" s="121"/>
      <c r="Q1798" s="121"/>
      <c r="R1798" s="121"/>
      <c r="S1798" s="133">
        <f>M1778</f>
        <v>0</v>
      </c>
      <c r="T1798" s="120"/>
      <c r="U1798" s="121" t="s">
        <v>364</v>
      </c>
      <c r="V1798" s="133">
        <f t="shared" si="817"/>
        <v>0</v>
      </c>
      <c r="W1798" s="133">
        <f>VLOOKUP(U1798,Sheet1!$B$6:$C$45,2,FALSE)*V1798</f>
        <v>0</v>
      </c>
      <c r="X1798" s="141"/>
      <c r="Y1798" s="121" t="s">
        <v>292</v>
      </c>
      <c r="Z1798" s="146">
        <f>VLOOKUP(Takeoffs!Y1798,Sheet1!$B$6:$C$124,2,FALSE)</f>
        <v>0</v>
      </c>
      <c r="AA1798" s="146">
        <f t="shared" si="818"/>
        <v>0</v>
      </c>
      <c r="AB1798" s="143">
        <f t="shared" si="819"/>
        <v>0</v>
      </c>
      <c r="AC1798" s="133">
        <f t="shared" si="820"/>
        <v>0</v>
      </c>
      <c r="AD1798" s="142">
        <v>1</v>
      </c>
      <c r="AE1798" s="141"/>
      <c r="AF1798" s="121" t="s">
        <v>292</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377</v>
      </c>
      <c r="L1799" s="128" t="s">
        <v>378</v>
      </c>
      <c r="N1799" s="129"/>
      <c r="O1799" s="130" t="s">
        <v>357</v>
      </c>
      <c r="P1799" s="131">
        <f>V1799+AA1799+AH1799</f>
        <v>0</v>
      </c>
      <c r="Q1799" s="131"/>
      <c r="R1799" s="131"/>
      <c r="S1799" s="130"/>
      <c r="T1799" s="127"/>
      <c r="U1799" s="126" t="s">
        <v>351</v>
      </c>
      <c r="V1799" s="127">
        <f>W1799*80</f>
        <v>0</v>
      </c>
      <c r="W1799" s="147">
        <f>SUM(W1778:W1798)</f>
        <v>0</v>
      </c>
      <c r="X1799" s="148"/>
      <c r="Y1799" s="127" t="s">
        <v>352</v>
      </c>
      <c r="Z1799" s="116"/>
      <c r="AA1799" s="116">
        <f>SUM(AA1778:AA1798)</f>
        <v>0</v>
      </c>
      <c r="AB1799" s="149"/>
      <c r="AC1799" s="149"/>
      <c r="AD1799" s="149"/>
      <c r="AE1799" s="149"/>
      <c r="AF1799" s="127" t="s">
        <v>356</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hidden="1" x14ac:dyDescent="0.8">
      <c r="A1800" s="262">
        <f>ROW()</f>
        <v>1800</v>
      </c>
      <c r="B1800" s="234" t="s">
        <v>491</v>
      </c>
      <c r="C1800" s="217" t="str">
        <f>N1778</f>
        <v>smoke exhaust systems</v>
      </c>
      <c r="D1800" s="260" t="s">
        <v>677</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367</v>
      </c>
      <c r="N1800" s="160" t="str">
        <f>N1778</f>
        <v>smoke exhaust systems</v>
      </c>
      <c r="O1800" s="160" t="s">
        <v>365</v>
      </c>
      <c r="P1800" s="64" t="e">
        <f>P1799/M1778</f>
        <v>#DIV/0!</v>
      </c>
      <c r="Q1800" s="161"/>
      <c r="R1800" s="161"/>
      <c r="S1800" s="160"/>
      <c r="T1800" s="161"/>
      <c r="U1800" s="571" t="s">
        <v>366</v>
      </c>
      <c r="V1800" s="571"/>
      <c r="W1800" s="162" t="e">
        <f>W1799/M1778</f>
        <v>#DIV/0!</v>
      </c>
      <c r="X1800" s="163"/>
      <c r="Y1800" s="570" t="s">
        <v>365</v>
      </c>
      <c r="Z1800" s="570"/>
      <c r="AA1800" s="164" t="e">
        <f>AA1799/M1778</f>
        <v>#DIV/0!</v>
      </c>
      <c r="AB1800" s="161"/>
      <c r="AC1800" s="161"/>
      <c r="AD1800" s="161"/>
      <c r="AE1800" s="161"/>
      <c r="AF1800" s="570" t="s">
        <v>365</v>
      </c>
      <c r="AG1800" s="570"/>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452</v>
      </c>
      <c r="M1801" s="2" t="s">
        <v>107</v>
      </c>
      <c r="N1801" s="2" t="s">
        <v>108</v>
      </c>
      <c r="O1801" s="97" t="s">
        <v>386</v>
      </c>
      <c r="P1801" s="572" t="s">
        <v>375</v>
      </c>
      <c r="Q1801" s="572"/>
      <c r="R1801" s="101" t="s">
        <v>452</v>
      </c>
      <c r="S1801" s="2" t="s">
        <v>0</v>
      </c>
      <c r="T1801" s="9"/>
      <c r="U1801" s="2" t="s">
        <v>287</v>
      </c>
      <c r="V1801" s="2" t="s">
        <v>288</v>
      </c>
      <c r="W1801" s="2" t="s">
        <v>291</v>
      </c>
      <c r="X1801" s="58"/>
      <c r="Y1801" s="2" t="s">
        <v>289</v>
      </c>
      <c r="Z1801" s="2" t="s">
        <v>354</v>
      </c>
      <c r="AA1801" s="2" t="s">
        <v>355</v>
      </c>
      <c r="AB1801" s="2" t="s">
        <v>317</v>
      </c>
      <c r="AC1801" s="2" t="s">
        <v>318</v>
      </c>
      <c r="AD1801" s="2" t="s">
        <v>316</v>
      </c>
      <c r="AE1801" s="58"/>
      <c r="AF1801" s="2" t="s">
        <v>293</v>
      </c>
      <c r="AG1801" s="2" t="s">
        <v>354</v>
      </c>
      <c r="AH1801" s="2" t="s">
        <v>355</v>
      </c>
      <c r="AI1801" s="2" t="s">
        <v>296</v>
      </c>
      <c r="AJ1801" s="2" t="s">
        <v>294</v>
      </c>
      <c r="AK1801" s="2" t="s">
        <v>295</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303</v>
      </c>
      <c r="O1802" s="12" t="s">
        <v>347</v>
      </c>
      <c r="P1802" s="96" t="s">
        <v>379</v>
      </c>
      <c r="Q1802" s="96" t="s">
        <v>375</v>
      </c>
      <c r="R1802" s="96"/>
      <c r="S1802" s="28">
        <f>M1802</f>
        <v>0</v>
      </c>
      <c r="T1802" s="10"/>
      <c r="U1802" s="74" t="s">
        <v>292</v>
      </c>
      <c r="V1802" s="28">
        <f>S1802</f>
        <v>0</v>
      </c>
      <c r="W1802" s="28">
        <f>VLOOKUP(U1802,Sheet1!$B$6:$C$45,2,FALSE)*V1802</f>
        <v>0</v>
      </c>
      <c r="X1802" s="59"/>
      <c r="Y1802" s="12" t="s">
        <v>292</v>
      </c>
      <c r="Z1802" s="68">
        <f>VLOOKUP(Takeoffs!Y1802,Sheet1!$B$6:$C$124,2,FALSE)</f>
        <v>0</v>
      </c>
      <c r="AA1802" s="68">
        <f>Z1802*AB1802</f>
        <v>0</v>
      </c>
      <c r="AB1802" s="63">
        <f>AD1802*AC1802</f>
        <v>0</v>
      </c>
      <c r="AC1802" s="28">
        <f>S1802</f>
        <v>0</v>
      </c>
      <c r="AD1802" s="61">
        <v>1</v>
      </c>
      <c r="AE1802" s="59"/>
      <c r="AF1802" s="12" t="s">
        <v>292</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411</v>
      </c>
      <c r="P1803" s="12"/>
      <c r="Q1803" s="12"/>
      <c r="R1803" s="12"/>
      <c r="S1803" s="28">
        <f>M1802</f>
        <v>0</v>
      </c>
      <c r="T1803" s="11"/>
      <c r="U1803" s="12" t="s">
        <v>235</v>
      </c>
      <c r="V1803" s="28">
        <f t="shared" ref="V1803:V1822" si="826">S1803</f>
        <v>0</v>
      </c>
      <c r="W1803" s="28">
        <f>VLOOKUP(U1803,Sheet1!$B$6:$C$45,2,FALSE)*V1803</f>
        <v>0</v>
      </c>
      <c r="X1803" s="59"/>
      <c r="Y1803" s="12" t="s">
        <v>292</v>
      </c>
      <c r="Z1803" s="68">
        <f>VLOOKUP(Takeoffs!Y1803,Sheet1!$B$6:$C$124,2,FALSE)</f>
        <v>0</v>
      </c>
      <c r="AA1803" s="68">
        <f t="shared" ref="AA1803:AA1822" si="827">Z1803*AB1803</f>
        <v>0</v>
      </c>
      <c r="AB1803" s="63">
        <f t="shared" ref="AB1803:AB1822" si="828">AD1803*AC1803</f>
        <v>0</v>
      </c>
      <c r="AC1803" s="28">
        <f>S1803</f>
        <v>0</v>
      </c>
      <c r="AD1803" s="61">
        <v>1</v>
      </c>
      <c r="AE1803" s="59"/>
      <c r="AF1803" s="12" t="s">
        <v>292</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308</v>
      </c>
      <c r="P1804" s="12"/>
      <c r="Q1804" s="12"/>
      <c r="R1804" s="12"/>
      <c r="S1804" s="28">
        <f>M1802</f>
        <v>0</v>
      </c>
      <c r="T1804" s="11"/>
      <c r="U1804" s="12" t="s">
        <v>292</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292</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305</v>
      </c>
      <c r="P1805" s="12"/>
      <c r="Q1805" s="12"/>
      <c r="R1805" s="12"/>
      <c r="S1805" s="28">
        <f>M1802</f>
        <v>0</v>
      </c>
      <c r="T1805" s="11"/>
      <c r="U1805" s="12" t="s">
        <v>361</v>
      </c>
      <c r="V1805" s="28">
        <f t="shared" si="826"/>
        <v>0</v>
      </c>
      <c r="W1805" s="28">
        <f>VLOOKUP(U1805,Sheet1!$B$6:$C$45,2,FALSE)*V1805</f>
        <v>0</v>
      </c>
      <c r="X1805" s="59"/>
      <c r="Y1805" s="12" t="s">
        <v>292</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391</v>
      </c>
      <c r="P1806" s="12"/>
      <c r="Q1806" s="12"/>
      <c r="R1806" s="12"/>
      <c r="S1806" s="28">
        <f>M1802</f>
        <v>0</v>
      </c>
      <c r="T1806" s="11"/>
      <c r="U1806" s="12" t="s">
        <v>292</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292</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390</v>
      </c>
      <c r="P1807" s="12"/>
      <c r="Q1807" s="12"/>
      <c r="R1807" s="12"/>
      <c r="S1807" s="28">
        <f>M1802</f>
        <v>0</v>
      </c>
      <c r="T1807" s="11"/>
      <c r="U1807" s="12" t="s">
        <v>292</v>
      </c>
      <c r="V1807" s="28">
        <f t="shared" si="826"/>
        <v>0</v>
      </c>
      <c r="W1807" s="28">
        <f>VLOOKUP(U1807,Sheet1!$B$6:$C$45,2,FALSE)*V1807</f>
        <v>0</v>
      </c>
      <c r="X1807" s="59"/>
      <c r="Y1807" s="12" t="s">
        <v>292</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309</v>
      </c>
      <c r="P1808" s="12"/>
      <c r="Q1808" s="12"/>
      <c r="R1808" s="12"/>
      <c r="S1808" s="28">
        <f>M1802</f>
        <v>0</v>
      </c>
      <c r="T1808" s="11"/>
      <c r="U1808" s="12" t="s">
        <v>292</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292</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310</v>
      </c>
      <c r="P1809" s="12"/>
      <c r="Q1809" s="12"/>
      <c r="R1809" s="12"/>
      <c r="S1809" s="28">
        <f>M1802</f>
        <v>0</v>
      </c>
      <c r="T1809" s="11"/>
      <c r="U1809" s="12" t="s">
        <v>292</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292</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306</v>
      </c>
      <c r="P1810" s="12"/>
      <c r="Q1810" s="12"/>
      <c r="R1810" s="12"/>
      <c r="S1810" s="28">
        <f>M1802</f>
        <v>0</v>
      </c>
      <c r="T1810" s="11"/>
      <c r="U1810" s="12" t="s">
        <v>292</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292</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307</v>
      </c>
      <c r="P1811" s="12"/>
      <c r="Q1811" s="12"/>
      <c r="R1811" s="12"/>
      <c r="S1811" s="28">
        <f>M1802</f>
        <v>0</v>
      </c>
      <c r="T1811" s="11"/>
      <c r="U1811" s="12" t="s">
        <v>364</v>
      </c>
      <c r="V1811" s="28">
        <f t="shared" si="826"/>
        <v>0</v>
      </c>
      <c r="W1811" s="28">
        <f>VLOOKUP(U1811,Sheet1!$B$6:$C$45,2,FALSE)*V1811</f>
        <v>0</v>
      </c>
      <c r="X1811" s="59"/>
      <c r="Y1811" s="12" t="s">
        <v>292</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928</v>
      </c>
      <c r="P1812" s="12"/>
      <c r="Q1812" s="12"/>
      <c r="R1812" s="12"/>
      <c r="S1812" s="28">
        <f>M1802</f>
        <v>0</v>
      </c>
      <c r="T1812" s="11"/>
      <c r="U1812" s="12" t="s">
        <v>363</v>
      </c>
      <c r="V1812" s="28">
        <f t="shared" si="826"/>
        <v>0</v>
      </c>
      <c r="W1812" s="28">
        <f>VLOOKUP(U1812,Sheet1!$B$6:$C$45,2,FALSE)*V1812</f>
        <v>0</v>
      </c>
      <c r="X1812" s="59"/>
      <c r="Y1812" s="13" t="s">
        <v>319</v>
      </c>
      <c r="Z1812" s="68">
        <v>200</v>
      </c>
      <c r="AA1812" s="68">
        <f t="shared" si="827"/>
        <v>0</v>
      </c>
      <c r="AB1812" s="63">
        <f t="shared" si="828"/>
        <v>0</v>
      </c>
      <c r="AC1812" s="28">
        <f t="shared" si="833"/>
        <v>0</v>
      </c>
      <c r="AD1812" s="61">
        <v>1</v>
      </c>
      <c r="AE1812" s="59"/>
      <c r="AF1812" s="12" t="s">
        <v>292</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311</v>
      </c>
      <c r="P1813" s="12"/>
      <c r="Q1813" s="12"/>
      <c r="R1813" s="12"/>
      <c r="S1813" s="28">
        <f>M1802</f>
        <v>0</v>
      </c>
      <c r="T1813" s="11"/>
      <c r="U1813" s="12" t="s">
        <v>363</v>
      </c>
      <c r="V1813" s="28">
        <f t="shared" si="826"/>
        <v>0</v>
      </c>
      <c r="W1813" s="28">
        <f>VLOOKUP(U1813,Sheet1!$B$6:$C$45,2,FALSE)*V1813</f>
        <v>0</v>
      </c>
      <c r="X1813" s="59"/>
      <c r="Y1813" s="12" t="s">
        <v>926</v>
      </c>
      <c r="Z1813" s="414">
        <f>Sheet1!M66</f>
        <v>56.4</v>
      </c>
      <c r="AA1813" s="68">
        <f t="shared" si="827"/>
        <v>0</v>
      </c>
      <c r="AB1813" s="63">
        <f t="shared" si="828"/>
        <v>0</v>
      </c>
      <c r="AC1813" s="28">
        <f t="shared" si="833"/>
        <v>0</v>
      </c>
      <c r="AD1813" s="61">
        <v>1</v>
      </c>
      <c r="AE1813" s="59"/>
      <c r="AF1813" s="13" t="s">
        <v>320</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364</v>
      </c>
      <c r="V1814" s="28">
        <f t="shared" si="826"/>
        <v>0</v>
      </c>
      <c r="W1814" s="28">
        <f>VLOOKUP(U1814,Sheet1!$B$6:$C$45,2,FALSE)*V1814</f>
        <v>0</v>
      </c>
      <c r="X1814" s="59"/>
      <c r="Y1814" s="12" t="s">
        <v>927</v>
      </c>
      <c r="Z1814" s="414">
        <f>Sheet1!M59</f>
        <v>10.139999999999999</v>
      </c>
      <c r="AA1814" s="68">
        <f t="shared" si="827"/>
        <v>0</v>
      </c>
      <c r="AB1814" s="63">
        <f t="shared" si="828"/>
        <v>0</v>
      </c>
      <c r="AC1814" s="28">
        <f t="shared" si="833"/>
        <v>0</v>
      </c>
      <c r="AD1814" s="61">
        <v>1</v>
      </c>
      <c r="AE1814" s="59"/>
      <c r="AF1814" s="12" t="s">
        <v>292</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312</v>
      </c>
      <c r="P1815" s="12"/>
      <c r="Q1815" s="12"/>
      <c r="R1815" s="12"/>
      <c r="S1815" s="28">
        <f>M1802</f>
        <v>0</v>
      </c>
      <c r="T1815" s="11"/>
      <c r="U1815" s="12" t="s">
        <v>232</v>
      </c>
      <c r="V1815" s="28">
        <f t="shared" si="826"/>
        <v>0</v>
      </c>
      <c r="W1815" s="28">
        <f>VLOOKUP(U1815,Sheet1!$B$6:$C$45,2,FALSE)*V1815</f>
        <v>0</v>
      </c>
      <c r="X1815" s="59"/>
      <c r="Y1815" s="13" t="s">
        <v>1344</v>
      </c>
      <c r="Z1815" s="68">
        <f>VLOOKUP(Takeoffs!Y1815,Sheet1!$B$6:$C$124,2,FALSE)</f>
        <v>109.25999999999999</v>
      </c>
      <c r="AA1815" s="68">
        <f t="shared" si="827"/>
        <v>0</v>
      </c>
      <c r="AB1815" s="63">
        <f t="shared" si="828"/>
        <v>0</v>
      </c>
      <c r="AC1815" s="28">
        <f t="shared" si="833"/>
        <v>0</v>
      </c>
      <c r="AD1815" s="61">
        <v>1</v>
      </c>
      <c r="AE1815" s="59"/>
      <c r="AF1815" s="12" t="s">
        <v>292</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313</v>
      </c>
      <c r="P1816" s="12"/>
      <c r="Q1816" s="12"/>
      <c r="R1816" s="12"/>
      <c r="S1816" s="28">
        <f>M1802</f>
        <v>0</v>
      </c>
      <c r="T1816" s="11"/>
      <c r="U1816" s="12" t="s">
        <v>363</v>
      </c>
      <c r="V1816" s="28">
        <f t="shared" si="826"/>
        <v>0</v>
      </c>
      <c r="W1816" s="28">
        <f>VLOOKUP(U1816,Sheet1!$B$6:$C$45,2,FALSE)*V1816</f>
        <v>0</v>
      </c>
      <c r="X1816" s="59"/>
      <c r="Y1816" s="13" t="s">
        <v>321</v>
      </c>
      <c r="Z1816" s="68">
        <f>VLOOKUP(Takeoffs!Y1816,Sheet1!$B$6:$C$124,2,FALSE)</f>
        <v>60</v>
      </c>
      <c r="AA1816" s="68">
        <f t="shared" si="827"/>
        <v>0</v>
      </c>
      <c r="AB1816" s="63">
        <f t="shared" si="828"/>
        <v>0</v>
      </c>
      <c r="AC1816" s="28">
        <f t="shared" si="833"/>
        <v>0</v>
      </c>
      <c r="AD1816" s="61">
        <v>1</v>
      </c>
      <c r="AE1816" s="59"/>
      <c r="AF1816" s="12" t="s">
        <v>292</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314</v>
      </c>
      <c r="P1817" s="12"/>
      <c r="Q1817" s="12"/>
      <c r="R1817" s="12" t="s">
        <v>455</v>
      </c>
      <c r="S1817" s="28">
        <f>M1802</f>
        <v>0</v>
      </c>
      <c r="T1817" s="11"/>
      <c r="U1817" s="12" t="s">
        <v>292</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292</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315</v>
      </c>
      <c r="P1818" s="12"/>
      <c r="Q1818" s="12"/>
      <c r="R1818" s="12"/>
      <c r="S1818" s="28">
        <f>M1802</f>
        <v>0</v>
      </c>
      <c r="T1818" s="11"/>
      <c r="U1818" s="12" t="s">
        <v>292</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292</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329</v>
      </c>
      <c r="P1819" s="12"/>
      <c r="Q1819" s="12"/>
      <c r="R1819" s="12" t="s">
        <v>304</v>
      </c>
      <c r="S1819" s="28">
        <f>M1802</f>
        <v>0</v>
      </c>
      <c r="T1819" s="11"/>
      <c r="U1819" s="12" t="s">
        <v>292</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292</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292</v>
      </c>
      <c r="V1820" s="28">
        <f t="shared" si="826"/>
        <v>0</v>
      </c>
      <c r="W1820" s="28">
        <f>VLOOKUP(U1820,Sheet1!$B$6:$C$45,2,FALSE)*V1820</f>
        <v>0</v>
      </c>
      <c r="X1820" s="59"/>
      <c r="Y1820" s="12" t="s">
        <v>292</v>
      </c>
      <c r="Z1820" s="68">
        <f>VLOOKUP(Takeoffs!Y1820,Sheet1!$B$6:$C$124,2,FALSE)</f>
        <v>0</v>
      </c>
      <c r="AA1820" s="68">
        <f t="shared" si="827"/>
        <v>0</v>
      </c>
      <c r="AB1820" s="63">
        <f t="shared" si="828"/>
        <v>0</v>
      </c>
      <c r="AC1820" s="28">
        <f t="shared" si="833"/>
        <v>0</v>
      </c>
      <c r="AD1820" s="61">
        <v>1</v>
      </c>
      <c r="AE1820" s="59"/>
      <c r="AF1820" s="12" t="s">
        <v>292</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412</v>
      </c>
      <c r="P1821" s="12" t="s">
        <v>380</v>
      </c>
      <c r="Q1821" s="12" t="s">
        <v>384</v>
      </c>
      <c r="R1821" s="12"/>
      <c r="S1821" s="28">
        <f>M1802</f>
        <v>0</v>
      </c>
      <c r="T1821" s="11"/>
      <c r="U1821" s="12" t="s">
        <v>292</v>
      </c>
      <c r="V1821" s="28">
        <f t="shared" si="826"/>
        <v>0</v>
      </c>
      <c r="W1821" s="28">
        <f>VLOOKUP(U1821,Sheet1!$B$6:$C$45,2,FALSE)*V1821</f>
        <v>0</v>
      </c>
      <c r="X1821" s="59"/>
      <c r="Y1821" s="13" t="s">
        <v>322</v>
      </c>
      <c r="Z1821" s="68">
        <f>VLOOKUP(Takeoffs!Y1821,Sheet1!$B$6:$C$124,2,FALSE)</f>
        <v>48</v>
      </c>
      <c r="AA1821" s="68">
        <f t="shared" si="827"/>
        <v>0</v>
      </c>
      <c r="AB1821" s="63">
        <f t="shared" si="828"/>
        <v>0</v>
      </c>
      <c r="AC1821" s="28">
        <f t="shared" si="833"/>
        <v>0</v>
      </c>
      <c r="AD1821" s="61">
        <v>1</v>
      </c>
      <c r="AE1821" s="59"/>
      <c r="AF1821" s="12" t="s">
        <v>292</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408</v>
      </c>
      <c r="P1822" s="12"/>
      <c r="Q1822" s="12"/>
      <c r="R1822" s="12"/>
      <c r="S1822" s="28">
        <f>M1802</f>
        <v>0</v>
      </c>
      <c r="T1822" s="11"/>
      <c r="U1822" s="12" t="s">
        <v>364</v>
      </c>
      <c r="V1822" s="28">
        <f t="shared" si="826"/>
        <v>0</v>
      </c>
      <c r="W1822" s="28">
        <f>VLOOKUP(U1822,Sheet1!$B$6:$C$45,2,FALSE)*V1822</f>
        <v>0</v>
      </c>
      <c r="X1822" s="59"/>
      <c r="Y1822" s="12" t="s">
        <v>292</v>
      </c>
      <c r="Z1822" s="68">
        <f>VLOOKUP(Takeoffs!Y1822,Sheet1!$B$6:$C$124,2,FALSE)</f>
        <v>0</v>
      </c>
      <c r="AA1822" s="68">
        <f t="shared" si="827"/>
        <v>0</v>
      </c>
      <c r="AB1822" s="63">
        <f t="shared" si="828"/>
        <v>0</v>
      </c>
      <c r="AC1822" s="28">
        <f t="shared" si="833"/>
        <v>0</v>
      </c>
      <c r="AD1822" s="61">
        <v>1</v>
      </c>
      <c r="AE1822" s="59"/>
      <c r="AF1822" s="12" t="s">
        <v>292</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377</v>
      </c>
      <c r="L1823" s="21" t="s">
        <v>378</v>
      </c>
      <c r="N1823" s="22"/>
      <c r="O1823" s="23" t="s">
        <v>357</v>
      </c>
      <c r="P1823" s="24">
        <f>V1823+AA1823+AH1823</f>
        <v>0</v>
      </c>
      <c r="Q1823" s="24"/>
      <c r="R1823" s="24"/>
      <c r="S1823" s="23"/>
      <c r="T1823" s="20"/>
      <c r="U1823" s="19" t="s">
        <v>351</v>
      </c>
      <c r="V1823" s="20">
        <f>W1823*80</f>
        <v>0</v>
      </c>
      <c r="W1823" s="69">
        <f>SUM(W1802:W1822)</f>
        <v>0</v>
      </c>
      <c r="X1823" s="70"/>
      <c r="Y1823" s="20" t="s">
        <v>352</v>
      </c>
      <c r="Z1823" s="2"/>
      <c r="AA1823" s="2">
        <f>SUM(AA1802:AA1822)</f>
        <v>0</v>
      </c>
      <c r="AB1823" s="71"/>
      <c r="AC1823" s="71"/>
      <c r="AD1823" s="71"/>
      <c r="AE1823" s="71"/>
      <c r="AF1823" s="20" t="s">
        <v>356</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hidden="1" x14ac:dyDescent="0.8">
      <c r="A1824" s="262">
        <f>ROW()</f>
        <v>1824</v>
      </c>
      <c r="B1824" s="234" t="s">
        <v>491</v>
      </c>
      <c r="C1824" s="217" t="str">
        <f>N1802</f>
        <v>stair  pressurisation systems</v>
      </c>
      <c r="D1824" s="260" t="s">
        <v>677</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367</v>
      </c>
      <c r="N1824" s="83" t="str">
        <f>N1802</f>
        <v>stair  pressurisation systems</v>
      </c>
      <c r="O1824" s="83" t="s">
        <v>365</v>
      </c>
      <c r="P1824" s="64" t="e">
        <f>P1823/M1802</f>
        <v>#DIV/0!</v>
      </c>
      <c r="Q1824" s="84"/>
      <c r="R1824" s="84"/>
      <c r="S1824" s="83"/>
      <c r="T1824" s="84"/>
      <c r="U1824" s="571" t="s">
        <v>366</v>
      </c>
      <c r="V1824" s="571"/>
      <c r="W1824" s="85" t="e">
        <f>W1823/M1802</f>
        <v>#DIV/0!</v>
      </c>
      <c r="X1824" s="86"/>
      <c r="Y1824" s="570" t="s">
        <v>365</v>
      </c>
      <c r="Z1824" s="570"/>
      <c r="AA1824" s="87" t="e">
        <f>AA1823/M1802</f>
        <v>#DIV/0!</v>
      </c>
      <c r="AB1824" s="84"/>
      <c r="AC1824" s="84"/>
      <c r="AD1824" s="84"/>
      <c r="AE1824" s="84"/>
      <c r="AF1824" s="570" t="s">
        <v>365</v>
      </c>
      <c r="AG1824" s="570"/>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452</v>
      </c>
      <c r="M1825" s="2" t="s">
        <v>107</v>
      </c>
      <c r="N1825" s="2" t="s">
        <v>108</v>
      </c>
      <c r="O1825" s="97" t="s">
        <v>386</v>
      </c>
      <c r="P1825" s="572" t="s">
        <v>375</v>
      </c>
      <c r="Q1825" s="572"/>
      <c r="R1825" s="101" t="s">
        <v>452</v>
      </c>
      <c r="S1825" s="2" t="s">
        <v>0</v>
      </c>
      <c r="T1825" s="9"/>
      <c r="U1825" s="2" t="s">
        <v>287</v>
      </c>
      <c r="V1825" s="2" t="s">
        <v>288</v>
      </c>
      <c r="W1825" s="2" t="s">
        <v>291</v>
      </c>
      <c r="X1825" s="58"/>
      <c r="Y1825" s="2" t="s">
        <v>289</v>
      </c>
      <c r="Z1825" s="2" t="s">
        <v>354</v>
      </c>
      <c r="AA1825" s="2" t="s">
        <v>355</v>
      </c>
      <c r="AB1825" s="2" t="s">
        <v>317</v>
      </c>
      <c r="AC1825" s="2" t="s">
        <v>318</v>
      </c>
      <c r="AD1825" s="2" t="s">
        <v>316</v>
      </c>
      <c r="AE1825" s="58"/>
      <c r="AF1825" s="2" t="s">
        <v>293</v>
      </c>
      <c r="AG1825" s="2" t="s">
        <v>354</v>
      </c>
      <c r="AH1825" s="2" t="s">
        <v>355</v>
      </c>
      <c r="AI1825" s="2" t="s">
        <v>296</v>
      </c>
      <c r="AJ1825" s="2" t="s">
        <v>294</v>
      </c>
      <c r="AK1825" s="2" t="s">
        <v>295</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327</v>
      </c>
      <c r="O1826" s="12" t="s">
        <v>347</v>
      </c>
      <c r="P1826" s="96" t="s">
        <v>379</v>
      </c>
      <c r="Q1826" s="96" t="s">
        <v>375</v>
      </c>
      <c r="R1826" s="96"/>
      <c r="S1826" s="28">
        <f>M1826</f>
        <v>0</v>
      </c>
      <c r="T1826" s="10"/>
      <c r="U1826" s="74" t="s">
        <v>292</v>
      </c>
      <c r="V1826" s="28">
        <f>S1826</f>
        <v>0</v>
      </c>
      <c r="W1826" s="28">
        <f>VLOOKUP(U1826,Sheet1!$B$6:$C$45,2,FALSE)*V1826</f>
        <v>0</v>
      </c>
      <c r="X1826" s="59"/>
      <c r="Y1826" s="12" t="s">
        <v>292</v>
      </c>
      <c r="Z1826" s="68" t="s">
        <v>354</v>
      </c>
      <c r="AA1826" s="68" t="s">
        <v>355</v>
      </c>
      <c r="AB1826" s="63">
        <f>AD1826*AC1826</f>
        <v>0</v>
      </c>
      <c r="AC1826" s="28">
        <f>S1826</f>
        <v>0</v>
      </c>
      <c r="AD1826" s="61">
        <v>1</v>
      </c>
      <c r="AE1826" s="59"/>
      <c r="AF1826" s="12" t="s">
        <v>292</v>
      </c>
      <c r="AG1826" s="68" t="s">
        <v>354</v>
      </c>
      <c r="AH1826" s="68" t="s">
        <v>355</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340</v>
      </c>
      <c r="P1827" s="12"/>
      <c r="Q1827" s="12"/>
      <c r="R1827" s="12"/>
      <c r="S1827" s="28">
        <f>M1826</f>
        <v>0</v>
      </c>
      <c r="T1827" s="11"/>
      <c r="U1827" s="12" t="s">
        <v>235</v>
      </c>
      <c r="V1827" s="28">
        <f t="shared" ref="V1827:V1845" si="840">S1827</f>
        <v>0</v>
      </c>
      <c r="W1827" s="28">
        <f>VLOOKUP(U1827,Sheet1!$B$6:$C$45,2,FALSE)*V1827</f>
        <v>0</v>
      </c>
      <c r="X1827" s="59"/>
      <c r="Y1827" s="12" t="s">
        <v>292</v>
      </c>
      <c r="Z1827" s="68">
        <f>VLOOKUP(Takeoffs!Y1827,Sheet1!$B$6:$C$124,2,FALSE)</f>
        <v>0</v>
      </c>
      <c r="AA1827" s="68">
        <f>Z1827*AB1827</f>
        <v>0</v>
      </c>
      <c r="AB1827" s="63">
        <f t="shared" ref="AB1827:AB1846" si="841">AD1827*AC1827</f>
        <v>0</v>
      </c>
      <c r="AC1827" s="28">
        <f>S1827</f>
        <v>0</v>
      </c>
      <c r="AD1827" s="61">
        <v>1</v>
      </c>
      <c r="AE1827" s="59"/>
      <c r="AF1827" s="12" t="s">
        <v>292</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308</v>
      </c>
      <c r="P1828" s="12"/>
      <c r="Q1828" s="12"/>
      <c r="R1828" s="12"/>
      <c r="S1828" s="28">
        <f>M1826</f>
        <v>0</v>
      </c>
      <c r="T1828" s="11"/>
      <c r="U1828" s="12" t="s">
        <v>292</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292</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305</v>
      </c>
      <c r="P1829" s="12"/>
      <c r="Q1829" s="12"/>
      <c r="R1829" s="12"/>
      <c r="S1829" s="28">
        <f>M1826</f>
        <v>0</v>
      </c>
      <c r="T1829" s="11"/>
      <c r="U1829" s="12" t="s">
        <v>361</v>
      </c>
      <c r="V1829" s="28">
        <f t="shared" si="840"/>
        <v>0</v>
      </c>
      <c r="W1829" s="28">
        <f>VLOOKUP(U1829,Sheet1!$B$6:$C$45,2,FALSE)*V1829</f>
        <v>0</v>
      </c>
      <c r="X1829" s="59"/>
      <c r="Y1829" s="12" t="s">
        <v>292</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323</v>
      </c>
      <c r="P1830" s="12"/>
      <c r="Q1830" s="12"/>
      <c r="R1830" s="12"/>
      <c r="S1830" s="28">
        <f>M1826</f>
        <v>0</v>
      </c>
      <c r="T1830" s="11"/>
      <c r="U1830" s="12" t="s">
        <v>292</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292</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390</v>
      </c>
      <c r="P1831" s="12"/>
      <c r="Q1831" s="12"/>
      <c r="R1831" s="12"/>
      <c r="S1831" s="28">
        <f>M1826</f>
        <v>0</v>
      </c>
      <c r="T1831" s="11"/>
      <c r="U1831" s="12" t="s">
        <v>292</v>
      </c>
      <c r="V1831" s="28">
        <f t="shared" si="840"/>
        <v>0</v>
      </c>
      <c r="W1831" s="28">
        <f>VLOOKUP(U1831,Sheet1!$B$6:$C$45,2,FALSE)*V1831</f>
        <v>0</v>
      </c>
      <c r="X1831" s="59"/>
      <c r="Y1831" s="12" t="s">
        <v>292</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309</v>
      </c>
      <c r="P1832" s="12"/>
      <c r="Q1832" s="12"/>
      <c r="R1832" s="12"/>
      <c r="S1832" s="28">
        <f>M1826</f>
        <v>0</v>
      </c>
      <c r="T1832" s="11"/>
      <c r="U1832" s="12" t="s">
        <v>292</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292</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310</v>
      </c>
      <c r="P1833" s="12"/>
      <c r="Q1833" s="12"/>
      <c r="R1833" s="12"/>
      <c r="S1833" s="28">
        <f>M1826</f>
        <v>0</v>
      </c>
      <c r="T1833" s="11"/>
      <c r="U1833" s="12" t="s">
        <v>292</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292</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324</v>
      </c>
      <c r="P1834" s="12"/>
      <c r="Q1834" s="12"/>
      <c r="R1834" s="12"/>
      <c r="S1834" s="28">
        <f>M1826</f>
        <v>0</v>
      </c>
      <c r="T1834" s="11"/>
      <c r="U1834" s="12" t="s">
        <v>292</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292</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328</v>
      </c>
      <c r="P1835" s="12"/>
      <c r="Q1835" s="12"/>
      <c r="R1835" s="12"/>
      <c r="S1835" s="28">
        <f>M1826</f>
        <v>0</v>
      </c>
      <c r="T1835" s="11"/>
      <c r="U1835" s="12" t="s">
        <v>364</v>
      </c>
      <c r="V1835" s="28">
        <f t="shared" si="840"/>
        <v>0</v>
      </c>
      <c r="W1835" s="28">
        <f>VLOOKUP(U1835,Sheet1!$B$6:$C$45,2,FALSE)*V1835</f>
        <v>0</v>
      </c>
      <c r="X1835" s="59"/>
      <c r="Y1835" s="12" t="s">
        <v>292</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409</v>
      </c>
      <c r="P1836" s="12"/>
      <c r="Q1836" s="12"/>
      <c r="R1836" s="12"/>
      <c r="S1836" s="28">
        <f>M1826</f>
        <v>0</v>
      </c>
      <c r="T1836" s="11"/>
      <c r="U1836" s="12" t="s">
        <v>363</v>
      </c>
      <c r="V1836" s="28">
        <f>3*M1826</f>
        <v>0</v>
      </c>
      <c r="W1836" s="28">
        <f>VLOOKUP(U1836,Sheet1!$B$6:$C$45,2,FALSE)*V1836</f>
        <v>0</v>
      </c>
      <c r="X1836" s="59"/>
      <c r="Y1836" s="13" t="s">
        <v>326</v>
      </c>
      <c r="Z1836" s="68">
        <f>VLOOKUP(Takeoffs!Y1836,Sheet1!$B$6:$C$124,2,FALSE)</f>
        <v>29.04</v>
      </c>
      <c r="AA1836" s="68">
        <f t="shared" si="845"/>
        <v>0</v>
      </c>
      <c r="AB1836" s="63">
        <f t="shared" si="841"/>
        <v>0</v>
      </c>
      <c r="AC1836" s="28">
        <f t="shared" si="847"/>
        <v>0</v>
      </c>
      <c r="AD1836" s="61">
        <v>9</v>
      </c>
      <c r="AE1836" s="59"/>
      <c r="AF1836" s="12" t="s">
        <v>292</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410</v>
      </c>
      <c r="P1837" s="12"/>
      <c r="Q1837" s="12"/>
      <c r="R1837" s="12"/>
      <c r="S1837" s="28">
        <f>M1826</f>
        <v>0</v>
      </c>
      <c r="T1837" s="11"/>
      <c r="U1837" s="12" t="s">
        <v>363</v>
      </c>
      <c r="V1837" s="28">
        <f>14*M1826</f>
        <v>0</v>
      </c>
      <c r="W1837" s="28">
        <f>VLOOKUP(U1837,Sheet1!$B$6:$C$45,2,FALSE)*V1837</f>
        <v>0</v>
      </c>
      <c r="X1837" s="59"/>
      <c r="Y1837" s="13" t="s">
        <v>325</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364</v>
      </c>
      <c r="V1838" s="28">
        <f t="shared" si="840"/>
        <v>0</v>
      </c>
      <c r="W1838" s="28">
        <f>VLOOKUP(U1838,Sheet1!$B$6:$C$45,2,FALSE)*V1838</f>
        <v>0</v>
      </c>
      <c r="X1838" s="59"/>
      <c r="Y1838" s="12" t="s">
        <v>292</v>
      </c>
      <c r="Z1838" s="68">
        <f>VLOOKUP(Takeoffs!Y1838,Sheet1!$B$6:$C$124,2,FALSE)</f>
        <v>0</v>
      </c>
      <c r="AA1838" s="68">
        <f t="shared" si="845"/>
        <v>0</v>
      </c>
      <c r="AB1838" s="63">
        <f t="shared" si="841"/>
        <v>0</v>
      </c>
      <c r="AC1838" s="28">
        <f t="shared" si="847"/>
        <v>0</v>
      </c>
      <c r="AD1838" s="61">
        <v>1</v>
      </c>
      <c r="AE1838" s="59"/>
      <c r="AF1838" s="12" t="s">
        <v>292</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312</v>
      </c>
      <c r="P1839" s="12"/>
      <c r="Q1839" s="12"/>
      <c r="R1839" s="12"/>
      <c r="S1839" s="28">
        <f>M1826</f>
        <v>0</v>
      </c>
      <c r="T1839" s="11"/>
      <c r="U1839" s="12" t="s">
        <v>232</v>
      </c>
      <c r="V1839" s="28">
        <f t="shared" si="840"/>
        <v>0</v>
      </c>
      <c r="W1839" s="28">
        <f>VLOOKUP(U1839,Sheet1!$B$6:$C$45,2,FALSE)*V1839</f>
        <v>0</v>
      </c>
      <c r="X1839" s="59"/>
      <c r="Y1839" s="13" t="s">
        <v>1344</v>
      </c>
      <c r="Z1839" s="68">
        <f>VLOOKUP(Takeoffs!Y1839,Sheet1!$B$6:$C$124,2,FALSE)</f>
        <v>109.25999999999999</v>
      </c>
      <c r="AA1839" s="68">
        <f t="shared" si="845"/>
        <v>0</v>
      </c>
      <c r="AB1839" s="63">
        <f t="shared" si="841"/>
        <v>0</v>
      </c>
      <c r="AC1839" s="28">
        <f t="shared" si="847"/>
        <v>0</v>
      </c>
      <c r="AD1839" s="61">
        <v>1</v>
      </c>
      <c r="AE1839" s="59"/>
      <c r="AF1839" s="12" t="s">
        <v>292</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313</v>
      </c>
      <c r="P1840" s="12"/>
      <c r="Q1840" s="12"/>
      <c r="R1840" s="12"/>
      <c r="S1840" s="28">
        <f>M1826</f>
        <v>0</v>
      </c>
      <c r="T1840" s="11"/>
      <c r="U1840" s="12" t="s">
        <v>363</v>
      </c>
      <c r="V1840" s="28">
        <f t="shared" si="840"/>
        <v>0</v>
      </c>
      <c r="W1840" s="28">
        <f>VLOOKUP(U1840,Sheet1!$B$6:$C$45,2,FALSE)*V1840</f>
        <v>0</v>
      </c>
      <c r="X1840" s="59"/>
      <c r="Y1840" s="13" t="s">
        <v>321</v>
      </c>
      <c r="Z1840" s="68">
        <f>VLOOKUP(Takeoffs!Y1840,Sheet1!$B$6:$C$124,2,FALSE)</f>
        <v>60</v>
      </c>
      <c r="AA1840" s="68">
        <f t="shared" si="845"/>
        <v>0</v>
      </c>
      <c r="AB1840" s="63">
        <f t="shared" si="841"/>
        <v>0</v>
      </c>
      <c r="AC1840" s="28">
        <f t="shared" si="847"/>
        <v>0</v>
      </c>
      <c r="AD1840" s="61">
        <v>1</v>
      </c>
      <c r="AE1840" s="59"/>
      <c r="AF1840" s="12" t="s">
        <v>292</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424</v>
      </c>
      <c r="P1841" s="12"/>
      <c r="Q1841" s="12"/>
      <c r="R1841" s="12"/>
      <c r="S1841" s="28">
        <f>M1826</f>
        <v>0</v>
      </c>
      <c r="T1841" s="11"/>
      <c r="U1841" s="12" t="s">
        <v>292</v>
      </c>
      <c r="V1841" s="28">
        <f t="shared" si="840"/>
        <v>0</v>
      </c>
      <c r="W1841" s="28">
        <f>VLOOKUP(U1841,Sheet1!$B$6:$C$45,2,FALSE)*V1841</f>
        <v>0</v>
      </c>
      <c r="X1841" s="59"/>
      <c r="Y1841" s="13" t="s">
        <v>319</v>
      </c>
      <c r="Z1841" s="68">
        <f>VLOOKUP(Takeoffs!Y1841,Sheet1!$B$6:$C$124,2,FALSE)</f>
        <v>120</v>
      </c>
      <c r="AA1841" s="68">
        <f t="shared" si="845"/>
        <v>0</v>
      </c>
      <c r="AB1841" s="63">
        <f t="shared" si="841"/>
        <v>0</v>
      </c>
      <c r="AC1841" s="28">
        <f t="shared" si="847"/>
        <v>0</v>
      </c>
      <c r="AD1841" s="61">
        <v>1</v>
      </c>
      <c r="AE1841" s="59"/>
      <c r="AF1841" s="12" t="s">
        <v>292</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423</v>
      </c>
      <c r="P1842" s="12"/>
      <c r="Q1842" s="12"/>
      <c r="R1842" s="12"/>
      <c r="S1842" s="28">
        <f>M1826</f>
        <v>0</v>
      </c>
      <c r="T1842" s="11"/>
      <c r="U1842" s="12" t="s">
        <v>292</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292</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425</v>
      </c>
      <c r="P1843" s="12"/>
      <c r="Q1843" s="12"/>
      <c r="R1843" s="12"/>
      <c r="S1843" s="28">
        <f>M1826</f>
        <v>0</v>
      </c>
      <c r="T1843" s="11"/>
      <c r="U1843" s="12" t="s">
        <v>292</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292</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292</v>
      </c>
      <c r="V1844" s="28">
        <f t="shared" si="840"/>
        <v>0</v>
      </c>
      <c r="W1844" s="28">
        <f>VLOOKUP(U1844,Sheet1!$B$6:$C$45,2,FALSE)*V1844</f>
        <v>0</v>
      </c>
      <c r="X1844" s="59"/>
      <c r="Y1844" s="12" t="s">
        <v>292</v>
      </c>
      <c r="Z1844" s="68">
        <f>VLOOKUP(Takeoffs!Y1844,Sheet1!$B$6:$C$124,2,FALSE)</f>
        <v>0</v>
      </c>
      <c r="AA1844" s="68">
        <f t="shared" si="845"/>
        <v>0</v>
      </c>
      <c r="AB1844" s="63">
        <f t="shared" si="841"/>
        <v>0</v>
      </c>
      <c r="AC1844" s="28">
        <f t="shared" si="847"/>
        <v>0</v>
      </c>
      <c r="AD1844" s="61">
        <v>1</v>
      </c>
      <c r="AE1844" s="59"/>
      <c r="AF1844" s="12" t="s">
        <v>292</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412</v>
      </c>
      <c r="P1845" s="12" t="s">
        <v>380</v>
      </c>
      <c r="Q1845" s="12" t="s">
        <v>384</v>
      </c>
      <c r="R1845" s="12"/>
      <c r="S1845" s="28">
        <f>M1826</f>
        <v>0</v>
      </c>
      <c r="T1845" s="11"/>
      <c r="U1845" s="12" t="s">
        <v>292</v>
      </c>
      <c r="V1845" s="28">
        <f t="shared" si="840"/>
        <v>0</v>
      </c>
      <c r="W1845" s="28">
        <f>VLOOKUP(U1845,Sheet1!$B$6:$C$45,2,FALSE)*V1845</f>
        <v>0</v>
      </c>
      <c r="X1845" s="59"/>
      <c r="Y1845" s="13" t="s">
        <v>322</v>
      </c>
      <c r="Z1845" s="68">
        <f>VLOOKUP(Takeoffs!Y1845,Sheet1!$B$6:$C$124,2,FALSE)</f>
        <v>48</v>
      </c>
      <c r="AA1845" s="68">
        <f t="shared" si="845"/>
        <v>0</v>
      </c>
      <c r="AB1845" s="63">
        <f t="shared" si="841"/>
        <v>0</v>
      </c>
      <c r="AC1845" s="28">
        <f t="shared" si="847"/>
        <v>0</v>
      </c>
      <c r="AD1845" s="61">
        <v>1</v>
      </c>
      <c r="AE1845" s="59"/>
      <c r="AF1845" s="12" t="s">
        <v>292</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408</v>
      </c>
      <c r="P1846" s="12"/>
      <c r="Q1846" s="12"/>
      <c r="R1846" s="12"/>
      <c r="S1846" s="28">
        <f>M1826</f>
        <v>0</v>
      </c>
      <c r="T1846" s="11"/>
      <c r="U1846" s="12" t="s">
        <v>363</v>
      </c>
      <c r="V1846" s="28">
        <f>4*M1826</f>
        <v>0</v>
      </c>
      <c r="W1846" s="28">
        <f>VLOOKUP(U1846,Sheet1!$B$6:$C$45,2,FALSE)*V1846</f>
        <v>0</v>
      </c>
      <c r="X1846" s="59"/>
      <c r="Y1846" s="12" t="s">
        <v>292</v>
      </c>
      <c r="Z1846" s="68">
        <f>VLOOKUP(Takeoffs!Y1846,Sheet1!$B$6:$C$124,2,FALSE)</f>
        <v>0</v>
      </c>
      <c r="AA1846" s="68">
        <f t="shared" si="845"/>
        <v>0</v>
      </c>
      <c r="AB1846" s="63">
        <f t="shared" si="841"/>
        <v>0</v>
      </c>
      <c r="AC1846" s="28">
        <f t="shared" si="847"/>
        <v>0</v>
      </c>
      <c r="AD1846" s="61">
        <v>1</v>
      </c>
      <c r="AE1846" s="59"/>
      <c r="AF1846" s="12" t="s">
        <v>292</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377</v>
      </c>
      <c r="L1847" s="21" t="s">
        <v>378</v>
      </c>
      <c r="N1847" s="22"/>
      <c r="O1847" s="23" t="s">
        <v>357</v>
      </c>
      <c r="P1847" s="24">
        <f>V1847+AA1847+AH1847</f>
        <v>0</v>
      </c>
      <c r="Q1847" s="24"/>
      <c r="R1847" s="24"/>
      <c r="S1847" s="23"/>
      <c r="T1847" s="20"/>
      <c r="U1847" s="19" t="s">
        <v>351</v>
      </c>
      <c r="V1847" s="20">
        <f>W1847*80</f>
        <v>0</v>
      </c>
      <c r="W1847" s="69">
        <f>SUM(W1826:W1846)</f>
        <v>0</v>
      </c>
      <c r="X1847" s="70"/>
      <c r="Y1847" s="20" t="s">
        <v>352</v>
      </c>
      <c r="Z1847" s="2"/>
      <c r="AA1847" s="2">
        <f>SUM(AA1826:AA1846)</f>
        <v>0</v>
      </c>
      <c r="AB1847" s="71"/>
      <c r="AC1847" s="71"/>
      <c r="AD1847" s="71"/>
      <c r="AE1847" s="71"/>
      <c r="AF1847" s="20" t="s">
        <v>356</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hidden="1" x14ac:dyDescent="0.8">
      <c r="A1848" s="262">
        <f>ROW()</f>
        <v>1848</v>
      </c>
      <c r="B1848" s="234" t="s">
        <v>491</v>
      </c>
      <c r="C1848" s="217" t="str">
        <f>N1826</f>
        <v>lobby relief system ( including on floor relief dampers)</v>
      </c>
      <c r="D1848" s="260" t="s">
        <v>677</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367</v>
      </c>
      <c r="N1848" s="83" t="str">
        <f>N1826</f>
        <v>lobby relief system ( including on floor relief dampers)</v>
      </c>
      <c r="O1848" s="83" t="s">
        <v>365</v>
      </c>
      <c r="P1848" s="98" t="e">
        <f>P1847/M1826</f>
        <v>#DIV/0!</v>
      </c>
      <c r="Q1848" s="84"/>
      <c r="R1848" s="84"/>
      <c r="S1848" s="83"/>
      <c r="T1848" s="84"/>
      <c r="U1848" s="571" t="s">
        <v>366</v>
      </c>
      <c r="V1848" s="571"/>
      <c r="W1848" s="85" t="e">
        <f>W1847/M1826</f>
        <v>#DIV/0!</v>
      </c>
      <c r="X1848" s="86"/>
      <c r="Y1848" s="570" t="s">
        <v>365</v>
      </c>
      <c r="Z1848" s="570"/>
      <c r="AA1848" s="87" t="e">
        <f>AA1847/M1826</f>
        <v>#DIV/0!</v>
      </c>
      <c r="AB1848" s="84"/>
      <c r="AC1848" s="84"/>
      <c r="AD1848" s="84"/>
      <c r="AE1848" s="84"/>
      <c r="AF1848" s="570" t="s">
        <v>365</v>
      </c>
      <c r="AG1848" s="570"/>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452</v>
      </c>
      <c r="M1849" s="116" t="s">
        <v>107</v>
      </c>
      <c r="N1849" s="116" t="s">
        <v>108</v>
      </c>
      <c r="O1849" s="170" t="s">
        <v>386</v>
      </c>
      <c r="P1849" s="572" t="s">
        <v>375</v>
      </c>
      <c r="Q1849" s="572"/>
      <c r="R1849" s="101" t="s">
        <v>452</v>
      </c>
      <c r="S1849" s="116" t="s">
        <v>0</v>
      </c>
      <c r="T1849" s="118"/>
      <c r="U1849" s="116" t="s">
        <v>287</v>
      </c>
      <c r="V1849" s="116" t="s">
        <v>288</v>
      </c>
      <c r="W1849" s="116" t="s">
        <v>291</v>
      </c>
      <c r="X1849" s="140"/>
      <c r="Y1849" s="116" t="s">
        <v>289</v>
      </c>
      <c r="Z1849" s="116" t="s">
        <v>354</v>
      </c>
      <c r="AA1849" s="116" t="s">
        <v>355</v>
      </c>
      <c r="AB1849" s="116" t="s">
        <v>317</v>
      </c>
      <c r="AC1849" s="116" t="s">
        <v>318</v>
      </c>
      <c r="AD1849" s="116" t="s">
        <v>316</v>
      </c>
      <c r="AE1849" s="140"/>
      <c r="AF1849" s="116" t="s">
        <v>293</v>
      </c>
      <c r="AG1849" s="116" t="s">
        <v>354</v>
      </c>
      <c r="AH1849" s="116" t="s">
        <v>355</v>
      </c>
      <c r="AI1849" s="116" t="s">
        <v>296</v>
      </c>
      <c r="AJ1849" s="116" t="s">
        <v>294</v>
      </c>
      <c r="AK1849" s="116" t="s">
        <v>295</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485</v>
      </c>
      <c r="O1850" s="121" t="s">
        <v>347</v>
      </c>
      <c r="P1850" s="169" t="s">
        <v>379</v>
      </c>
      <c r="Q1850" s="169" t="s">
        <v>375</v>
      </c>
      <c r="R1850" s="169"/>
      <c r="S1850" s="133">
        <f>M1850</f>
        <v>0</v>
      </c>
      <c r="T1850" s="119"/>
      <c r="U1850" s="153" t="s">
        <v>292</v>
      </c>
      <c r="V1850" s="133">
        <f>S1850</f>
        <v>0</v>
      </c>
      <c r="W1850" s="133">
        <f>VLOOKUP(U1850,Sheet1!$B$6:$C$45,2,FALSE)*V1850</f>
        <v>0</v>
      </c>
      <c r="X1850" s="141"/>
      <c r="Y1850" s="121" t="s">
        <v>292</v>
      </c>
      <c r="Z1850" s="146">
        <f>VLOOKUP(Takeoffs!Y1850,Sheet1!$B$6:$C$124,2,FALSE)</f>
        <v>0</v>
      </c>
      <c r="AA1850" s="146">
        <f>Z1850*AB1850</f>
        <v>0</v>
      </c>
      <c r="AB1850" s="143">
        <f>AD1850*AC1850</f>
        <v>0</v>
      </c>
      <c r="AC1850" s="133">
        <f>S1850</f>
        <v>0</v>
      </c>
      <c r="AD1850" s="142">
        <v>1</v>
      </c>
      <c r="AE1850" s="141"/>
      <c r="AF1850" s="121" t="s">
        <v>292</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292</v>
      </c>
      <c r="V1851" s="133">
        <f t="shared" ref="V1851:V1870" si="849">S1851</f>
        <v>0</v>
      </c>
      <c r="W1851" s="133">
        <f>VLOOKUP(U1851,Sheet1!$B$6:$C$45,2,FALSE)*V1851</f>
        <v>0</v>
      </c>
      <c r="X1851" s="141"/>
      <c r="Y1851" s="121" t="s">
        <v>292</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292</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292</v>
      </c>
      <c r="V1852" s="133">
        <f t="shared" si="849"/>
        <v>0</v>
      </c>
      <c r="W1852" s="133">
        <f>VLOOKUP(U1852,Sheet1!$B$6:$C$45,2,FALSE)*V1852</f>
        <v>0</v>
      </c>
      <c r="X1852" s="141"/>
      <c r="Y1852" s="121" t="s">
        <v>292</v>
      </c>
      <c r="Z1852" s="146">
        <f>VLOOKUP(Takeoffs!Y1852,Sheet1!$B$6:$C$124,2,FALSE)</f>
        <v>0</v>
      </c>
      <c r="AA1852" s="146">
        <f t="shared" si="850"/>
        <v>0</v>
      </c>
      <c r="AB1852" s="143">
        <f t="shared" si="851"/>
        <v>0</v>
      </c>
      <c r="AC1852" s="133">
        <f>S1852</f>
        <v>0</v>
      </c>
      <c r="AD1852" s="142">
        <v>1</v>
      </c>
      <c r="AE1852" s="141"/>
      <c r="AF1852" s="121" t="s">
        <v>292</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292</v>
      </c>
      <c r="V1853" s="133">
        <f t="shared" si="849"/>
        <v>0</v>
      </c>
      <c r="W1853" s="133">
        <f>VLOOKUP(U1853,Sheet1!$B$6:$C$45,2,FALSE)*V1853</f>
        <v>0</v>
      </c>
      <c r="X1853" s="141"/>
      <c r="Y1853" s="121" t="s">
        <v>292</v>
      </c>
      <c r="Z1853" s="146">
        <f>VLOOKUP(Takeoffs!Y1853,Sheet1!$B$6:$C$124,2,FALSE)</f>
        <v>0</v>
      </c>
      <c r="AA1853" s="146">
        <f t="shared" si="850"/>
        <v>0</v>
      </c>
      <c r="AB1853" s="143">
        <f t="shared" si="851"/>
        <v>0</v>
      </c>
      <c r="AC1853" s="133">
        <f t="shared" ref="AC1853:AC1870" si="857">S1853</f>
        <v>0</v>
      </c>
      <c r="AD1853" s="142">
        <v>1</v>
      </c>
      <c r="AE1853" s="141"/>
      <c r="AF1853" s="121" t="s">
        <v>292</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292</v>
      </c>
      <c r="V1854" s="133">
        <f t="shared" si="849"/>
        <v>0</v>
      </c>
      <c r="W1854" s="133">
        <f>VLOOKUP(U1854,Sheet1!$B$6:$C$45,2,FALSE)*V1854</f>
        <v>0</v>
      </c>
      <c r="X1854" s="141"/>
      <c r="Y1854" s="121" t="s">
        <v>292</v>
      </c>
      <c r="Z1854" s="146">
        <f>VLOOKUP(Takeoffs!Y1854,Sheet1!$B$6:$C$124,2,FALSE)</f>
        <v>0</v>
      </c>
      <c r="AA1854" s="146">
        <f t="shared" si="850"/>
        <v>0</v>
      </c>
      <c r="AB1854" s="143">
        <f t="shared" si="851"/>
        <v>0</v>
      </c>
      <c r="AC1854" s="133">
        <f t="shared" si="857"/>
        <v>0</v>
      </c>
      <c r="AD1854" s="142">
        <v>1</v>
      </c>
      <c r="AE1854" s="141"/>
      <c r="AF1854" s="121" t="s">
        <v>292</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292</v>
      </c>
      <c r="V1855" s="133">
        <f t="shared" si="849"/>
        <v>0</v>
      </c>
      <c r="W1855" s="133">
        <f>VLOOKUP(U1855,Sheet1!$B$6:$C$45,2,FALSE)*V1855</f>
        <v>0</v>
      </c>
      <c r="X1855" s="141"/>
      <c r="Y1855" s="121" t="s">
        <v>292</v>
      </c>
      <c r="Z1855" s="146">
        <f>VLOOKUP(Takeoffs!Y1855,Sheet1!$B$6:$C$124,2,FALSE)</f>
        <v>0</v>
      </c>
      <c r="AA1855" s="146">
        <f t="shared" si="850"/>
        <v>0</v>
      </c>
      <c r="AB1855" s="143">
        <f t="shared" si="851"/>
        <v>0</v>
      </c>
      <c r="AC1855" s="133">
        <f t="shared" si="857"/>
        <v>0</v>
      </c>
      <c r="AD1855" s="142">
        <v>1</v>
      </c>
      <c r="AE1855" s="141"/>
      <c r="AF1855" s="121" t="s">
        <v>292</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292</v>
      </c>
      <c r="V1856" s="133">
        <f t="shared" si="849"/>
        <v>0</v>
      </c>
      <c r="W1856" s="133">
        <f>VLOOKUP(U1856,Sheet1!$B$6:$C$45,2,FALSE)*V1856</f>
        <v>0</v>
      </c>
      <c r="X1856" s="141"/>
      <c r="Y1856" s="121" t="s">
        <v>292</v>
      </c>
      <c r="Z1856" s="146">
        <f>VLOOKUP(Takeoffs!Y1856,Sheet1!$B$6:$C$124,2,FALSE)</f>
        <v>0</v>
      </c>
      <c r="AA1856" s="146">
        <f t="shared" si="850"/>
        <v>0</v>
      </c>
      <c r="AB1856" s="143">
        <f t="shared" si="851"/>
        <v>0</v>
      </c>
      <c r="AC1856" s="133">
        <f t="shared" si="857"/>
        <v>0</v>
      </c>
      <c r="AD1856" s="142">
        <v>1</v>
      </c>
      <c r="AE1856" s="141"/>
      <c r="AF1856" s="121" t="s">
        <v>292</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292</v>
      </c>
      <c r="V1857" s="133">
        <f t="shared" si="849"/>
        <v>0</v>
      </c>
      <c r="W1857" s="133">
        <f>VLOOKUP(U1857,Sheet1!$B$6:$C$45,2,FALSE)*V1857</f>
        <v>0</v>
      </c>
      <c r="X1857" s="141"/>
      <c r="Y1857" s="121" t="s">
        <v>292</v>
      </c>
      <c r="Z1857" s="146">
        <f>VLOOKUP(Takeoffs!Y1857,Sheet1!$B$6:$C$124,2,FALSE)</f>
        <v>0</v>
      </c>
      <c r="AA1857" s="146">
        <f t="shared" si="850"/>
        <v>0</v>
      </c>
      <c r="AB1857" s="143">
        <f t="shared" si="851"/>
        <v>0</v>
      </c>
      <c r="AC1857" s="133">
        <f t="shared" si="857"/>
        <v>0</v>
      </c>
      <c r="AD1857" s="142">
        <v>1</v>
      </c>
      <c r="AE1857" s="141"/>
      <c r="AF1857" s="121" t="s">
        <v>292</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292</v>
      </c>
      <c r="V1858" s="133">
        <f t="shared" si="849"/>
        <v>0</v>
      </c>
      <c r="W1858" s="133">
        <f>VLOOKUP(U1858,Sheet1!$B$6:$C$45,2,FALSE)*V1858</f>
        <v>0</v>
      </c>
      <c r="X1858" s="141"/>
      <c r="Y1858" s="121" t="s">
        <v>292</v>
      </c>
      <c r="Z1858" s="146">
        <f>VLOOKUP(Takeoffs!Y1858,Sheet1!$B$6:$C$124,2,FALSE)</f>
        <v>0</v>
      </c>
      <c r="AA1858" s="146">
        <f t="shared" si="850"/>
        <v>0</v>
      </c>
      <c r="AB1858" s="143">
        <f t="shared" si="851"/>
        <v>0</v>
      </c>
      <c r="AC1858" s="133">
        <f t="shared" si="857"/>
        <v>0</v>
      </c>
      <c r="AD1858" s="142">
        <v>1</v>
      </c>
      <c r="AE1858" s="141"/>
      <c r="AF1858" s="121" t="s">
        <v>292</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292</v>
      </c>
      <c r="V1859" s="133">
        <f t="shared" si="849"/>
        <v>0</v>
      </c>
      <c r="W1859" s="133">
        <f>VLOOKUP(U1859,Sheet1!$B$6:$C$45,2,FALSE)*V1859</f>
        <v>0</v>
      </c>
      <c r="X1859" s="141"/>
      <c r="Y1859" s="121" t="s">
        <v>292</v>
      </c>
      <c r="Z1859" s="146">
        <f>VLOOKUP(Takeoffs!Y1859,Sheet1!$B$6:$C$124,2,FALSE)</f>
        <v>0</v>
      </c>
      <c r="AA1859" s="146">
        <f t="shared" si="850"/>
        <v>0</v>
      </c>
      <c r="AB1859" s="143">
        <f t="shared" si="851"/>
        <v>0</v>
      </c>
      <c r="AC1859" s="133">
        <f t="shared" si="857"/>
        <v>0</v>
      </c>
      <c r="AD1859" s="142">
        <v>1</v>
      </c>
      <c r="AE1859" s="141"/>
      <c r="AF1859" s="121" t="s">
        <v>292</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504</v>
      </c>
      <c r="P1860" s="121"/>
      <c r="Q1860" s="121"/>
      <c r="R1860" s="121"/>
      <c r="S1860" s="133">
        <f>M1850</f>
        <v>0</v>
      </c>
      <c r="T1860" s="120"/>
      <c r="U1860" s="121" t="s">
        <v>292</v>
      </c>
      <c r="V1860" s="133">
        <f t="shared" si="849"/>
        <v>0</v>
      </c>
      <c r="W1860" s="133">
        <f>VLOOKUP(U1860,Sheet1!$B$6:$C$45,2,FALSE)*V1860</f>
        <v>0</v>
      </c>
      <c r="X1860" s="141"/>
      <c r="Y1860" s="122" t="s">
        <v>325</v>
      </c>
      <c r="Z1860" s="146">
        <f>VLOOKUP(Takeoffs!Y1860,Sheet1!$B$6:$C$124,2,FALSE)</f>
        <v>240</v>
      </c>
      <c r="AA1860" s="146">
        <f t="shared" si="850"/>
        <v>0</v>
      </c>
      <c r="AB1860" s="143">
        <f t="shared" si="851"/>
        <v>0</v>
      </c>
      <c r="AC1860" s="133">
        <f t="shared" si="857"/>
        <v>0</v>
      </c>
      <c r="AD1860" s="142">
        <v>1</v>
      </c>
      <c r="AE1860" s="141"/>
      <c r="AF1860" s="121" t="s">
        <v>292</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292</v>
      </c>
      <c r="V1861" s="133">
        <f t="shared" si="849"/>
        <v>0</v>
      </c>
      <c r="W1861" s="133">
        <f>VLOOKUP(U1861,Sheet1!$B$6:$C$45,2,FALSE)*V1861</f>
        <v>0</v>
      </c>
      <c r="X1861" s="141"/>
      <c r="Y1861" s="121" t="s">
        <v>292</v>
      </c>
      <c r="Z1861" s="146">
        <f>VLOOKUP(Takeoffs!Y1861,Sheet1!$B$6:$C$124,2,FALSE)</f>
        <v>0</v>
      </c>
      <c r="AA1861" s="146">
        <f t="shared" si="850"/>
        <v>0</v>
      </c>
      <c r="AB1861" s="143">
        <f t="shared" si="851"/>
        <v>0</v>
      </c>
      <c r="AC1861" s="133">
        <f t="shared" si="857"/>
        <v>0</v>
      </c>
      <c r="AD1861" s="142">
        <v>1</v>
      </c>
      <c r="AE1861" s="141"/>
      <c r="AF1861" s="121" t="s">
        <v>292</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478</v>
      </c>
      <c r="V1862" s="133">
        <f t="shared" si="849"/>
        <v>0</v>
      </c>
      <c r="W1862" s="133">
        <f>VLOOKUP(U1862,Sheet1!$B$6:$C$45,2,FALSE)*V1862</f>
        <v>0</v>
      </c>
      <c r="X1862" s="141"/>
      <c r="Y1862" s="121" t="s">
        <v>292</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292</v>
      </c>
      <c r="V1863" s="133">
        <f t="shared" si="849"/>
        <v>0</v>
      </c>
      <c r="W1863" s="133">
        <f>VLOOKUP(U1863,Sheet1!$B$6:$C$45,2,FALSE)*V1863</f>
        <v>0</v>
      </c>
      <c r="X1863" s="141"/>
      <c r="Y1863" s="121" t="s">
        <v>292</v>
      </c>
      <c r="Z1863" s="146">
        <f>VLOOKUP(Takeoffs!Y1863,Sheet1!$B$6:$C$124,2,FALSE)</f>
        <v>0</v>
      </c>
      <c r="AA1863" s="146">
        <f t="shared" si="850"/>
        <v>0</v>
      </c>
      <c r="AB1863" s="143">
        <f t="shared" si="851"/>
        <v>0</v>
      </c>
      <c r="AC1863" s="133">
        <f t="shared" si="857"/>
        <v>0</v>
      </c>
      <c r="AD1863" s="142">
        <v>1</v>
      </c>
      <c r="AE1863" s="141"/>
      <c r="AF1863" s="121" t="s">
        <v>292</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292</v>
      </c>
      <c r="V1864" s="133">
        <f t="shared" si="849"/>
        <v>0</v>
      </c>
      <c r="W1864" s="133">
        <f>VLOOKUP(U1864,Sheet1!$B$6:$C$45,2,FALSE)*V1864</f>
        <v>0</v>
      </c>
      <c r="X1864" s="141"/>
      <c r="Y1864" s="121" t="s">
        <v>292</v>
      </c>
      <c r="Z1864" s="146">
        <f>VLOOKUP(Takeoffs!Y1864,Sheet1!$B$6:$C$124,2,FALSE)</f>
        <v>0</v>
      </c>
      <c r="AA1864" s="146">
        <f t="shared" si="850"/>
        <v>0</v>
      </c>
      <c r="AB1864" s="143">
        <f t="shared" si="851"/>
        <v>0</v>
      </c>
      <c r="AC1864" s="133">
        <f t="shared" si="857"/>
        <v>0</v>
      </c>
      <c r="AD1864" s="142">
        <v>1</v>
      </c>
      <c r="AE1864" s="141"/>
      <c r="AF1864" s="121" t="s">
        <v>292</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292</v>
      </c>
      <c r="V1865" s="133">
        <f t="shared" si="849"/>
        <v>0</v>
      </c>
      <c r="W1865" s="133">
        <f>VLOOKUP(U1865,Sheet1!$B$6:$C$45,2,FALSE)*V1865</f>
        <v>0</v>
      </c>
      <c r="X1865" s="141"/>
      <c r="Y1865" s="121" t="s">
        <v>292</v>
      </c>
      <c r="Z1865" s="146">
        <f>VLOOKUP(Takeoffs!Y1865,Sheet1!$B$6:$C$124,2,FALSE)</f>
        <v>0</v>
      </c>
      <c r="AA1865" s="146">
        <f t="shared" si="850"/>
        <v>0</v>
      </c>
      <c r="AB1865" s="143">
        <f t="shared" si="851"/>
        <v>0</v>
      </c>
      <c r="AC1865" s="133">
        <f t="shared" si="857"/>
        <v>0</v>
      </c>
      <c r="AD1865" s="142">
        <v>1</v>
      </c>
      <c r="AE1865" s="141"/>
      <c r="AF1865" s="121" t="s">
        <v>292</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292</v>
      </c>
      <c r="V1866" s="133">
        <f t="shared" si="849"/>
        <v>0</v>
      </c>
      <c r="W1866" s="133">
        <f>VLOOKUP(U1866,Sheet1!$B$6:$C$45,2,FALSE)*V1866</f>
        <v>0</v>
      </c>
      <c r="X1866" s="141"/>
      <c r="Y1866" s="121" t="s">
        <v>292</v>
      </c>
      <c r="Z1866" s="146">
        <f>VLOOKUP(Takeoffs!Y1866,Sheet1!$B$6:$C$124,2,FALSE)</f>
        <v>0</v>
      </c>
      <c r="AA1866" s="146">
        <f t="shared" si="850"/>
        <v>0</v>
      </c>
      <c r="AB1866" s="143">
        <f t="shared" si="851"/>
        <v>0</v>
      </c>
      <c r="AC1866" s="133">
        <f t="shared" si="857"/>
        <v>0</v>
      </c>
      <c r="AD1866" s="142">
        <v>1</v>
      </c>
      <c r="AE1866" s="141"/>
      <c r="AF1866" s="121" t="s">
        <v>292</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292</v>
      </c>
      <c r="V1867" s="133">
        <f t="shared" si="849"/>
        <v>0</v>
      </c>
      <c r="W1867" s="133">
        <f>VLOOKUP(U1867,Sheet1!$B$6:$C$45,2,FALSE)*V1867</f>
        <v>0</v>
      </c>
      <c r="X1867" s="141"/>
      <c r="Y1867" s="121" t="s">
        <v>292</v>
      </c>
      <c r="Z1867" s="146">
        <f>VLOOKUP(Takeoffs!Y1867,Sheet1!$B$6:$C$124,2,FALSE)</f>
        <v>0</v>
      </c>
      <c r="AA1867" s="146">
        <f t="shared" si="850"/>
        <v>0</v>
      </c>
      <c r="AB1867" s="143">
        <f t="shared" si="851"/>
        <v>0</v>
      </c>
      <c r="AC1867" s="133">
        <f t="shared" si="857"/>
        <v>0</v>
      </c>
      <c r="AD1867" s="142">
        <v>1</v>
      </c>
      <c r="AE1867" s="141"/>
      <c r="AF1867" s="121" t="s">
        <v>292</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292</v>
      </c>
      <c r="V1868" s="133">
        <f t="shared" si="849"/>
        <v>0</v>
      </c>
      <c r="W1868" s="133">
        <f>VLOOKUP(U1868,Sheet1!$B$6:$C$45,2,FALSE)*V1868</f>
        <v>0</v>
      </c>
      <c r="X1868" s="141"/>
      <c r="Y1868" s="121" t="s">
        <v>292</v>
      </c>
      <c r="Z1868" s="146">
        <f>VLOOKUP(Takeoffs!Y1868,Sheet1!$B$6:$C$124,2,FALSE)</f>
        <v>0</v>
      </c>
      <c r="AA1868" s="146">
        <f t="shared" si="850"/>
        <v>0</v>
      </c>
      <c r="AB1868" s="143">
        <f t="shared" si="851"/>
        <v>0</v>
      </c>
      <c r="AC1868" s="133">
        <f t="shared" si="857"/>
        <v>0</v>
      </c>
      <c r="AD1868" s="142">
        <v>1</v>
      </c>
      <c r="AE1868" s="141"/>
      <c r="AF1868" s="121" t="s">
        <v>292</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412</v>
      </c>
      <c r="P1869" s="121" t="s">
        <v>380</v>
      </c>
      <c r="Q1869" s="121" t="s">
        <v>384</v>
      </c>
      <c r="R1869" s="121"/>
      <c r="S1869" s="133">
        <f>M1850</f>
        <v>0</v>
      </c>
      <c r="T1869" s="120"/>
      <c r="U1869" s="121" t="s">
        <v>292</v>
      </c>
      <c r="V1869" s="133">
        <f t="shared" si="849"/>
        <v>0</v>
      </c>
      <c r="W1869" s="133">
        <f>VLOOKUP(U1869,Sheet1!$B$6:$C$45,2,FALSE)*V1869</f>
        <v>0</v>
      </c>
      <c r="X1869" s="141"/>
      <c r="Y1869" s="122" t="s">
        <v>322</v>
      </c>
      <c r="Z1869" s="146">
        <f>VLOOKUP(Takeoffs!Y1869,Sheet1!$B$6:$C$124,2,FALSE)</f>
        <v>48</v>
      </c>
      <c r="AA1869" s="146">
        <f t="shared" si="850"/>
        <v>0</v>
      </c>
      <c r="AB1869" s="143">
        <f t="shared" si="851"/>
        <v>0</v>
      </c>
      <c r="AC1869" s="133">
        <f t="shared" si="857"/>
        <v>0</v>
      </c>
      <c r="AD1869" s="142">
        <v>1</v>
      </c>
      <c r="AE1869" s="141"/>
      <c r="AF1869" s="121" t="s">
        <v>292</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408</v>
      </c>
      <c r="P1870" s="121"/>
      <c r="Q1870" s="121"/>
      <c r="R1870" s="121"/>
      <c r="S1870" s="133">
        <f>M1850</f>
        <v>0</v>
      </c>
      <c r="T1870" s="120"/>
      <c r="U1870" s="121" t="s">
        <v>363</v>
      </c>
      <c r="V1870" s="133">
        <f t="shared" si="849"/>
        <v>0</v>
      </c>
      <c r="W1870" s="133">
        <f>VLOOKUP(U1870,Sheet1!$B$6:$C$45,2,FALSE)*V1870</f>
        <v>0</v>
      </c>
      <c r="X1870" s="141"/>
      <c r="Y1870" s="121" t="s">
        <v>292</v>
      </c>
      <c r="Z1870" s="146">
        <f>VLOOKUP(Takeoffs!Y1870,Sheet1!$B$6:$C$124,2,FALSE)</f>
        <v>0</v>
      </c>
      <c r="AA1870" s="146">
        <f t="shared" si="850"/>
        <v>0</v>
      </c>
      <c r="AB1870" s="143">
        <f t="shared" si="851"/>
        <v>0</v>
      </c>
      <c r="AC1870" s="133">
        <f t="shared" si="857"/>
        <v>0</v>
      </c>
      <c r="AD1870" s="142">
        <v>1</v>
      </c>
      <c r="AE1870" s="141"/>
      <c r="AF1870" s="121" t="s">
        <v>292</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377</v>
      </c>
      <c r="L1871" s="128" t="s">
        <v>378</v>
      </c>
      <c r="N1871" s="129"/>
      <c r="O1871" s="130" t="s">
        <v>357</v>
      </c>
      <c r="P1871" s="131">
        <f>V1871+AA1871+AH1871</f>
        <v>0</v>
      </c>
      <c r="Q1871" s="131"/>
      <c r="R1871" s="131"/>
      <c r="S1871" s="130"/>
      <c r="T1871" s="127"/>
      <c r="U1871" s="126" t="s">
        <v>351</v>
      </c>
      <c r="V1871" s="127">
        <f>W1871*80</f>
        <v>0</v>
      </c>
      <c r="W1871" s="147">
        <f>SUM(W1850:W1870)</f>
        <v>0</v>
      </c>
      <c r="X1871" s="148"/>
      <c r="Y1871" s="127" t="s">
        <v>352</v>
      </c>
      <c r="Z1871" s="116"/>
      <c r="AA1871" s="116">
        <f>SUM(AA1850:AA1870)</f>
        <v>0</v>
      </c>
      <c r="AB1871" s="149"/>
      <c r="AC1871" s="149"/>
      <c r="AD1871" s="149"/>
      <c r="AE1871" s="149"/>
      <c r="AF1871" s="127" t="s">
        <v>356</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hidden="1" x14ac:dyDescent="0.8">
      <c r="A1872" s="262">
        <f>ROW()</f>
        <v>1872</v>
      </c>
      <c r="B1872" s="234" t="s">
        <v>491</v>
      </c>
      <c r="C1872" s="217" t="str">
        <f>N1850</f>
        <v>Fire essential spring return damper actuator</v>
      </c>
      <c r="D1872" s="260" t="s">
        <v>677</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367</v>
      </c>
      <c r="N1872" s="160" t="str">
        <f>N1850</f>
        <v>Fire essential spring return damper actuator</v>
      </c>
      <c r="O1872" s="160" t="s">
        <v>365</v>
      </c>
      <c r="P1872" s="64" t="e">
        <f>P1871/M1850</f>
        <v>#DIV/0!</v>
      </c>
      <c r="Q1872" s="161"/>
      <c r="R1872" s="161"/>
      <c r="S1872" s="160"/>
      <c r="T1872" s="161"/>
      <c r="U1872" s="571" t="s">
        <v>366</v>
      </c>
      <c r="V1872" s="571"/>
      <c r="W1872" s="162" t="e">
        <f>W1871/M1850</f>
        <v>#DIV/0!</v>
      </c>
      <c r="X1872" s="163"/>
      <c r="Y1872" s="570" t="s">
        <v>365</v>
      </c>
      <c r="Z1872" s="570"/>
      <c r="AA1872" s="164" t="e">
        <f>AA1871/M1850</f>
        <v>#DIV/0!</v>
      </c>
      <c r="AB1872" s="161"/>
      <c r="AC1872" s="161"/>
      <c r="AD1872" s="161"/>
      <c r="AE1872" s="161"/>
      <c r="AF1872" s="570" t="s">
        <v>365</v>
      </c>
      <c r="AG1872" s="570"/>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452</v>
      </c>
      <c r="M1873" s="116" t="s">
        <v>107</v>
      </c>
      <c r="N1873" s="116" t="s">
        <v>108</v>
      </c>
      <c r="O1873" s="170" t="s">
        <v>386</v>
      </c>
      <c r="P1873" s="572" t="s">
        <v>375</v>
      </c>
      <c r="Q1873" s="572"/>
      <c r="R1873" s="101" t="s">
        <v>452</v>
      </c>
      <c r="S1873" s="116" t="s">
        <v>0</v>
      </c>
      <c r="T1873" s="118"/>
      <c r="U1873" s="116" t="s">
        <v>287</v>
      </c>
      <c r="V1873" s="116" t="s">
        <v>288</v>
      </c>
      <c r="W1873" s="116" t="s">
        <v>291</v>
      </c>
      <c r="X1873" s="140"/>
      <c r="Y1873" s="116" t="s">
        <v>289</v>
      </c>
      <c r="Z1873" s="116" t="s">
        <v>354</v>
      </c>
      <c r="AA1873" s="116" t="s">
        <v>355</v>
      </c>
      <c r="AB1873" s="116" t="s">
        <v>317</v>
      </c>
      <c r="AC1873" s="116" t="s">
        <v>318</v>
      </c>
      <c r="AD1873" s="116" t="s">
        <v>316</v>
      </c>
      <c r="AE1873" s="140"/>
      <c r="AF1873" s="116" t="s">
        <v>293</v>
      </c>
      <c r="AG1873" s="116" t="s">
        <v>354</v>
      </c>
      <c r="AH1873" s="116" t="s">
        <v>355</v>
      </c>
      <c r="AI1873" s="116" t="s">
        <v>296</v>
      </c>
      <c r="AJ1873" s="116" t="s">
        <v>294</v>
      </c>
      <c r="AK1873" s="116" t="s">
        <v>295</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486</v>
      </c>
      <c r="O1874" s="121" t="s">
        <v>347</v>
      </c>
      <c r="P1874" s="169" t="s">
        <v>379</v>
      </c>
      <c r="Q1874" s="169" t="s">
        <v>375</v>
      </c>
      <c r="R1874" s="169"/>
      <c r="S1874" s="133">
        <f>M1874</f>
        <v>0</v>
      </c>
      <c r="T1874" s="119"/>
      <c r="U1874" s="153" t="s">
        <v>292</v>
      </c>
      <c r="V1874" s="133">
        <f>S1874</f>
        <v>0</v>
      </c>
      <c r="W1874" s="133">
        <f>VLOOKUP(U1874,Sheet1!$B$6:$C$45,2,FALSE)*V1874</f>
        <v>0</v>
      </c>
      <c r="X1874" s="141"/>
      <c r="Y1874" s="121" t="s">
        <v>292</v>
      </c>
      <c r="Z1874" s="146" t="s">
        <v>354</v>
      </c>
      <c r="AA1874" s="146" t="s">
        <v>355</v>
      </c>
      <c r="AB1874" s="143">
        <f>AD1874*AC1874</f>
        <v>0</v>
      </c>
      <c r="AC1874" s="133">
        <f>S1874</f>
        <v>0</v>
      </c>
      <c r="AD1874" s="142">
        <v>1</v>
      </c>
      <c r="AE1874" s="141"/>
      <c r="AF1874" s="121" t="s">
        <v>292</v>
      </c>
      <c r="AG1874" s="146" t="s">
        <v>354</v>
      </c>
      <c r="AH1874" s="146" t="s">
        <v>355</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340</v>
      </c>
      <c r="P1875" s="121"/>
      <c r="Q1875" s="121"/>
      <c r="R1875" s="121"/>
      <c r="S1875" s="133">
        <f>M1874</f>
        <v>0</v>
      </c>
      <c r="T1875" s="120"/>
      <c r="U1875" s="121" t="s">
        <v>235</v>
      </c>
      <c r="V1875" s="133">
        <f t="shared" ref="V1875:V1883" si="859">S1875</f>
        <v>0</v>
      </c>
      <c r="W1875" s="133">
        <f>VLOOKUP(U1875,Sheet1!$B$6:$C$45,2,FALSE)*V1875</f>
        <v>0</v>
      </c>
      <c r="X1875" s="141"/>
      <c r="Y1875" s="121" t="s">
        <v>292</v>
      </c>
      <c r="Z1875" s="146">
        <f>VLOOKUP(Takeoffs!Y1875,Sheet1!$B$6:$C$124,2,FALSE)</f>
        <v>0</v>
      </c>
      <c r="AA1875" s="146">
        <f>Z1875*AB1875</f>
        <v>0</v>
      </c>
      <c r="AB1875" s="143">
        <f t="shared" ref="AB1875:AB1894" si="860">AD1875*AC1875</f>
        <v>0</v>
      </c>
      <c r="AC1875" s="133">
        <f>S1875</f>
        <v>0</v>
      </c>
      <c r="AD1875" s="142">
        <v>1</v>
      </c>
      <c r="AE1875" s="141"/>
      <c r="AF1875" s="121" t="s">
        <v>292</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308</v>
      </c>
      <c r="P1876" s="121"/>
      <c r="Q1876" s="121"/>
      <c r="R1876" s="121"/>
      <c r="S1876" s="133">
        <f>M1874</f>
        <v>0</v>
      </c>
      <c r="T1876" s="120"/>
      <c r="U1876" s="121" t="s">
        <v>292</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292</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305</v>
      </c>
      <c r="P1877" s="121"/>
      <c r="Q1877" s="121"/>
      <c r="R1877" s="121"/>
      <c r="S1877" s="133">
        <f>M1874</f>
        <v>0</v>
      </c>
      <c r="T1877" s="120"/>
      <c r="U1877" s="121" t="s">
        <v>361</v>
      </c>
      <c r="V1877" s="133">
        <f t="shared" si="859"/>
        <v>0</v>
      </c>
      <c r="W1877" s="133">
        <f>VLOOKUP(U1877,Sheet1!$B$6:$C$45,2,FALSE)*V1877</f>
        <v>0</v>
      </c>
      <c r="X1877" s="141"/>
      <c r="Y1877" s="121" t="s">
        <v>292</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323</v>
      </c>
      <c r="P1878" s="121"/>
      <c r="Q1878" s="121"/>
      <c r="R1878" s="121"/>
      <c r="S1878" s="133">
        <f>M1874</f>
        <v>0</v>
      </c>
      <c r="T1878" s="120"/>
      <c r="U1878" s="121" t="s">
        <v>292</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292</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390</v>
      </c>
      <c r="P1879" s="121"/>
      <c r="Q1879" s="121"/>
      <c r="R1879" s="121"/>
      <c r="S1879" s="133">
        <f>M1874</f>
        <v>0</v>
      </c>
      <c r="T1879" s="120"/>
      <c r="U1879" s="121" t="s">
        <v>292</v>
      </c>
      <c r="V1879" s="133">
        <f t="shared" si="859"/>
        <v>0</v>
      </c>
      <c r="W1879" s="133">
        <f>VLOOKUP(U1879,Sheet1!$B$6:$C$45,2,FALSE)*V1879</f>
        <v>0</v>
      </c>
      <c r="X1879" s="141"/>
      <c r="Y1879" s="121" t="s">
        <v>292</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309</v>
      </c>
      <c r="P1880" s="121"/>
      <c r="Q1880" s="121"/>
      <c r="R1880" s="121"/>
      <c r="S1880" s="133">
        <f>M1874</f>
        <v>0</v>
      </c>
      <c r="T1880" s="120"/>
      <c r="U1880" s="121" t="s">
        <v>292</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292</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310</v>
      </c>
      <c r="P1881" s="121"/>
      <c r="Q1881" s="121"/>
      <c r="R1881" s="121"/>
      <c r="S1881" s="133">
        <f>M1874</f>
        <v>0</v>
      </c>
      <c r="T1881" s="120"/>
      <c r="U1881" s="121" t="s">
        <v>292</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292</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324</v>
      </c>
      <c r="P1882" s="121"/>
      <c r="Q1882" s="121"/>
      <c r="R1882" s="121"/>
      <c r="S1882" s="133">
        <f>M1874</f>
        <v>0</v>
      </c>
      <c r="T1882" s="120"/>
      <c r="U1882" s="121" t="s">
        <v>292</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292</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328</v>
      </c>
      <c r="P1883" s="121"/>
      <c r="Q1883" s="121"/>
      <c r="R1883" s="121"/>
      <c r="S1883" s="133">
        <f>M1874</f>
        <v>0</v>
      </c>
      <c r="T1883" s="120"/>
      <c r="U1883" s="121" t="s">
        <v>364</v>
      </c>
      <c r="V1883" s="133">
        <f t="shared" si="859"/>
        <v>0</v>
      </c>
      <c r="W1883" s="133">
        <f>VLOOKUP(U1883,Sheet1!$B$6:$C$45,2,FALSE)*V1883</f>
        <v>0</v>
      </c>
      <c r="X1883" s="141"/>
      <c r="Y1883" s="121" t="s">
        <v>292</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409</v>
      </c>
      <c r="P1884" s="121"/>
      <c r="Q1884" s="121"/>
      <c r="R1884" s="121"/>
      <c r="S1884" s="133">
        <f>M1874</f>
        <v>0</v>
      </c>
      <c r="T1884" s="120"/>
      <c r="U1884" s="121" t="s">
        <v>363</v>
      </c>
      <c r="V1884" s="133">
        <f>3*M1874</f>
        <v>0</v>
      </c>
      <c r="W1884" s="133">
        <f>VLOOKUP(U1884,Sheet1!$B$6:$C$45,2,FALSE)*V1884</f>
        <v>0</v>
      </c>
      <c r="X1884" s="141"/>
      <c r="Y1884" s="122" t="s">
        <v>326</v>
      </c>
      <c r="Z1884" s="146">
        <f>VLOOKUP(Takeoffs!Y1884,Sheet1!$B$6:$C$124,2,FALSE)</f>
        <v>29.04</v>
      </c>
      <c r="AA1884" s="146">
        <f t="shared" si="864"/>
        <v>0</v>
      </c>
      <c r="AB1884" s="143">
        <f t="shared" si="860"/>
        <v>0</v>
      </c>
      <c r="AC1884" s="133">
        <f t="shared" si="871"/>
        <v>0</v>
      </c>
      <c r="AD1884" s="142">
        <v>4</v>
      </c>
      <c r="AE1884" s="141"/>
      <c r="AF1884" s="121" t="s">
        <v>292</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410</v>
      </c>
      <c r="P1885" s="121"/>
      <c r="Q1885" s="121"/>
      <c r="R1885" s="121"/>
      <c r="S1885" s="133">
        <f>M1874</f>
        <v>0</v>
      </c>
      <c r="T1885" s="120"/>
      <c r="U1885" s="121" t="s">
        <v>363</v>
      </c>
      <c r="V1885" s="133">
        <f>14*M1874</f>
        <v>0</v>
      </c>
      <c r="W1885" s="133">
        <f>VLOOKUP(U1885,Sheet1!$B$6:$C$45,2,FALSE)*V1885</f>
        <v>0</v>
      </c>
      <c r="X1885" s="141"/>
      <c r="Y1885" s="122" t="s">
        <v>325</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364</v>
      </c>
      <c r="V1886" s="133">
        <f t="shared" ref="V1886:V1893" si="872">S1886</f>
        <v>0</v>
      </c>
      <c r="W1886" s="133">
        <f>VLOOKUP(U1886,Sheet1!$B$6:$C$45,2,FALSE)*V1886</f>
        <v>0</v>
      </c>
      <c r="X1886" s="141"/>
      <c r="Y1886" s="121" t="s">
        <v>292</v>
      </c>
      <c r="Z1886" s="146">
        <f>VLOOKUP(Takeoffs!Y1886,Sheet1!$B$6:$C$124,2,FALSE)</f>
        <v>0</v>
      </c>
      <c r="AA1886" s="146">
        <f t="shared" si="864"/>
        <v>0</v>
      </c>
      <c r="AB1886" s="143">
        <f t="shared" si="860"/>
        <v>0</v>
      </c>
      <c r="AC1886" s="133">
        <f t="shared" si="871"/>
        <v>0</v>
      </c>
      <c r="AD1886" s="142">
        <v>1</v>
      </c>
      <c r="AE1886" s="141"/>
      <c r="AF1886" s="121" t="s">
        <v>292</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312</v>
      </c>
      <c r="P1887" s="121"/>
      <c r="Q1887" s="121"/>
      <c r="R1887" s="121"/>
      <c r="S1887" s="133">
        <f>M1874</f>
        <v>0</v>
      </c>
      <c r="T1887" s="120"/>
      <c r="U1887" s="121" t="s">
        <v>232</v>
      </c>
      <c r="V1887" s="133">
        <f t="shared" si="872"/>
        <v>0</v>
      </c>
      <c r="W1887" s="133">
        <f>VLOOKUP(U1887,Sheet1!$B$6:$C$45,2,FALSE)*V1887</f>
        <v>0</v>
      </c>
      <c r="X1887" s="141"/>
      <c r="Y1887" s="122" t="s">
        <v>1344</v>
      </c>
      <c r="Z1887" s="146">
        <f>VLOOKUP(Takeoffs!Y1887,Sheet1!$B$6:$C$124,2,FALSE)</f>
        <v>109.25999999999999</v>
      </c>
      <c r="AA1887" s="146">
        <f t="shared" si="864"/>
        <v>0</v>
      </c>
      <c r="AB1887" s="143">
        <f t="shared" si="860"/>
        <v>0</v>
      </c>
      <c r="AC1887" s="133">
        <f t="shared" si="871"/>
        <v>0</v>
      </c>
      <c r="AD1887" s="142">
        <v>1</v>
      </c>
      <c r="AE1887" s="141"/>
      <c r="AF1887" s="121" t="s">
        <v>292</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313</v>
      </c>
      <c r="P1888" s="121"/>
      <c r="Q1888" s="121"/>
      <c r="R1888" s="121"/>
      <c r="S1888" s="133">
        <f>M1874</f>
        <v>0</v>
      </c>
      <c r="T1888" s="120"/>
      <c r="U1888" s="121" t="s">
        <v>363</v>
      </c>
      <c r="V1888" s="133">
        <f t="shared" si="872"/>
        <v>0</v>
      </c>
      <c r="W1888" s="133">
        <f>VLOOKUP(U1888,Sheet1!$B$6:$C$45,2,FALSE)*V1888</f>
        <v>0</v>
      </c>
      <c r="X1888" s="141"/>
      <c r="Y1888" s="122" t="s">
        <v>321</v>
      </c>
      <c r="Z1888" s="146">
        <f>VLOOKUP(Takeoffs!Y1888,Sheet1!$B$6:$C$124,2,FALSE)</f>
        <v>60</v>
      </c>
      <c r="AA1888" s="146">
        <f t="shared" si="864"/>
        <v>0</v>
      </c>
      <c r="AB1888" s="143">
        <f t="shared" si="860"/>
        <v>0</v>
      </c>
      <c r="AC1888" s="133">
        <f t="shared" si="871"/>
        <v>0</v>
      </c>
      <c r="AD1888" s="142">
        <v>1</v>
      </c>
      <c r="AE1888" s="141"/>
      <c r="AF1888" s="121" t="s">
        <v>292</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424</v>
      </c>
      <c r="P1889" s="121"/>
      <c r="Q1889" s="121"/>
      <c r="R1889" s="121"/>
      <c r="S1889" s="133">
        <f>M1874</f>
        <v>0</v>
      </c>
      <c r="T1889" s="120"/>
      <c r="U1889" s="121" t="s">
        <v>292</v>
      </c>
      <c r="V1889" s="133">
        <f t="shared" si="872"/>
        <v>0</v>
      </c>
      <c r="W1889" s="133">
        <f>VLOOKUP(U1889,Sheet1!$B$6:$C$45,2,FALSE)*V1889</f>
        <v>0</v>
      </c>
      <c r="X1889" s="141"/>
      <c r="Y1889" s="122" t="s">
        <v>319</v>
      </c>
      <c r="Z1889" s="146">
        <f>VLOOKUP(Takeoffs!Y1889,Sheet1!$B$6:$C$124,2,FALSE)</f>
        <v>120</v>
      </c>
      <c r="AA1889" s="146">
        <f t="shared" si="864"/>
        <v>0</v>
      </c>
      <c r="AB1889" s="143">
        <f t="shared" si="860"/>
        <v>0</v>
      </c>
      <c r="AC1889" s="133">
        <f t="shared" si="871"/>
        <v>0</v>
      </c>
      <c r="AD1889" s="142">
        <v>1</v>
      </c>
      <c r="AE1889" s="141"/>
      <c r="AF1889" s="121" t="s">
        <v>292</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423</v>
      </c>
      <c r="P1890" s="121"/>
      <c r="Q1890" s="121"/>
      <c r="R1890" s="121"/>
      <c r="S1890" s="133">
        <f>M1874</f>
        <v>0</v>
      </c>
      <c r="T1890" s="120"/>
      <c r="U1890" s="121" t="s">
        <v>292</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292</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425</v>
      </c>
      <c r="P1891" s="121"/>
      <c r="Q1891" s="121"/>
      <c r="R1891" s="121"/>
      <c r="S1891" s="133">
        <f>M1874</f>
        <v>0</v>
      </c>
      <c r="T1891" s="120"/>
      <c r="U1891" s="121" t="s">
        <v>292</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292</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292</v>
      </c>
      <c r="V1892" s="133">
        <f t="shared" si="872"/>
        <v>0</v>
      </c>
      <c r="W1892" s="133">
        <f>VLOOKUP(U1892,Sheet1!$B$6:$C$45,2,FALSE)*V1892</f>
        <v>0</v>
      </c>
      <c r="X1892" s="141"/>
      <c r="Y1892" s="121" t="s">
        <v>292</v>
      </c>
      <c r="Z1892" s="146">
        <f>VLOOKUP(Takeoffs!Y1892,Sheet1!$B$6:$C$124,2,FALSE)</f>
        <v>0</v>
      </c>
      <c r="AA1892" s="146">
        <f t="shared" si="864"/>
        <v>0</v>
      </c>
      <c r="AB1892" s="143">
        <f t="shared" si="860"/>
        <v>0</v>
      </c>
      <c r="AC1892" s="133">
        <f t="shared" si="871"/>
        <v>0</v>
      </c>
      <c r="AD1892" s="142">
        <v>1</v>
      </c>
      <c r="AE1892" s="141"/>
      <c r="AF1892" s="121" t="s">
        <v>292</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412</v>
      </c>
      <c r="P1893" s="121" t="s">
        <v>380</v>
      </c>
      <c r="Q1893" s="121" t="s">
        <v>384</v>
      </c>
      <c r="R1893" s="121"/>
      <c r="S1893" s="133">
        <f>M1874</f>
        <v>0</v>
      </c>
      <c r="T1893" s="120"/>
      <c r="U1893" s="121" t="s">
        <v>292</v>
      </c>
      <c r="V1893" s="133">
        <f t="shared" si="872"/>
        <v>0</v>
      </c>
      <c r="W1893" s="133">
        <f>VLOOKUP(U1893,Sheet1!$B$6:$C$45,2,FALSE)*V1893</f>
        <v>0</v>
      </c>
      <c r="X1893" s="141"/>
      <c r="Y1893" s="122" t="s">
        <v>322</v>
      </c>
      <c r="Z1893" s="146">
        <f>VLOOKUP(Takeoffs!Y1893,Sheet1!$B$6:$C$124,2,FALSE)</f>
        <v>48</v>
      </c>
      <c r="AA1893" s="146">
        <f t="shared" si="864"/>
        <v>0</v>
      </c>
      <c r="AB1893" s="143">
        <f t="shared" si="860"/>
        <v>0</v>
      </c>
      <c r="AC1893" s="133">
        <f t="shared" si="871"/>
        <v>0</v>
      </c>
      <c r="AD1893" s="142">
        <v>1</v>
      </c>
      <c r="AE1893" s="141"/>
      <c r="AF1893" s="121" t="s">
        <v>292</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408</v>
      </c>
      <c r="P1894" s="121"/>
      <c r="Q1894" s="121"/>
      <c r="R1894" s="121"/>
      <c r="S1894" s="133">
        <f>M1874</f>
        <v>0</v>
      </c>
      <c r="T1894" s="120"/>
      <c r="U1894" s="121" t="s">
        <v>363</v>
      </c>
      <c r="V1894" s="133">
        <f>4*M1874</f>
        <v>0</v>
      </c>
      <c r="W1894" s="133">
        <f>VLOOKUP(U1894,Sheet1!$B$6:$C$45,2,FALSE)*V1894</f>
        <v>0</v>
      </c>
      <c r="X1894" s="141"/>
      <c r="Y1894" s="121" t="s">
        <v>292</v>
      </c>
      <c r="Z1894" s="146">
        <f>VLOOKUP(Takeoffs!Y1894,Sheet1!$B$6:$C$124,2,FALSE)</f>
        <v>0</v>
      </c>
      <c r="AA1894" s="146">
        <f t="shared" si="864"/>
        <v>0</v>
      </c>
      <c r="AB1894" s="143">
        <f t="shared" si="860"/>
        <v>0</v>
      </c>
      <c r="AC1894" s="133">
        <f t="shared" si="871"/>
        <v>0</v>
      </c>
      <c r="AD1894" s="142">
        <v>1</v>
      </c>
      <c r="AE1894" s="141"/>
      <c r="AF1894" s="121" t="s">
        <v>292</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377</v>
      </c>
      <c r="L1895" s="128" t="s">
        <v>378</v>
      </c>
      <c r="N1895" s="129"/>
      <c r="O1895" s="130" t="s">
        <v>357</v>
      </c>
      <c r="P1895" s="131">
        <f>V1895+AA1895+AH1895</f>
        <v>0</v>
      </c>
      <c r="Q1895" s="131"/>
      <c r="R1895" s="131"/>
      <c r="S1895" s="130"/>
      <c r="T1895" s="127"/>
      <c r="U1895" s="126" t="s">
        <v>351</v>
      </c>
      <c r="V1895" s="127">
        <f>W1895*80</f>
        <v>0</v>
      </c>
      <c r="W1895" s="147">
        <f>SUM(W1874:W1894)</f>
        <v>0</v>
      </c>
      <c r="X1895" s="148"/>
      <c r="Y1895" s="127" t="s">
        <v>352</v>
      </c>
      <c r="Z1895" s="116"/>
      <c r="AA1895" s="116">
        <f>SUM(AA1874:AA1894)</f>
        <v>0</v>
      </c>
      <c r="AB1895" s="149"/>
      <c r="AC1895" s="149"/>
      <c r="AD1895" s="149"/>
      <c r="AE1895" s="149"/>
      <c r="AF1895" s="127" t="s">
        <v>356</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hidden="1" x14ac:dyDescent="0.8">
      <c r="A1896" s="262">
        <f>ROW()</f>
        <v>1896</v>
      </c>
      <c r="B1896" s="234" t="s">
        <v>491</v>
      </c>
      <c r="C1896" s="217" t="str">
        <f>N1874</f>
        <v>Smoke Exhaust system ( including on floor dampers)</v>
      </c>
      <c r="D1896" s="260" t="s">
        <v>677</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367</v>
      </c>
      <c r="N1896" s="160" t="str">
        <f>N1874</f>
        <v>Smoke Exhaust system ( including on floor dampers)</v>
      </c>
      <c r="O1896" s="160" t="s">
        <v>365</v>
      </c>
      <c r="P1896" s="183" t="e">
        <f>P1895/M1874</f>
        <v>#DIV/0!</v>
      </c>
      <c r="Q1896" s="191"/>
      <c r="R1896" s="161"/>
      <c r="S1896" s="160"/>
      <c r="T1896" s="161"/>
      <c r="U1896" s="571" t="s">
        <v>366</v>
      </c>
      <c r="V1896" s="571"/>
      <c r="W1896" s="162" t="e">
        <f>W1895/M1874</f>
        <v>#DIV/0!</v>
      </c>
      <c r="X1896" s="163"/>
      <c r="Y1896" s="570" t="s">
        <v>365</v>
      </c>
      <c r="Z1896" s="570"/>
      <c r="AA1896" s="164" t="e">
        <f>AA1895/M1874</f>
        <v>#DIV/0!</v>
      </c>
      <c r="AB1896" s="161"/>
      <c r="AC1896" s="161"/>
      <c r="AD1896" s="161"/>
      <c r="AE1896" s="161"/>
      <c r="AF1896" s="570" t="s">
        <v>365</v>
      </c>
      <c r="AG1896" s="570"/>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hidden="1" x14ac:dyDescent="1.2">
      <c r="A1897" s="262">
        <f>ROW()</f>
        <v>1897</v>
      </c>
      <c r="B1897" s="261" t="s">
        <v>491</v>
      </c>
      <c r="D1897" s="261" t="str">
        <f>IF(B1897="Shopping List",IF(ISNUMBER(SEARCH("MSSB",C1897)),"MSSB",IF(ISNUMBER(SEARCH("local",C1897)),"LOCAL","")))</f>
        <v/>
      </c>
      <c r="I1897" s="269">
        <f>SUM(I1946:I1994)</f>
        <v>0</v>
      </c>
      <c r="J1897" s="261" t="s">
        <v>497</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452</v>
      </c>
      <c r="M1899" s="116" t="s">
        <v>107</v>
      </c>
      <c r="N1899" s="116" t="s">
        <v>108</v>
      </c>
      <c r="O1899" s="170" t="s">
        <v>386</v>
      </c>
      <c r="P1899" s="572" t="s">
        <v>375</v>
      </c>
      <c r="Q1899" s="572"/>
      <c r="R1899" s="101" t="s">
        <v>452</v>
      </c>
      <c r="S1899" s="116" t="s">
        <v>0</v>
      </c>
      <c r="T1899" s="118"/>
      <c r="U1899" s="116" t="s">
        <v>287</v>
      </c>
      <c r="V1899" s="116" t="s">
        <v>288</v>
      </c>
      <c r="W1899" s="116" t="s">
        <v>291</v>
      </c>
      <c r="X1899" s="140"/>
      <c r="Y1899" s="116" t="s">
        <v>289</v>
      </c>
      <c r="Z1899" s="116" t="s">
        <v>354</v>
      </c>
      <c r="AA1899" s="116" t="s">
        <v>355</v>
      </c>
      <c r="AB1899" s="116" t="s">
        <v>317</v>
      </c>
      <c r="AC1899" s="116" t="s">
        <v>318</v>
      </c>
      <c r="AD1899" s="116" t="s">
        <v>316</v>
      </c>
      <c r="AE1899" s="140"/>
      <c r="AF1899" s="116" t="s">
        <v>293</v>
      </c>
      <c r="AG1899" s="116" t="s">
        <v>354</v>
      </c>
      <c r="AH1899" s="116" t="s">
        <v>355</v>
      </c>
      <c r="AI1899" s="116" t="s">
        <v>296</v>
      </c>
      <c r="AJ1899" s="116" t="s">
        <v>294</v>
      </c>
      <c r="AK1899" s="116" t="s">
        <v>295</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465</v>
      </c>
      <c r="O1900" s="121" t="s">
        <v>347</v>
      </c>
      <c r="P1900" s="169" t="s">
        <v>379</v>
      </c>
      <c r="Q1900" s="169" t="s">
        <v>375</v>
      </c>
      <c r="R1900" s="169"/>
      <c r="S1900" s="133">
        <f>M1900</f>
        <v>0</v>
      </c>
      <c r="T1900" s="119"/>
      <c r="U1900" s="121" t="s">
        <v>292</v>
      </c>
      <c r="V1900" s="133">
        <f>S1900</f>
        <v>0</v>
      </c>
      <c r="W1900" s="133">
        <f>VLOOKUP(U1900,Sheet1!$B$6:$C$45,2,FALSE)*V1900</f>
        <v>0</v>
      </c>
      <c r="X1900" s="141"/>
      <c r="Y1900" s="121" t="s">
        <v>292</v>
      </c>
      <c r="Z1900" s="146">
        <f>VLOOKUP(Takeoffs!Y1900,Sheet1!$B$6:$C$124,2,FALSE)</f>
        <v>0</v>
      </c>
      <c r="AA1900" s="146">
        <f>Z1900*AB1900</f>
        <v>0</v>
      </c>
      <c r="AB1900" s="143">
        <f>AD1900*AC1900</f>
        <v>0</v>
      </c>
      <c r="AC1900" s="133">
        <f>S1900</f>
        <v>0</v>
      </c>
      <c r="AD1900" s="142">
        <v>1</v>
      </c>
      <c r="AE1900" s="141"/>
      <c r="AF1900" s="121" t="s">
        <v>292</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411</v>
      </c>
      <c r="P1901" s="121"/>
      <c r="Q1901" s="121"/>
      <c r="R1901" s="121"/>
      <c r="S1901" s="133">
        <f>M1900</f>
        <v>0</v>
      </c>
      <c r="T1901" s="120"/>
      <c r="U1901" s="121" t="s">
        <v>235</v>
      </c>
      <c r="V1901" s="133">
        <f t="shared" ref="V1901:V1920" si="874">S1901</f>
        <v>0</v>
      </c>
      <c r="W1901" s="133">
        <f>VLOOKUP(U1901,Sheet1!$B$6:$C$45,2,FALSE)*V1901</f>
        <v>0</v>
      </c>
      <c r="X1901" s="141"/>
      <c r="Y1901" s="121" t="s">
        <v>292</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292</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292</v>
      </c>
      <c r="V1902" s="133">
        <f t="shared" si="874"/>
        <v>0</v>
      </c>
      <c r="W1902" s="133">
        <f>VLOOKUP(U1902,Sheet1!$B$6:$C$45,2,FALSE)*V1902</f>
        <v>0</v>
      </c>
      <c r="X1902" s="141"/>
      <c r="Y1902" s="121" t="s">
        <v>292</v>
      </c>
      <c r="Z1902" s="146">
        <f>VLOOKUP(Takeoffs!Y1902,Sheet1!$B$6:$C$124,2,FALSE)</f>
        <v>0</v>
      </c>
      <c r="AA1902" s="146">
        <f t="shared" si="875"/>
        <v>0</v>
      </c>
      <c r="AB1902" s="143">
        <f t="shared" si="876"/>
        <v>0</v>
      </c>
      <c r="AC1902" s="133">
        <f>S1902</f>
        <v>0</v>
      </c>
      <c r="AD1902" s="142">
        <v>1</v>
      </c>
      <c r="AE1902" s="141"/>
      <c r="AF1902" s="121" t="s">
        <v>292</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510</v>
      </c>
      <c r="P1903" s="121" t="s">
        <v>463</v>
      </c>
      <c r="Q1903" s="121" t="s">
        <v>464</v>
      </c>
      <c r="R1903" s="121"/>
      <c r="S1903" s="133">
        <f>M1900</f>
        <v>0</v>
      </c>
      <c r="T1903" s="120"/>
      <c r="U1903" s="121" t="s">
        <v>361</v>
      </c>
      <c r="V1903" s="133">
        <f t="shared" si="874"/>
        <v>0</v>
      </c>
      <c r="W1903" s="133">
        <f>VLOOKUP(U1903,Sheet1!$B$6:$C$45,2,FALSE)*V1903</f>
        <v>0</v>
      </c>
      <c r="X1903" s="141"/>
      <c r="Y1903" s="121" t="s">
        <v>292</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511</v>
      </c>
      <c r="P1904" s="121"/>
      <c r="Q1904" s="121"/>
      <c r="R1904" s="121"/>
      <c r="S1904" s="133">
        <f>M1900</f>
        <v>0</v>
      </c>
      <c r="T1904" s="120"/>
      <c r="U1904" s="121" t="s">
        <v>292</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292</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390</v>
      </c>
      <c r="P1905" s="121"/>
      <c r="Q1905" s="121"/>
      <c r="R1905" s="121"/>
      <c r="S1905" s="133">
        <f>M1900</f>
        <v>0</v>
      </c>
      <c r="T1905" s="120"/>
      <c r="U1905" s="121" t="s">
        <v>292</v>
      </c>
      <c r="V1905" s="133">
        <f t="shared" si="874"/>
        <v>0</v>
      </c>
      <c r="W1905" s="133">
        <f>VLOOKUP(U1905,Sheet1!$B$6:$C$45,2,FALSE)*V1905</f>
        <v>0</v>
      </c>
      <c r="X1905" s="141"/>
      <c r="Y1905" s="121" t="s">
        <v>292</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309</v>
      </c>
      <c r="P1906" s="121"/>
      <c r="Q1906" s="121"/>
      <c r="R1906" s="121"/>
      <c r="S1906" s="133">
        <f>M1900</f>
        <v>0</v>
      </c>
      <c r="T1906" s="120"/>
      <c r="U1906" s="121" t="s">
        <v>292</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292</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307</v>
      </c>
      <c r="P1907" s="121"/>
      <c r="Q1907" s="121"/>
      <c r="R1907" s="121"/>
      <c r="S1907" s="133">
        <f>M1900</f>
        <v>0</v>
      </c>
      <c r="T1907" s="120"/>
      <c r="U1907" s="121" t="s">
        <v>292</v>
      </c>
      <c r="V1907" s="133">
        <f t="shared" si="874"/>
        <v>0</v>
      </c>
      <c r="W1907" s="133">
        <f>VLOOKUP(U1907,Sheet1!$B$6:$C$45,2,FALSE)*V1907</f>
        <v>0</v>
      </c>
      <c r="X1907" s="141"/>
      <c r="Y1907" s="121" t="s">
        <v>292</v>
      </c>
      <c r="Z1907" s="146">
        <f>VLOOKUP(Takeoffs!Y1907,Sheet1!$B$6:$C$124,2,FALSE)</f>
        <v>0</v>
      </c>
      <c r="AA1907" s="146">
        <f t="shared" si="875"/>
        <v>0</v>
      </c>
      <c r="AB1907" s="143">
        <f t="shared" si="876"/>
        <v>0</v>
      </c>
      <c r="AC1907" s="133">
        <f t="shared" si="881"/>
        <v>0</v>
      </c>
      <c r="AD1907" s="142">
        <v>1</v>
      </c>
      <c r="AE1907" s="141"/>
      <c r="AF1907" s="121" t="s">
        <v>292</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292</v>
      </c>
      <c r="V1908" s="133">
        <f t="shared" si="874"/>
        <v>0</v>
      </c>
      <c r="W1908" s="133">
        <f>VLOOKUP(U1908,Sheet1!$B$6:$C$45,2,FALSE)*V1908</f>
        <v>0</v>
      </c>
      <c r="X1908" s="141"/>
      <c r="Y1908" s="121" t="s">
        <v>292</v>
      </c>
      <c r="Z1908" s="146">
        <f>VLOOKUP(Takeoffs!Y1908,Sheet1!$B$6:$C$124,2,FALSE)</f>
        <v>0</v>
      </c>
      <c r="AA1908" s="146">
        <f t="shared" si="875"/>
        <v>0</v>
      </c>
      <c r="AB1908" s="143">
        <f t="shared" si="876"/>
        <v>0</v>
      </c>
      <c r="AC1908" s="133">
        <f t="shared" si="881"/>
        <v>0</v>
      </c>
      <c r="AD1908" s="142">
        <v>1</v>
      </c>
      <c r="AE1908" s="141"/>
      <c r="AF1908" s="121" t="s">
        <v>292</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292</v>
      </c>
      <c r="V1909" s="133">
        <f t="shared" si="874"/>
        <v>0</v>
      </c>
      <c r="W1909" s="133">
        <f>VLOOKUP(U1909,Sheet1!$B$6:$C$45,2,FALSE)*V1909</f>
        <v>0</v>
      </c>
      <c r="X1909" s="141"/>
      <c r="Y1909" s="121" t="s">
        <v>292</v>
      </c>
      <c r="Z1909" s="146">
        <f>VLOOKUP(Takeoffs!Y1909,Sheet1!$B$6:$C$124,2,FALSE)</f>
        <v>0</v>
      </c>
      <c r="AA1909" s="146">
        <f t="shared" si="875"/>
        <v>0</v>
      </c>
      <c r="AB1909" s="143">
        <f t="shared" si="876"/>
        <v>0</v>
      </c>
      <c r="AC1909" s="133">
        <f t="shared" si="881"/>
        <v>0</v>
      </c>
      <c r="AD1909" s="142">
        <v>1</v>
      </c>
      <c r="AE1909" s="141"/>
      <c r="AF1909" s="121" t="s">
        <v>292</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512</v>
      </c>
      <c r="P1910" s="121"/>
      <c r="Q1910" s="121"/>
      <c r="R1910" s="121"/>
      <c r="S1910" s="133">
        <f>M1900</f>
        <v>0</v>
      </c>
      <c r="T1910" s="120"/>
      <c r="U1910" s="121" t="s">
        <v>363</v>
      </c>
      <c r="V1910" s="133">
        <f t="shared" si="874"/>
        <v>0</v>
      </c>
      <c r="W1910" s="133">
        <f>VLOOKUP(U1910,Sheet1!$B$6:$C$45,2,FALSE)*V1910</f>
        <v>0</v>
      </c>
      <c r="X1910" s="141"/>
      <c r="Y1910" s="122" t="s">
        <v>321</v>
      </c>
      <c r="Z1910" s="146">
        <f>VLOOKUP(Takeoffs!Y1910,Sheet1!$B$6:$C$124,2,FALSE)</f>
        <v>60</v>
      </c>
      <c r="AA1910" s="146">
        <f t="shared" si="875"/>
        <v>0</v>
      </c>
      <c r="AB1910" s="143">
        <f t="shared" si="876"/>
        <v>0</v>
      </c>
      <c r="AC1910" s="133">
        <f t="shared" si="881"/>
        <v>0</v>
      </c>
      <c r="AD1910" s="142">
        <v>1</v>
      </c>
      <c r="AE1910" s="141"/>
      <c r="AF1910" s="121" t="s">
        <v>292</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467</v>
      </c>
      <c r="P1911" s="121"/>
      <c r="Q1911" s="121"/>
      <c r="R1911" s="121"/>
      <c r="S1911" s="133">
        <f>M1900</f>
        <v>0</v>
      </c>
      <c r="T1911" s="120"/>
      <c r="U1911" s="121" t="s">
        <v>292</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292</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363</v>
      </c>
      <c r="V1912" s="133">
        <f t="shared" si="874"/>
        <v>0</v>
      </c>
      <c r="W1912" s="133">
        <f>VLOOKUP(U1912,Sheet1!$B$6:$C$45,2,FALSE)*V1912</f>
        <v>0</v>
      </c>
      <c r="X1912" s="141"/>
      <c r="Y1912" s="121" t="s">
        <v>292</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1344</v>
      </c>
      <c r="Z1913" s="146">
        <f>VLOOKUP(Takeoffs!Y1913,Sheet1!$B$6:$C$124,2,FALSE)</f>
        <v>109.25999999999999</v>
      </c>
      <c r="AA1913" s="146">
        <f t="shared" si="875"/>
        <v>0</v>
      </c>
      <c r="AB1913" s="143">
        <f t="shared" si="876"/>
        <v>0</v>
      </c>
      <c r="AC1913" s="133">
        <f t="shared" si="881"/>
        <v>0</v>
      </c>
      <c r="AD1913" s="142">
        <v>1</v>
      </c>
      <c r="AE1913" s="141"/>
      <c r="AF1913" s="121" t="s">
        <v>292</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292</v>
      </c>
      <c r="V1914" s="133">
        <f t="shared" si="874"/>
        <v>0</v>
      </c>
      <c r="W1914" s="133">
        <f>VLOOKUP(U1914,Sheet1!$B$6:$C$45,2,FALSE)*V1914</f>
        <v>0</v>
      </c>
      <c r="X1914" s="141"/>
      <c r="Y1914" s="121" t="s">
        <v>292</v>
      </c>
      <c r="Z1914" s="146">
        <f>VLOOKUP(Takeoffs!Y1914,Sheet1!$B$6:$C$124,2,FALSE)</f>
        <v>0</v>
      </c>
      <c r="AA1914" s="146">
        <f t="shared" si="875"/>
        <v>0</v>
      </c>
      <c r="AB1914" s="143">
        <f t="shared" si="876"/>
        <v>0</v>
      </c>
      <c r="AC1914" s="133">
        <f t="shared" si="881"/>
        <v>0</v>
      </c>
      <c r="AD1914" s="142">
        <v>2</v>
      </c>
      <c r="AE1914" s="141"/>
      <c r="AF1914" s="121" t="s">
        <v>292</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292</v>
      </c>
      <c r="V1915" s="133">
        <f t="shared" si="874"/>
        <v>0</v>
      </c>
      <c r="W1915" s="133">
        <f>VLOOKUP(U1915,Sheet1!$B$6:$C$45,2,FALSE)*V1915</f>
        <v>0</v>
      </c>
      <c r="X1915" s="141"/>
      <c r="Y1915" s="121" t="s">
        <v>292</v>
      </c>
      <c r="Z1915" s="146">
        <f>VLOOKUP(Takeoffs!Y1915,Sheet1!$B$6:$C$124,2,FALSE)</f>
        <v>0</v>
      </c>
      <c r="AA1915" s="146">
        <f t="shared" si="875"/>
        <v>0</v>
      </c>
      <c r="AB1915" s="143">
        <f t="shared" si="876"/>
        <v>0</v>
      </c>
      <c r="AC1915" s="133">
        <f t="shared" si="881"/>
        <v>0</v>
      </c>
      <c r="AD1915" s="142">
        <v>4</v>
      </c>
      <c r="AE1915" s="141"/>
      <c r="AF1915" s="121" t="s">
        <v>292</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292</v>
      </c>
      <c r="V1916" s="133">
        <f t="shared" si="874"/>
        <v>0</v>
      </c>
      <c r="W1916" s="133">
        <f>VLOOKUP(U1916,Sheet1!$B$6:$C$45,2,FALSE)*V1916</f>
        <v>0</v>
      </c>
      <c r="X1916" s="141"/>
      <c r="Y1916" s="121" t="s">
        <v>292</v>
      </c>
      <c r="Z1916" s="146">
        <f>VLOOKUP(Takeoffs!Y1916,Sheet1!$B$6:$C$124,2,FALSE)</f>
        <v>0</v>
      </c>
      <c r="AA1916" s="146">
        <f t="shared" si="875"/>
        <v>0</v>
      </c>
      <c r="AB1916" s="143">
        <f t="shared" si="876"/>
        <v>0</v>
      </c>
      <c r="AC1916" s="133">
        <f t="shared" si="881"/>
        <v>0</v>
      </c>
      <c r="AD1916" s="142">
        <v>2</v>
      </c>
      <c r="AE1916" s="141"/>
      <c r="AF1916" s="121" t="s">
        <v>292</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292</v>
      </c>
      <c r="V1917" s="133">
        <f t="shared" si="874"/>
        <v>0</v>
      </c>
      <c r="W1917" s="133">
        <f>VLOOKUP(U1917,Sheet1!$B$6:$C$45,2,FALSE)*V1917</f>
        <v>0</v>
      </c>
      <c r="X1917" s="141"/>
      <c r="Y1917" s="121" t="s">
        <v>292</v>
      </c>
      <c r="Z1917" s="146">
        <f>VLOOKUP(Takeoffs!Y1917,Sheet1!$B$6:$C$124,2,FALSE)</f>
        <v>0</v>
      </c>
      <c r="AA1917" s="146">
        <f t="shared" si="875"/>
        <v>0</v>
      </c>
      <c r="AB1917" s="143">
        <f t="shared" si="876"/>
        <v>0</v>
      </c>
      <c r="AC1917" s="133">
        <f t="shared" si="881"/>
        <v>0</v>
      </c>
      <c r="AD1917" s="142">
        <v>1</v>
      </c>
      <c r="AE1917" s="141"/>
      <c r="AF1917" s="121" t="s">
        <v>292</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292</v>
      </c>
      <c r="V1918" s="133">
        <f t="shared" si="874"/>
        <v>0</v>
      </c>
      <c r="W1918" s="133">
        <f>VLOOKUP(U1918,Sheet1!$B$6:$C$45,2,FALSE)*V1918</f>
        <v>0</v>
      </c>
      <c r="X1918" s="141"/>
      <c r="Y1918" s="121" t="s">
        <v>292</v>
      </c>
      <c r="Z1918" s="146">
        <f>VLOOKUP(Takeoffs!Y1918,Sheet1!$B$6:$C$124,2,FALSE)</f>
        <v>0</v>
      </c>
      <c r="AA1918" s="146">
        <f t="shared" si="875"/>
        <v>0</v>
      </c>
      <c r="AB1918" s="143">
        <f t="shared" si="876"/>
        <v>0</v>
      </c>
      <c r="AC1918" s="133">
        <f t="shared" si="881"/>
        <v>0</v>
      </c>
      <c r="AD1918" s="142">
        <v>1</v>
      </c>
      <c r="AE1918" s="141"/>
      <c r="AF1918" s="121" t="s">
        <v>292</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513</v>
      </c>
      <c r="P1919" s="121" t="s">
        <v>380</v>
      </c>
      <c r="Q1919" s="121" t="s">
        <v>466</v>
      </c>
      <c r="R1919" s="121"/>
      <c r="S1919" s="133">
        <f>M1900</f>
        <v>0</v>
      </c>
      <c r="T1919" s="120"/>
      <c r="U1919" s="121" t="s">
        <v>292</v>
      </c>
      <c r="V1919" s="133">
        <f t="shared" si="874"/>
        <v>0</v>
      </c>
      <c r="W1919" s="133">
        <f>VLOOKUP(U1919,Sheet1!$B$6:$C$45,2,FALSE)*V1919</f>
        <v>0</v>
      </c>
      <c r="X1919" s="141"/>
      <c r="Y1919" s="121" t="s">
        <v>292</v>
      </c>
      <c r="Z1919" s="146">
        <f>VLOOKUP(Takeoffs!Y1919,Sheet1!$B$6:$C$124,2,FALSE)</f>
        <v>0</v>
      </c>
      <c r="AA1919" s="146">
        <f t="shared" si="875"/>
        <v>0</v>
      </c>
      <c r="AB1919" s="143">
        <f t="shared" si="876"/>
        <v>0</v>
      </c>
      <c r="AC1919" s="133">
        <f t="shared" si="881"/>
        <v>0</v>
      </c>
      <c r="AD1919" s="142">
        <v>1</v>
      </c>
      <c r="AE1919" s="141"/>
      <c r="AF1919" s="121" t="s">
        <v>292</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408</v>
      </c>
      <c r="P1920" s="121"/>
      <c r="Q1920" s="121"/>
      <c r="R1920" s="121"/>
      <c r="S1920" s="133">
        <f>M1900</f>
        <v>0</v>
      </c>
      <c r="T1920" s="120"/>
      <c r="U1920" s="121" t="s">
        <v>363</v>
      </c>
      <c r="V1920" s="133">
        <f t="shared" si="874"/>
        <v>0</v>
      </c>
      <c r="W1920" s="133">
        <f>VLOOKUP(U1920,Sheet1!$B$6:$C$45,2,FALSE)*V1920</f>
        <v>0</v>
      </c>
      <c r="X1920" s="141"/>
      <c r="Y1920" s="121" t="s">
        <v>292</v>
      </c>
      <c r="Z1920" s="146">
        <f>VLOOKUP(Takeoffs!Y1920,Sheet1!$B$6:$C$124,2,FALSE)</f>
        <v>0</v>
      </c>
      <c r="AA1920" s="146">
        <f t="shared" si="875"/>
        <v>0</v>
      </c>
      <c r="AB1920" s="143">
        <f t="shared" si="876"/>
        <v>0</v>
      </c>
      <c r="AC1920" s="133">
        <f t="shared" si="881"/>
        <v>0</v>
      </c>
      <c r="AD1920" s="142">
        <v>1</v>
      </c>
      <c r="AE1920" s="141"/>
      <c r="AF1920" s="121" t="s">
        <v>292</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377</v>
      </c>
      <c r="L1921" s="128" t="s">
        <v>378</v>
      </c>
      <c r="N1921" s="129"/>
      <c r="O1921" s="130" t="s">
        <v>357</v>
      </c>
      <c r="P1921" s="171">
        <f>V1921+AA1921+AH1921</f>
        <v>0</v>
      </c>
      <c r="Q1921" s="144"/>
      <c r="R1921" s="144"/>
      <c r="S1921" s="130"/>
      <c r="T1921" s="127"/>
      <c r="U1921" s="126" t="s">
        <v>351</v>
      </c>
      <c r="V1921" s="127">
        <f>W1921*80</f>
        <v>0</v>
      </c>
      <c r="W1921" s="147">
        <f>SUM(W1900:W1920)</f>
        <v>0</v>
      </c>
      <c r="X1921" s="148"/>
      <c r="Y1921" s="127" t="s">
        <v>352</v>
      </c>
      <c r="Z1921" s="116"/>
      <c r="AA1921" s="116">
        <f>SUM(AA1900:AA1920)</f>
        <v>0</v>
      </c>
      <c r="AB1921" s="149"/>
      <c r="AC1921" s="149"/>
      <c r="AD1921" s="149"/>
      <c r="AE1921" s="149"/>
      <c r="AF1921" s="127" t="s">
        <v>356</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hidden="1" x14ac:dyDescent="0.8">
      <c r="A1922" s="262">
        <f>ROW()</f>
        <v>1922</v>
      </c>
      <c r="B1922" s="234" t="s">
        <v>491</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367</v>
      </c>
      <c r="N1922" s="160" t="str">
        <f>N1900</f>
        <v>Kitchen Hood Make Up Supply Sytem ( from local power supply)</v>
      </c>
      <c r="O1922" s="160" t="s">
        <v>365</v>
      </c>
      <c r="P1922" s="64" t="e">
        <f>P1921/M1900</f>
        <v>#DIV/0!</v>
      </c>
      <c r="Q1922" s="161"/>
      <c r="R1922" s="161"/>
      <c r="S1922" s="160"/>
      <c r="T1922" s="161"/>
      <c r="U1922" s="571" t="s">
        <v>366</v>
      </c>
      <c r="V1922" s="571"/>
      <c r="W1922" s="162" t="e">
        <f>W1921/M1900</f>
        <v>#DIV/0!</v>
      </c>
      <c r="X1922" s="163"/>
      <c r="Y1922" s="570" t="s">
        <v>365</v>
      </c>
      <c r="Z1922" s="570"/>
      <c r="AA1922" s="164" t="e">
        <f>AA1921/M1900</f>
        <v>#DIV/0!</v>
      </c>
      <c r="AB1922" s="161"/>
      <c r="AC1922" s="161"/>
      <c r="AD1922" s="161"/>
      <c r="AE1922" s="161"/>
      <c r="AF1922" s="570" t="s">
        <v>365</v>
      </c>
      <c r="AG1922" s="570"/>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452</v>
      </c>
      <c r="M1923" s="116" t="s">
        <v>107</v>
      </c>
      <c r="N1923" s="116" t="s">
        <v>108</v>
      </c>
      <c r="O1923" s="170" t="s">
        <v>386</v>
      </c>
      <c r="P1923" s="572" t="s">
        <v>375</v>
      </c>
      <c r="Q1923" s="572"/>
      <c r="R1923" s="101" t="s">
        <v>452</v>
      </c>
      <c r="S1923" s="116" t="s">
        <v>0</v>
      </c>
      <c r="T1923" s="118"/>
      <c r="U1923" s="116" t="s">
        <v>287</v>
      </c>
      <c r="V1923" s="116" t="s">
        <v>288</v>
      </c>
      <c r="W1923" s="116" t="s">
        <v>291</v>
      </c>
      <c r="X1923" s="140"/>
      <c r="Y1923" s="116" t="s">
        <v>289</v>
      </c>
      <c r="Z1923" s="116" t="s">
        <v>354</v>
      </c>
      <c r="AA1923" s="116" t="s">
        <v>355</v>
      </c>
      <c r="AB1923" s="116" t="s">
        <v>317</v>
      </c>
      <c r="AC1923" s="116" t="s">
        <v>318</v>
      </c>
      <c r="AD1923" s="116" t="s">
        <v>316</v>
      </c>
      <c r="AE1923" s="140"/>
      <c r="AF1923" s="116" t="s">
        <v>293</v>
      </c>
      <c r="AG1923" s="116" t="s">
        <v>354</v>
      </c>
      <c r="AH1923" s="116" t="s">
        <v>355</v>
      </c>
      <c r="AI1923" s="116" t="s">
        <v>296</v>
      </c>
      <c r="AJ1923" s="116" t="s">
        <v>294</v>
      </c>
      <c r="AK1923" s="116" t="s">
        <v>295</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710</v>
      </c>
      <c r="O1924" s="121" t="s">
        <v>347</v>
      </c>
      <c r="P1924" s="169" t="s">
        <v>379</v>
      </c>
      <c r="Q1924" s="169" t="s">
        <v>375</v>
      </c>
      <c r="R1924" s="169"/>
      <c r="S1924" s="133">
        <f>M1924</f>
        <v>0</v>
      </c>
      <c r="T1924" s="119"/>
      <c r="U1924" s="121" t="s">
        <v>292</v>
      </c>
      <c r="V1924" s="133">
        <f>S1924</f>
        <v>0</v>
      </c>
      <c r="W1924" s="133">
        <f>VLOOKUP(U1924,Sheet1!$B$6:$C$45,2,FALSE)*V1924</f>
        <v>0</v>
      </c>
      <c r="X1924" s="141"/>
      <c r="Y1924" s="121" t="s">
        <v>292</v>
      </c>
      <c r="Z1924" s="146">
        <f>VLOOKUP(Takeoffs!Y1924,Sheet1!$B$6:$C$124,2,FALSE)</f>
        <v>0</v>
      </c>
      <c r="AA1924" s="146">
        <f>Z1924*AB1924</f>
        <v>0</v>
      </c>
      <c r="AB1924" s="143">
        <f>AD1924*AC1924</f>
        <v>0</v>
      </c>
      <c r="AC1924" s="133">
        <f>S1924</f>
        <v>0</v>
      </c>
      <c r="AD1924" s="142">
        <v>1</v>
      </c>
      <c r="AE1924" s="141"/>
      <c r="AF1924" s="121" t="s">
        <v>292</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411</v>
      </c>
      <c r="P1925" s="121"/>
      <c r="Q1925" s="121"/>
      <c r="R1925" s="121"/>
      <c r="S1925" s="133">
        <f>M1924</f>
        <v>0</v>
      </c>
      <c r="T1925" s="120"/>
      <c r="U1925" s="121" t="s">
        <v>235</v>
      </c>
      <c r="V1925" s="133">
        <f t="shared" ref="V1925:V1944" si="882">S1925</f>
        <v>0</v>
      </c>
      <c r="W1925" s="133">
        <f>VLOOKUP(U1925,Sheet1!$B$6:$C$45,2,FALSE)*V1925</f>
        <v>0</v>
      </c>
      <c r="X1925" s="141"/>
      <c r="Y1925" s="121" t="s">
        <v>292</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292</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308</v>
      </c>
      <c r="P1926" s="121"/>
      <c r="Q1926" s="121"/>
      <c r="R1926" s="121"/>
      <c r="S1926" s="133">
        <f>M1924</f>
        <v>0</v>
      </c>
      <c r="T1926" s="120"/>
      <c r="U1926" s="121" t="s">
        <v>292</v>
      </c>
      <c r="V1926" s="133">
        <f t="shared" si="882"/>
        <v>0</v>
      </c>
      <c r="W1926" s="133">
        <f>VLOOKUP(U1926,Sheet1!$B$6:$C$45,2,FALSE)*V1926</f>
        <v>0</v>
      </c>
      <c r="X1926" s="141"/>
      <c r="Y1926" s="121" t="s">
        <v>292</v>
      </c>
      <c r="Z1926" s="146">
        <f>VLOOKUP(Takeoffs!Y1926,Sheet1!$B$6:$C$124,2,FALSE)</f>
        <v>0</v>
      </c>
      <c r="AA1926" s="146">
        <f t="shared" si="883"/>
        <v>0</v>
      </c>
      <c r="AB1926" s="143">
        <f t="shared" si="884"/>
        <v>0</v>
      </c>
      <c r="AC1926" s="133">
        <f>S1926</f>
        <v>0</v>
      </c>
      <c r="AD1926" s="142">
        <v>1</v>
      </c>
      <c r="AE1926" s="141"/>
      <c r="AF1926" s="121" t="s">
        <v>292</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305</v>
      </c>
      <c r="P1927" s="121"/>
      <c r="Q1927" s="121"/>
      <c r="R1927" s="121"/>
      <c r="S1927" s="133">
        <f>M1924</f>
        <v>0</v>
      </c>
      <c r="T1927" s="120"/>
      <c r="U1927" s="117" t="s">
        <v>478</v>
      </c>
      <c r="V1927" s="133">
        <f t="shared" si="882"/>
        <v>0</v>
      </c>
      <c r="W1927" s="133">
        <f>VLOOKUP(U1927,Sheet1!$B$6:$C$45,2,FALSE)*V1927</f>
        <v>0</v>
      </c>
      <c r="X1927" s="141"/>
      <c r="Y1927" s="121" t="s">
        <v>292</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511</v>
      </c>
      <c r="P1928" s="121"/>
      <c r="Q1928" s="121"/>
      <c r="R1928" s="121"/>
      <c r="S1928" s="133">
        <f>M1924</f>
        <v>0</v>
      </c>
      <c r="T1928" s="120"/>
      <c r="U1928" s="121" t="s">
        <v>292</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292</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390</v>
      </c>
      <c r="P1929" s="121"/>
      <c r="Q1929" s="121"/>
      <c r="R1929" s="121"/>
      <c r="S1929" s="133">
        <f>M1924</f>
        <v>0</v>
      </c>
      <c r="T1929" s="120"/>
      <c r="U1929" s="121" t="s">
        <v>292</v>
      </c>
      <c r="V1929" s="133">
        <f t="shared" si="882"/>
        <v>0</v>
      </c>
      <c r="W1929" s="133">
        <f>VLOOKUP(U1929,Sheet1!$B$6:$C$45,2,FALSE)*V1929</f>
        <v>0</v>
      </c>
      <c r="X1929" s="141"/>
      <c r="Y1929" s="121" t="s">
        <v>292</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309</v>
      </c>
      <c r="P1930" s="121"/>
      <c r="Q1930" s="121"/>
      <c r="R1930" s="121"/>
      <c r="S1930" s="133">
        <f>M1924</f>
        <v>0</v>
      </c>
      <c r="T1930" s="120"/>
      <c r="U1930" s="121" t="s">
        <v>292</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292</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307</v>
      </c>
      <c r="P1931" s="121"/>
      <c r="Q1931" s="121"/>
      <c r="R1931" s="121"/>
      <c r="S1931" s="133">
        <f>M1924</f>
        <v>0</v>
      </c>
      <c r="T1931" s="120"/>
      <c r="U1931" s="121" t="s">
        <v>292</v>
      </c>
      <c r="V1931" s="133">
        <f t="shared" si="882"/>
        <v>0</v>
      </c>
      <c r="W1931" s="133">
        <f>VLOOKUP(U1931,Sheet1!$B$6:$C$45,2,FALSE)*V1931</f>
        <v>0</v>
      </c>
      <c r="X1931" s="141"/>
      <c r="Y1931" s="121" t="s">
        <v>292</v>
      </c>
      <c r="Z1931" s="146">
        <f>VLOOKUP(Takeoffs!Y1931,Sheet1!$B$6:$C$124,2,FALSE)</f>
        <v>0</v>
      </c>
      <c r="AA1931" s="146">
        <f t="shared" si="883"/>
        <v>0</v>
      </c>
      <c r="AB1931" s="143">
        <f t="shared" si="884"/>
        <v>0</v>
      </c>
      <c r="AC1931" s="133">
        <f t="shared" si="889"/>
        <v>0</v>
      </c>
      <c r="AD1931" s="142">
        <v>1</v>
      </c>
      <c r="AE1931" s="141"/>
      <c r="AF1931" s="121" t="s">
        <v>292</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292</v>
      </c>
      <c r="V1932" s="133">
        <f t="shared" si="882"/>
        <v>0</v>
      </c>
      <c r="W1932" s="133">
        <f>VLOOKUP(U1932,Sheet1!$B$6:$C$45,2,FALSE)*V1932</f>
        <v>0</v>
      </c>
      <c r="X1932" s="141"/>
      <c r="Y1932" s="121" t="s">
        <v>292</v>
      </c>
      <c r="Z1932" s="146">
        <f>VLOOKUP(Takeoffs!Y1932,Sheet1!$B$6:$C$124,2,FALSE)</f>
        <v>0</v>
      </c>
      <c r="AA1932" s="146">
        <f t="shared" si="883"/>
        <v>0</v>
      </c>
      <c r="AB1932" s="143">
        <f t="shared" si="884"/>
        <v>0</v>
      </c>
      <c r="AC1932" s="133">
        <f t="shared" si="889"/>
        <v>0</v>
      </c>
      <c r="AD1932" s="142">
        <v>1</v>
      </c>
      <c r="AE1932" s="141"/>
      <c r="AF1932" s="121" t="s">
        <v>292</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292</v>
      </c>
      <c r="V1933" s="133">
        <f t="shared" si="882"/>
        <v>0</v>
      </c>
      <c r="W1933" s="133">
        <f>VLOOKUP(U1933,Sheet1!$B$6:$C$45,2,FALSE)*V1933</f>
        <v>0</v>
      </c>
      <c r="X1933" s="141"/>
      <c r="Y1933" s="121" t="s">
        <v>292</v>
      </c>
      <c r="Z1933" s="146">
        <f>VLOOKUP(Takeoffs!Y1933,Sheet1!$B$6:$C$124,2,FALSE)</f>
        <v>0</v>
      </c>
      <c r="AA1933" s="146">
        <f t="shared" si="883"/>
        <v>0</v>
      </c>
      <c r="AB1933" s="143">
        <f t="shared" si="884"/>
        <v>0</v>
      </c>
      <c r="AC1933" s="133">
        <f t="shared" si="889"/>
        <v>0</v>
      </c>
      <c r="AD1933" s="142">
        <v>1</v>
      </c>
      <c r="AE1933" s="141"/>
      <c r="AF1933" s="121" t="s">
        <v>292</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512</v>
      </c>
      <c r="P1934" s="121"/>
      <c r="Q1934" s="121"/>
      <c r="R1934" s="121"/>
      <c r="S1934" s="133">
        <f>M1924</f>
        <v>0</v>
      </c>
      <c r="T1934" s="120"/>
      <c r="U1934" s="121" t="s">
        <v>363</v>
      </c>
      <c r="V1934" s="133">
        <f t="shared" si="882"/>
        <v>0</v>
      </c>
      <c r="W1934" s="133">
        <f>VLOOKUP(U1934,Sheet1!$B$6:$C$45,2,FALSE)*V1934</f>
        <v>0</v>
      </c>
      <c r="X1934" s="141"/>
      <c r="Y1934" s="122" t="s">
        <v>321</v>
      </c>
      <c r="Z1934" s="146">
        <f>VLOOKUP(Takeoffs!Y1934,Sheet1!$B$6:$C$124,2,FALSE)</f>
        <v>60</v>
      </c>
      <c r="AA1934" s="146">
        <f t="shared" si="883"/>
        <v>0</v>
      </c>
      <c r="AB1934" s="143">
        <f t="shared" si="884"/>
        <v>0</v>
      </c>
      <c r="AC1934" s="133">
        <f t="shared" si="889"/>
        <v>0</v>
      </c>
      <c r="AD1934" s="142">
        <v>1</v>
      </c>
      <c r="AE1934" s="141"/>
      <c r="AF1934" s="121" t="s">
        <v>292</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467</v>
      </c>
      <c r="P1935" s="121"/>
      <c r="Q1935" s="121"/>
      <c r="R1935" s="121"/>
      <c r="S1935" s="133">
        <f>M1924</f>
        <v>0</v>
      </c>
      <c r="T1935" s="120"/>
      <c r="U1935" s="121" t="s">
        <v>292</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292</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363</v>
      </c>
      <c r="V1936" s="133">
        <f t="shared" si="882"/>
        <v>0</v>
      </c>
      <c r="W1936" s="133">
        <f>VLOOKUP(U1936,Sheet1!$B$6:$C$45,2,FALSE)*V1936</f>
        <v>0</v>
      </c>
      <c r="X1936" s="141"/>
      <c r="Y1936" s="121" t="s">
        <v>292</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1344</v>
      </c>
      <c r="Z1937" s="146">
        <f>VLOOKUP(Takeoffs!Y1937,Sheet1!$B$6:$C$124,2,FALSE)</f>
        <v>109.25999999999999</v>
      </c>
      <c r="AA1937" s="146">
        <f t="shared" si="883"/>
        <v>0</v>
      </c>
      <c r="AB1937" s="143">
        <f t="shared" si="884"/>
        <v>0</v>
      </c>
      <c r="AC1937" s="133">
        <f t="shared" si="889"/>
        <v>0</v>
      </c>
      <c r="AD1937" s="142">
        <v>1</v>
      </c>
      <c r="AE1937" s="141"/>
      <c r="AF1937" s="121" t="s">
        <v>292</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292</v>
      </c>
      <c r="V1938" s="133">
        <f t="shared" si="882"/>
        <v>0</v>
      </c>
      <c r="W1938" s="133">
        <f>VLOOKUP(U1938,Sheet1!$B$6:$C$45,2,FALSE)*V1938</f>
        <v>0</v>
      </c>
      <c r="X1938" s="141"/>
      <c r="Y1938" s="121" t="s">
        <v>292</v>
      </c>
      <c r="Z1938" s="146">
        <f>VLOOKUP(Takeoffs!Y1938,Sheet1!$B$6:$C$124,2,FALSE)</f>
        <v>0</v>
      </c>
      <c r="AA1938" s="146">
        <f t="shared" si="883"/>
        <v>0</v>
      </c>
      <c r="AB1938" s="143">
        <f t="shared" si="884"/>
        <v>0</v>
      </c>
      <c r="AC1938" s="133">
        <f t="shared" si="889"/>
        <v>0</v>
      </c>
      <c r="AD1938" s="142">
        <v>2</v>
      </c>
      <c r="AE1938" s="141"/>
      <c r="AF1938" s="121" t="s">
        <v>292</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292</v>
      </c>
      <c r="V1939" s="133">
        <f t="shared" si="882"/>
        <v>0</v>
      </c>
      <c r="W1939" s="133">
        <f>VLOOKUP(U1939,Sheet1!$B$6:$C$45,2,FALSE)*V1939</f>
        <v>0</v>
      </c>
      <c r="X1939" s="141"/>
      <c r="Y1939" s="121" t="s">
        <v>292</v>
      </c>
      <c r="Z1939" s="146">
        <f>VLOOKUP(Takeoffs!Y1939,Sheet1!$B$6:$C$124,2,FALSE)</f>
        <v>0</v>
      </c>
      <c r="AA1939" s="146">
        <f t="shared" si="883"/>
        <v>0</v>
      </c>
      <c r="AB1939" s="143">
        <f t="shared" si="884"/>
        <v>0</v>
      </c>
      <c r="AC1939" s="133">
        <f t="shared" si="889"/>
        <v>0</v>
      </c>
      <c r="AD1939" s="142">
        <v>4</v>
      </c>
      <c r="AE1939" s="141"/>
      <c r="AF1939" s="121" t="s">
        <v>292</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292</v>
      </c>
      <c r="V1940" s="133">
        <f t="shared" si="882"/>
        <v>0</v>
      </c>
      <c r="W1940" s="133">
        <f>VLOOKUP(U1940,Sheet1!$B$6:$C$45,2,FALSE)*V1940</f>
        <v>0</v>
      </c>
      <c r="X1940" s="141"/>
      <c r="Y1940" s="121" t="s">
        <v>292</v>
      </c>
      <c r="Z1940" s="146">
        <f>VLOOKUP(Takeoffs!Y1940,Sheet1!$B$6:$C$124,2,FALSE)</f>
        <v>0</v>
      </c>
      <c r="AA1940" s="146">
        <f t="shared" si="883"/>
        <v>0</v>
      </c>
      <c r="AB1940" s="143">
        <f t="shared" si="884"/>
        <v>0</v>
      </c>
      <c r="AC1940" s="133">
        <f t="shared" si="889"/>
        <v>0</v>
      </c>
      <c r="AD1940" s="142">
        <v>2</v>
      </c>
      <c r="AE1940" s="141"/>
      <c r="AF1940" s="121" t="s">
        <v>292</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292</v>
      </c>
      <c r="V1941" s="133">
        <f t="shared" si="882"/>
        <v>0</v>
      </c>
      <c r="W1941" s="133">
        <f>VLOOKUP(U1941,Sheet1!$B$6:$C$45,2,FALSE)*V1941</f>
        <v>0</v>
      </c>
      <c r="X1941" s="141"/>
      <c r="Y1941" s="121" t="s">
        <v>292</v>
      </c>
      <c r="Z1941" s="146">
        <f>VLOOKUP(Takeoffs!Y1941,Sheet1!$B$6:$C$124,2,FALSE)</f>
        <v>0</v>
      </c>
      <c r="AA1941" s="146">
        <f t="shared" si="883"/>
        <v>0</v>
      </c>
      <c r="AB1941" s="143">
        <f t="shared" si="884"/>
        <v>0</v>
      </c>
      <c r="AC1941" s="133">
        <f t="shared" si="889"/>
        <v>0</v>
      </c>
      <c r="AD1941" s="142">
        <v>1</v>
      </c>
      <c r="AE1941" s="141"/>
      <c r="AF1941" s="121" t="s">
        <v>292</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292</v>
      </c>
      <c r="V1942" s="133">
        <f t="shared" si="882"/>
        <v>0</v>
      </c>
      <c r="W1942" s="133">
        <f>VLOOKUP(U1942,Sheet1!$B$6:$C$45,2,FALSE)*V1942</f>
        <v>0</v>
      </c>
      <c r="X1942" s="141"/>
      <c r="Y1942" s="121" t="s">
        <v>292</v>
      </c>
      <c r="Z1942" s="146">
        <f>VLOOKUP(Takeoffs!Y1942,Sheet1!$B$6:$C$124,2,FALSE)</f>
        <v>0</v>
      </c>
      <c r="AA1942" s="146">
        <f t="shared" si="883"/>
        <v>0</v>
      </c>
      <c r="AB1942" s="143">
        <f t="shared" si="884"/>
        <v>0</v>
      </c>
      <c r="AC1942" s="133">
        <f t="shared" si="889"/>
        <v>0</v>
      </c>
      <c r="AD1942" s="142">
        <v>1</v>
      </c>
      <c r="AE1942" s="141"/>
      <c r="AF1942" s="121" t="s">
        <v>292</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711</v>
      </c>
      <c r="P1943" s="121" t="s">
        <v>380</v>
      </c>
      <c r="Q1943" s="121" t="s">
        <v>712</v>
      </c>
      <c r="R1943" s="121"/>
      <c r="S1943" s="133">
        <f>M1924</f>
        <v>0</v>
      </c>
      <c r="T1943" s="120"/>
      <c r="U1943" s="121" t="s">
        <v>292</v>
      </c>
      <c r="V1943" s="133">
        <f t="shared" si="882"/>
        <v>0</v>
      </c>
      <c r="W1943" s="133">
        <f>VLOOKUP(U1943,Sheet1!$B$6:$C$45,2,FALSE)*V1943</f>
        <v>0</v>
      </c>
      <c r="X1943" s="141"/>
      <c r="Y1943" s="121" t="s">
        <v>292</v>
      </c>
      <c r="Z1943" s="146">
        <f>VLOOKUP(Takeoffs!Y1943,Sheet1!$B$6:$C$124,2,FALSE)</f>
        <v>0</v>
      </c>
      <c r="AA1943" s="146">
        <f t="shared" si="883"/>
        <v>0</v>
      </c>
      <c r="AB1943" s="143">
        <f t="shared" si="884"/>
        <v>0</v>
      </c>
      <c r="AC1943" s="133">
        <f t="shared" si="889"/>
        <v>0</v>
      </c>
      <c r="AD1943" s="142">
        <v>1</v>
      </c>
      <c r="AE1943" s="141"/>
      <c r="AF1943" s="121" t="s">
        <v>292</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408</v>
      </c>
      <c r="P1944" s="121"/>
      <c r="Q1944" s="121"/>
      <c r="R1944" s="121"/>
      <c r="S1944" s="133">
        <f>M1924</f>
        <v>0</v>
      </c>
      <c r="T1944" s="120"/>
      <c r="U1944" s="121" t="s">
        <v>363</v>
      </c>
      <c r="V1944" s="133">
        <f t="shared" si="882"/>
        <v>0</v>
      </c>
      <c r="W1944" s="133">
        <f>VLOOKUP(U1944,Sheet1!$B$6:$C$45,2,FALSE)*V1944</f>
        <v>0</v>
      </c>
      <c r="X1944" s="141"/>
      <c r="Y1944" s="121" t="s">
        <v>292</v>
      </c>
      <c r="Z1944" s="146">
        <f>VLOOKUP(Takeoffs!Y1944,Sheet1!$B$6:$C$124,2,FALSE)</f>
        <v>0</v>
      </c>
      <c r="AA1944" s="146">
        <f t="shared" si="883"/>
        <v>0</v>
      </c>
      <c r="AB1944" s="143">
        <f t="shared" si="884"/>
        <v>0</v>
      </c>
      <c r="AC1944" s="133">
        <f t="shared" si="889"/>
        <v>0</v>
      </c>
      <c r="AD1944" s="142">
        <v>1</v>
      </c>
      <c r="AE1944" s="141"/>
      <c r="AF1944" s="121" t="s">
        <v>292</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377</v>
      </c>
      <c r="L1945" s="128" t="s">
        <v>378</v>
      </c>
      <c r="N1945" s="129"/>
      <c r="O1945" s="130" t="s">
        <v>357</v>
      </c>
      <c r="P1945" s="171">
        <f>V1945+AA1945+AH1945</f>
        <v>0</v>
      </c>
      <c r="Q1945" s="144"/>
      <c r="R1945" s="144"/>
      <c r="S1945" s="130"/>
      <c r="T1945" s="127"/>
      <c r="U1945" s="126" t="s">
        <v>351</v>
      </c>
      <c r="V1945" s="127">
        <f>W1945*80</f>
        <v>0</v>
      </c>
      <c r="W1945" s="147">
        <f>SUM(W1924:W1944)</f>
        <v>0</v>
      </c>
      <c r="X1945" s="148"/>
      <c r="Y1945" s="127" t="s">
        <v>352</v>
      </c>
      <c r="Z1945" s="116"/>
      <c r="AA1945" s="116">
        <f>SUM(AA1924:AA1944)</f>
        <v>0</v>
      </c>
      <c r="AB1945" s="149"/>
      <c r="AC1945" s="149"/>
      <c r="AD1945" s="149"/>
      <c r="AE1945" s="149"/>
      <c r="AF1945" s="127" t="s">
        <v>356</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hidden="1" x14ac:dyDescent="0.8">
      <c r="A1946" s="262">
        <f>ROW()</f>
        <v>1946</v>
      </c>
      <c r="B1946" s="234" t="s">
        <v>491</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367</v>
      </c>
      <c r="N1946" s="160" t="str">
        <f>N1924</f>
        <v>Kitchen Hood Make Up Supply Sytem ( from MSSB power supply)</v>
      </c>
      <c r="O1946" s="160" t="s">
        <v>365</v>
      </c>
      <c r="P1946" s="64" t="e">
        <f>P1945/M1924</f>
        <v>#DIV/0!</v>
      </c>
      <c r="Q1946" s="161"/>
      <c r="R1946" s="161"/>
      <c r="S1946" s="160"/>
      <c r="T1946" s="161"/>
      <c r="U1946" s="571" t="s">
        <v>366</v>
      </c>
      <c r="V1946" s="571"/>
      <c r="W1946" s="162" t="e">
        <f>W1945/M1924</f>
        <v>#DIV/0!</v>
      </c>
      <c r="X1946" s="163"/>
      <c r="Y1946" s="570" t="s">
        <v>365</v>
      </c>
      <c r="Z1946" s="570"/>
      <c r="AA1946" s="164" t="e">
        <f>AA1945/M1924</f>
        <v>#DIV/0!</v>
      </c>
      <c r="AB1946" s="161"/>
      <c r="AC1946" s="161"/>
      <c r="AD1946" s="161"/>
      <c r="AE1946" s="161"/>
      <c r="AF1946" s="570" t="s">
        <v>365</v>
      </c>
      <c r="AG1946" s="570"/>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452</v>
      </c>
      <c r="M1947" s="116" t="s">
        <v>107</v>
      </c>
      <c r="N1947" s="116" t="s">
        <v>108</v>
      </c>
      <c r="O1947" s="170" t="s">
        <v>386</v>
      </c>
      <c r="P1947" s="572" t="s">
        <v>375</v>
      </c>
      <c r="Q1947" s="572"/>
      <c r="R1947" s="101" t="s">
        <v>452</v>
      </c>
      <c r="S1947" s="116" t="s">
        <v>0</v>
      </c>
      <c r="T1947" s="118"/>
      <c r="U1947" s="116" t="s">
        <v>287</v>
      </c>
      <c r="V1947" s="116" t="s">
        <v>288</v>
      </c>
      <c r="W1947" s="116" t="s">
        <v>291</v>
      </c>
      <c r="X1947" s="140"/>
      <c r="Y1947" s="116" t="s">
        <v>289</v>
      </c>
      <c r="Z1947" s="116" t="s">
        <v>354</v>
      </c>
      <c r="AA1947" s="116" t="s">
        <v>355</v>
      </c>
      <c r="AB1947" s="116" t="s">
        <v>317</v>
      </c>
      <c r="AC1947" s="116" t="s">
        <v>318</v>
      </c>
      <c r="AD1947" s="116" t="s">
        <v>316</v>
      </c>
      <c r="AE1947" s="140"/>
      <c r="AF1947" s="116" t="s">
        <v>293</v>
      </c>
      <c r="AG1947" s="116" t="s">
        <v>354</v>
      </c>
      <c r="AH1947" s="116" t="s">
        <v>355</v>
      </c>
      <c r="AI1947" s="116" t="s">
        <v>296</v>
      </c>
      <c r="AJ1947" s="116" t="s">
        <v>294</v>
      </c>
      <c r="AK1947" s="116" t="s">
        <v>295</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462</v>
      </c>
      <c r="O1948" s="121" t="s">
        <v>347</v>
      </c>
      <c r="P1948" s="169" t="s">
        <v>379</v>
      </c>
      <c r="Q1948" s="169" t="s">
        <v>375</v>
      </c>
      <c r="R1948" s="169"/>
      <c r="S1948" s="133">
        <f>M1948</f>
        <v>0</v>
      </c>
      <c r="T1948" s="119"/>
      <c r="U1948" s="121" t="s">
        <v>292</v>
      </c>
      <c r="V1948" s="133">
        <f>S1948</f>
        <v>0</v>
      </c>
      <c r="W1948" s="133">
        <f>VLOOKUP(U1948,Sheet1!$B$6:$C$45,2,FALSE)*V1948</f>
        <v>0</v>
      </c>
      <c r="X1948" s="141"/>
      <c r="Y1948" s="121" t="s">
        <v>292</v>
      </c>
      <c r="Z1948" s="146">
        <f>VLOOKUP(Takeoffs!Y1948,Sheet1!$B$6:$C$124,2,FALSE)</f>
        <v>0</v>
      </c>
      <c r="AA1948" s="146">
        <f>Z1948*AB1948</f>
        <v>0</v>
      </c>
      <c r="AB1948" s="143">
        <f>AD1948*AC1948</f>
        <v>0</v>
      </c>
      <c r="AC1948" s="133">
        <f>S1948</f>
        <v>0</v>
      </c>
      <c r="AD1948" s="142">
        <v>1</v>
      </c>
      <c r="AE1948" s="141"/>
      <c r="AF1948" s="121" t="s">
        <v>292</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411</v>
      </c>
      <c r="P1949" s="121"/>
      <c r="Q1949" s="121"/>
      <c r="R1949" s="121"/>
      <c r="S1949" s="133">
        <f>M1948</f>
        <v>0</v>
      </c>
      <c r="T1949" s="120"/>
      <c r="U1949" s="121" t="s">
        <v>235</v>
      </c>
      <c r="V1949" s="133">
        <f t="shared" ref="V1949:V1968" si="895">S1949</f>
        <v>0</v>
      </c>
      <c r="W1949" s="133">
        <f>VLOOKUP(U1949,Sheet1!$B$6:$C$45,2,FALSE)*V1949</f>
        <v>0</v>
      </c>
      <c r="X1949" s="141"/>
      <c r="Y1949" s="121" t="s">
        <v>292</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292</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292</v>
      </c>
      <c r="V1950" s="133">
        <f t="shared" si="895"/>
        <v>0</v>
      </c>
      <c r="W1950" s="133">
        <f>VLOOKUP(U1950,Sheet1!$B$6:$C$45,2,FALSE)*V1950</f>
        <v>0</v>
      </c>
      <c r="X1950" s="141"/>
      <c r="Y1950" s="121" t="s">
        <v>292</v>
      </c>
      <c r="Z1950" s="146">
        <f>VLOOKUP(Takeoffs!Y1950,Sheet1!$B$6:$C$124,2,FALSE)</f>
        <v>0</v>
      </c>
      <c r="AA1950" s="146">
        <f t="shared" si="896"/>
        <v>0</v>
      </c>
      <c r="AB1950" s="143">
        <f t="shared" si="897"/>
        <v>0</v>
      </c>
      <c r="AC1950" s="133">
        <f>S1950</f>
        <v>0</v>
      </c>
      <c r="AD1950" s="142">
        <v>1</v>
      </c>
      <c r="AE1950" s="141"/>
      <c r="AF1950" s="121" t="s">
        <v>292</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510</v>
      </c>
      <c r="P1951" s="121" t="s">
        <v>463</v>
      </c>
      <c r="Q1951" s="121" t="s">
        <v>464</v>
      </c>
      <c r="R1951" s="121"/>
      <c r="S1951" s="133">
        <f>M1948</f>
        <v>0</v>
      </c>
      <c r="T1951" s="120"/>
      <c r="U1951" s="121" t="s">
        <v>361</v>
      </c>
      <c r="V1951" s="133">
        <f t="shared" si="895"/>
        <v>0</v>
      </c>
      <c r="W1951" s="133">
        <f>VLOOKUP(U1951,Sheet1!$B$6:$C$45,2,FALSE)*V1951</f>
        <v>0</v>
      </c>
      <c r="X1951" s="141"/>
      <c r="Y1951" s="121" t="s">
        <v>292</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323</v>
      </c>
      <c r="P1952" s="121"/>
      <c r="Q1952" s="121"/>
      <c r="R1952" s="121"/>
      <c r="S1952" s="133">
        <f>M1948</f>
        <v>0</v>
      </c>
      <c r="T1952" s="120"/>
      <c r="U1952" s="121" t="s">
        <v>292</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292</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390</v>
      </c>
      <c r="P1953" s="121"/>
      <c r="Q1953" s="121"/>
      <c r="R1953" s="121"/>
      <c r="S1953" s="133">
        <f>M1948</f>
        <v>0</v>
      </c>
      <c r="T1953" s="120"/>
      <c r="U1953" s="121" t="s">
        <v>292</v>
      </c>
      <c r="V1953" s="133">
        <f t="shared" si="895"/>
        <v>0</v>
      </c>
      <c r="W1953" s="133">
        <f>VLOOKUP(U1953,Sheet1!$B$6:$C$45,2,FALSE)*V1953</f>
        <v>0</v>
      </c>
      <c r="X1953" s="141"/>
      <c r="Y1953" s="121" t="s">
        <v>292</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309</v>
      </c>
      <c r="P1954" s="121"/>
      <c r="Q1954" s="121"/>
      <c r="R1954" s="121"/>
      <c r="S1954" s="133">
        <f>M1948</f>
        <v>0</v>
      </c>
      <c r="T1954" s="120"/>
      <c r="U1954" s="121" t="s">
        <v>292</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292</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307</v>
      </c>
      <c r="P1955" s="121"/>
      <c r="Q1955" s="121"/>
      <c r="R1955" s="121"/>
      <c r="S1955" s="133">
        <f>M1948</f>
        <v>0</v>
      </c>
      <c r="T1955" s="120"/>
      <c r="U1955" s="121" t="s">
        <v>242</v>
      </c>
      <c r="V1955" s="133">
        <f t="shared" si="895"/>
        <v>0</v>
      </c>
      <c r="W1955" s="133">
        <f>VLOOKUP(U1955,Sheet1!$B$6:$C$45,2,FALSE)*V1955</f>
        <v>0</v>
      </c>
      <c r="X1955" s="141"/>
      <c r="Y1955" s="121" t="s">
        <v>292</v>
      </c>
      <c r="Z1955" s="146">
        <f>VLOOKUP(Takeoffs!Y1955,Sheet1!$B$6:$C$124,2,FALSE)</f>
        <v>0</v>
      </c>
      <c r="AA1955" s="146">
        <f t="shared" si="896"/>
        <v>0</v>
      </c>
      <c r="AB1955" s="143">
        <f t="shared" si="897"/>
        <v>0</v>
      </c>
      <c r="AC1955" s="133">
        <f t="shared" si="902"/>
        <v>0</v>
      </c>
      <c r="AD1955" s="142">
        <v>1</v>
      </c>
      <c r="AE1955" s="141"/>
      <c r="AF1955" s="121" t="s">
        <v>292</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514</v>
      </c>
      <c r="P1956" s="121"/>
      <c r="Q1956" s="121"/>
      <c r="R1956" s="121"/>
      <c r="S1956" s="133">
        <f>M1948</f>
        <v>0</v>
      </c>
      <c r="T1956" s="120"/>
      <c r="U1956" s="121" t="s">
        <v>292</v>
      </c>
      <c r="V1956" s="133">
        <f t="shared" si="895"/>
        <v>0</v>
      </c>
      <c r="W1956" s="133">
        <f>VLOOKUP(U1956,Sheet1!$B$6:$C$45,2,FALSE)*V1956</f>
        <v>0</v>
      </c>
      <c r="X1956" s="141"/>
      <c r="Y1956" s="152" t="s">
        <v>333</v>
      </c>
      <c r="Z1956" s="146">
        <f>VLOOKUP(Takeoffs!Y1956,Sheet1!$B$6:$C$124,2,FALSE)</f>
        <v>60</v>
      </c>
      <c r="AA1956" s="146">
        <f t="shared" si="896"/>
        <v>0</v>
      </c>
      <c r="AB1956" s="143">
        <f t="shared" si="897"/>
        <v>0</v>
      </c>
      <c r="AC1956" s="133">
        <f t="shared" si="902"/>
        <v>0</v>
      </c>
      <c r="AD1956" s="142">
        <v>1</v>
      </c>
      <c r="AE1956" s="141"/>
      <c r="AF1956" s="121" t="s">
        <v>292</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515</v>
      </c>
      <c r="P1957" s="121"/>
      <c r="Q1957" s="121"/>
      <c r="R1957" s="121"/>
      <c r="S1957" s="133">
        <f>M1948</f>
        <v>0</v>
      </c>
      <c r="T1957" s="120"/>
      <c r="U1957" s="121" t="s">
        <v>292</v>
      </c>
      <c r="V1957" s="133">
        <f t="shared" si="895"/>
        <v>0</v>
      </c>
      <c r="W1957" s="133">
        <f>VLOOKUP(U1957,Sheet1!$B$6:$C$45,2,FALSE)*V1957</f>
        <v>0</v>
      </c>
      <c r="X1957" s="141"/>
      <c r="Y1957" s="152" t="s">
        <v>334</v>
      </c>
      <c r="Z1957" s="146">
        <f>VLOOKUP(Takeoffs!Y1957,Sheet1!$B$6:$C$124,2,FALSE)</f>
        <v>56.4</v>
      </c>
      <c r="AA1957" s="146">
        <f t="shared" si="896"/>
        <v>0</v>
      </c>
      <c r="AB1957" s="143">
        <f t="shared" si="897"/>
        <v>0</v>
      </c>
      <c r="AC1957" s="133">
        <f t="shared" si="902"/>
        <v>0</v>
      </c>
      <c r="AD1957" s="142">
        <v>1</v>
      </c>
      <c r="AE1957" s="141"/>
      <c r="AF1957" s="121" t="s">
        <v>292</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512</v>
      </c>
      <c r="P1958" s="121"/>
      <c r="Q1958" s="121"/>
      <c r="R1958" s="121"/>
      <c r="S1958" s="133">
        <f>M1948</f>
        <v>0</v>
      </c>
      <c r="T1958" s="120"/>
      <c r="U1958" s="121" t="s">
        <v>363</v>
      </c>
      <c r="V1958" s="133">
        <f t="shared" si="895"/>
        <v>0</v>
      </c>
      <c r="W1958" s="133">
        <f>VLOOKUP(U1958,Sheet1!$B$6:$C$45,2,FALSE)*V1958</f>
        <v>0</v>
      </c>
      <c r="X1958" s="141"/>
      <c r="Y1958" s="122" t="s">
        <v>321</v>
      </c>
      <c r="Z1958" s="146">
        <f>VLOOKUP(Takeoffs!Y1958,Sheet1!$B$6:$C$124,2,FALSE)</f>
        <v>60</v>
      </c>
      <c r="AA1958" s="146">
        <f t="shared" si="896"/>
        <v>0</v>
      </c>
      <c r="AB1958" s="143">
        <f t="shared" si="897"/>
        <v>0</v>
      </c>
      <c r="AC1958" s="133">
        <f t="shared" si="902"/>
        <v>0</v>
      </c>
      <c r="AD1958" s="142">
        <v>1</v>
      </c>
      <c r="AE1958" s="141"/>
      <c r="AF1958" s="121" t="s">
        <v>292</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516</v>
      </c>
      <c r="P1959" s="121"/>
      <c r="Q1959" s="121"/>
      <c r="R1959" s="121"/>
      <c r="S1959" s="133">
        <f>M1948</f>
        <v>0</v>
      </c>
      <c r="T1959" s="120"/>
      <c r="U1959" s="121" t="s">
        <v>292</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292</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363</v>
      </c>
      <c r="V1960" s="133">
        <f t="shared" si="895"/>
        <v>0</v>
      </c>
      <c r="W1960" s="133">
        <f>VLOOKUP(U1960,Sheet1!$B$6:$C$45,2,FALSE)*V1960</f>
        <v>0</v>
      </c>
      <c r="X1960" s="141"/>
      <c r="Y1960" s="121" t="s">
        <v>292</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312</v>
      </c>
      <c r="P1961" s="121"/>
      <c r="Q1961" s="121"/>
      <c r="R1961" s="121"/>
      <c r="S1961" s="133">
        <f>M1948</f>
        <v>0</v>
      </c>
      <c r="T1961" s="120"/>
      <c r="U1961" s="121" t="s">
        <v>232</v>
      </c>
      <c r="V1961" s="133">
        <f t="shared" si="895"/>
        <v>0</v>
      </c>
      <c r="W1961" s="133">
        <f>VLOOKUP(U1961,Sheet1!$B$6:$C$45,2,FALSE)*V1961</f>
        <v>0</v>
      </c>
      <c r="X1961" s="141"/>
      <c r="Y1961" s="122" t="s">
        <v>1344</v>
      </c>
      <c r="Z1961" s="146">
        <f>VLOOKUP(Takeoffs!Y1961,Sheet1!$B$6:$C$124,2,FALSE)</f>
        <v>109.25999999999999</v>
      </c>
      <c r="AA1961" s="146">
        <f t="shared" si="896"/>
        <v>0</v>
      </c>
      <c r="AB1961" s="143">
        <f t="shared" si="897"/>
        <v>0</v>
      </c>
      <c r="AC1961" s="133">
        <f t="shared" si="902"/>
        <v>0</v>
      </c>
      <c r="AD1961" s="142">
        <v>1</v>
      </c>
      <c r="AE1961" s="141"/>
      <c r="AF1961" s="121" t="s">
        <v>292</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517</v>
      </c>
      <c r="P1962" s="121"/>
      <c r="Q1962" s="121"/>
      <c r="R1962" s="121"/>
      <c r="S1962" s="133">
        <f>M1948</f>
        <v>0</v>
      </c>
      <c r="T1962" s="120"/>
      <c r="U1962" s="121" t="s">
        <v>364</v>
      </c>
      <c r="V1962" s="133">
        <f t="shared" si="895"/>
        <v>0</v>
      </c>
      <c r="W1962" s="133">
        <f>VLOOKUP(U1962,Sheet1!$B$6:$C$45,2,FALSE)*V1962</f>
        <v>0</v>
      </c>
      <c r="X1962" s="141"/>
      <c r="Y1962" s="135" t="s">
        <v>461</v>
      </c>
      <c r="Z1962" s="146">
        <f>VLOOKUP(Takeoffs!Y1962,Sheet1!$B$6:$C$124,2,FALSE)</f>
        <v>420</v>
      </c>
      <c r="AA1962" s="146">
        <f t="shared" si="896"/>
        <v>0</v>
      </c>
      <c r="AB1962" s="143">
        <f t="shared" si="897"/>
        <v>0</v>
      </c>
      <c r="AC1962" s="133">
        <f t="shared" si="902"/>
        <v>0</v>
      </c>
      <c r="AD1962" s="142">
        <v>2</v>
      </c>
      <c r="AE1962" s="141"/>
      <c r="AF1962" s="121" t="s">
        <v>292</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518</v>
      </c>
      <c r="P1963" s="121"/>
      <c r="Q1963" s="121"/>
      <c r="R1963" s="121"/>
      <c r="S1963" s="133">
        <f>M1948</f>
        <v>0</v>
      </c>
      <c r="T1963" s="120"/>
      <c r="U1963" s="121" t="s">
        <v>292</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292</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519</v>
      </c>
      <c r="P1964" s="121"/>
      <c r="Q1964" s="121"/>
      <c r="R1964" s="121"/>
      <c r="S1964" s="133">
        <f>M1948</f>
        <v>0</v>
      </c>
      <c r="T1964" s="120"/>
      <c r="U1964" s="121" t="s">
        <v>292</v>
      </c>
      <c r="V1964" s="133">
        <f t="shared" si="895"/>
        <v>0</v>
      </c>
      <c r="W1964" s="133">
        <f>VLOOKUP(U1964,Sheet1!$B$6:$C$45,2,FALSE)*V1964</f>
        <v>0</v>
      </c>
      <c r="X1964" s="141"/>
      <c r="Y1964" s="152" t="s">
        <v>459</v>
      </c>
      <c r="Z1964" s="146">
        <f>VLOOKUP(Takeoffs!Y1964,Sheet1!$B$6:$C$124,2,FALSE)</f>
        <v>11.46</v>
      </c>
      <c r="AA1964" s="146">
        <f t="shared" si="896"/>
        <v>0</v>
      </c>
      <c r="AB1964" s="143">
        <f t="shared" si="897"/>
        <v>0</v>
      </c>
      <c r="AC1964" s="133">
        <f t="shared" si="902"/>
        <v>0</v>
      </c>
      <c r="AD1964" s="142">
        <v>2</v>
      </c>
      <c r="AE1964" s="141"/>
      <c r="AF1964" s="121" t="s">
        <v>292</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520</v>
      </c>
      <c r="P1965" s="121"/>
      <c r="Q1965" s="121"/>
      <c r="R1965" s="121"/>
      <c r="S1965" s="133">
        <f>M1948</f>
        <v>0</v>
      </c>
      <c r="T1965" s="120"/>
      <c r="U1965" s="121" t="s">
        <v>292</v>
      </c>
      <c r="V1965" s="133">
        <f t="shared" si="895"/>
        <v>0</v>
      </c>
      <c r="W1965" s="133">
        <f>VLOOKUP(U1965,Sheet1!$B$6:$C$45,2,FALSE)*V1965</f>
        <v>0</v>
      </c>
      <c r="X1965" s="141"/>
      <c r="Y1965" s="152" t="s">
        <v>460</v>
      </c>
      <c r="Z1965" s="146">
        <f>VLOOKUP(Takeoffs!Y1965,Sheet1!$B$6:$C$124,2,FALSE)</f>
        <v>36</v>
      </c>
      <c r="AA1965" s="146">
        <f t="shared" si="896"/>
        <v>0</v>
      </c>
      <c r="AB1965" s="143">
        <f t="shared" si="897"/>
        <v>0</v>
      </c>
      <c r="AC1965" s="133">
        <f t="shared" si="902"/>
        <v>0</v>
      </c>
      <c r="AD1965" s="142">
        <v>1</v>
      </c>
      <c r="AE1965" s="141"/>
      <c r="AF1965" s="121" t="s">
        <v>292</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521</v>
      </c>
      <c r="P1966" s="121" t="s">
        <v>456</v>
      </c>
      <c r="Q1966" s="121" t="s">
        <v>457</v>
      </c>
      <c r="R1966" s="121"/>
      <c r="S1966" s="133">
        <f>M1948</f>
        <v>0</v>
      </c>
      <c r="T1966" s="120"/>
      <c r="U1966" s="121" t="s">
        <v>363</v>
      </c>
      <c r="V1966" s="133">
        <f t="shared" si="895"/>
        <v>0</v>
      </c>
      <c r="W1966" s="133">
        <f>VLOOKUP(U1966,Sheet1!$B$6:$C$45,2,FALSE)*V1966</f>
        <v>0</v>
      </c>
      <c r="X1966" s="141"/>
      <c r="Y1966" s="122" t="s">
        <v>326</v>
      </c>
      <c r="Z1966" s="146">
        <f>VLOOKUP(Takeoffs!Y1966,Sheet1!$B$6:$C$124,2,FALSE)</f>
        <v>29.04</v>
      </c>
      <c r="AA1966" s="146">
        <f t="shared" si="896"/>
        <v>0</v>
      </c>
      <c r="AB1966" s="143">
        <f t="shared" si="897"/>
        <v>0</v>
      </c>
      <c r="AC1966" s="133">
        <f t="shared" si="902"/>
        <v>0</v>
      </c>
      <c r="AD1966" s="142">
        <v>1</v>
      </c>
      <c r="AE1966" s="141"/>
      <c r="AF1966" s="121" t="s">
        <v>292</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522</v>
      </c>
      <c r="P1967" s="121" t="s">
        <v>380</v>
      </c>
      <c r="Q1967" s="121" t="s">
        <v>384</v>
      </c>
      <c r="R1967" s="121"/>
      <c r="S1967" s="133">
        <f>M1948</f>
        <v>0</v>
      </c>
      <c r="T1967" s="120"/>
      <c r="U1967" s="121" t="s">
        <v>292</v>
      </c>
      <c r="V1967" s="133">
        <f t="shared" si="895"/>
        <v>0</v>
      </c>
      <c r="W1967" s="133">
        <f>VLOOKUP(U1967,Sheet1!$B$6:$C$45,2,FALSE)*V1967</f>
        <v>0</v>
      </c>
      <c r="X1967" s="141"/>
      <c r="Y1967" s="122" t="s">
        <v>322</v>
      </c>
      <c r="Z1967" s="146">
        <f>VLOOKUP(Takeoffs!Y1967,Sheet1!$B$6:$C$124,2,FALSE)</f>
        <v>48</v>
      </c>
      <c r="AA1967" s="146">
        <f t="shared" si="896"/>
        <v>0</v>
      </c>
      <c r="AB1967" s="143">
        <f t="shared" si="897"/>
        <v>0</v>
      </c>
      <c r="AC1967" s="133">
        <f t="shared" si="902"/>
        <v>0</v>
      </c>
      <c r="AD1967" s="142">
        <v>1</v>
      </c>
      <c r="AE1967" s="141"/>
      <c r="AF1967" s="121" t="s">
        <v>292</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408</v>
      </c>
      <c r="P1968" s="121"/>
      <c r="Q1968" s="121"/>
      <c r="R1968" s="121"/>
      <c r="S1968" s="133">
        <f>M1948</f>
        <v>0</v>
      </c>
      <c r="T1968" s="120"/>
      <c r="U1968" s="121" t="s">
        <v>363</v>
      </c>
      <c r="V1968" s="133">
        <f t="shared" si="895"/>
        <v>0</v>
      </c>
      <c r="W1968" s="133">
        <f>VLOOKUP(U1968,Sheet1!$B$6:$C$45,2,FALSE)*V1968</f>
        <v>0</v>
      </c>
      <c r="X1968" s="141"/>
      <c r="Y1968" s="121" t="s">
        <v>292</v>
      </c>
      <c r="Z1968" s="146">
        <f>VLOOKUP(Takeoffs!Y1968,Sheet1!$B$6:$C$124,2,FALSE)</f>
        <v>0</v>
      </c>
      <c r="AA1968" s="146">
        <f t="shared" si="896"/>
        <v>0</v>
      </c>
      <c r="AB1968" s="143">
        <f t="shared" si="897"/>
        <v>0</v>
      </c>
      <c r="AC1968" s="133">
        <f t="shared" si="902"/>
        <v>0</v>
      </c>
      <c r="AD1968" s="142">
        <v>1</v>
      </c>
      <c r="AE1968" s="141"/>
      <c r="AF1968" s="121" t="s">
        <v>292</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377</v>
      </c>
      <c r="L1969" s="128" t="s">
        <v>378</v>
      </c>
      <c r="N1969" s="129"/>
      <c r="O1969" s="130" t="s">
        <v>357</v>
      </c>
      <c r="P1969" s="171">
        <f>V1969+AA1969+AH1969</f>
        <v>0</v>
      </c>
      <c r="Q1969" s="144"/>
      <c r="R1969" s="144"/>
      <c r="S1969" s="130"/>
      <c r="T1969" s="127"/>
      <c r="U1969" s="126" t="s">
        <v>351</v>
      </c>
      <c r="V1969" s="127">
        <f>W1969*80</f>
        <v>0</v>
      </c>
      <c r="W1969" s="147">
        <f>SUM(W1948:W1968)</f>
        <v>0</v>
      </c>
      <c r="X1969" s="148"/>
      <c r="Y1969" s="127" t="s">
        <v>352</v>
      </c>
      <c r="Z1969" s="116"/>
      <c r="AA1969" s="116">
        <f>SUM(AA1948:AA1968)</f>
        <v>0</v>
      </c>
      <c r="AB1969" s="149"/>
      <c r="AC1969" s="149"/>
      <c r="AD1969" s="149"/>
      <c r="AE1969" s="149"/>
      <c r="AF1969" s="127" t="s">
        <v>356</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hidden="1" x14ac:dyDescent="0.8">
      <c r="A1970" s="262">
        <f>ROW()</f>
        <v>1970</v>
      </c>
      <c r="B1970" s="234" t="s">
        <v>491</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367</v>
      </c>
      <c r="N1970" s="160" t="str">
        <f>N1948</f>
        <v>Kitchen Exhaust Sytem ( from local power supply with 2 separate switchplates)</v>
      </c>
      <c r="O1970" s="160" t="s">
        <v>365</v>
      </c>
      <c r="P1970" s="161" t="e">
        <f>P1969/M1948</f>
        <v>#DIV/0!</v>
      </c>
      <c r="Q1970" s="161"/>
      <c r="R1970" s="161"/>
      <c r="S1970" s="160"/>
      <c r="T1970" s="161"/>
      <c r="U1970" s="571" t="s">
        <v>366</v>
      </c>
      <c r="V1970" s="571"/>
      <c r="W1970" s="162" t="e">
        <f>W1969/M1948</f>
        <v>#DIV/0!</v>
      </c>
      <c r="X1970" s="163"/>
      <c r="Y1970" s="570" t="s">
        <v>365</v>
      </c>
      <c r="Z1970" s="570"/>
      <c r="AA1970" s="164" t="e">
        <f>AA1969/M1948</f>
        <v>#DIV/0!</v>
      </c>
      <c r="AB1970" s="161"/>
      <c r="AC1970" s="161"/>
      <c r="AD1970" s="161"/>
      <c r="AE1970" s="161"/>
      <c r="AF1970" s="570" t="s">
        <v>365</v>
      </c>
      <c r="AG1970" s="570"/>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452</v>
      </c>
      <c r="M1971" s="2" t="s">
        <v>107</v>
      </c>
      <c r="N1971" s="2" t="s">
        <v>108</v>
      </c>
      <c r="O1971" s="97" t="s">
        <v>386</v>
      </c>
      <c r="P1971" s="572" t="s">
        <v>375</v>
      </c>
      <c r="Q1971" s="572"/>
      <c r="R1971" s="101" t="s">
        <v>452</v>
      </c>
      <c r="S1971" s="2" t="s">
        <v>0</v>
      </c>
      <c r="T1971" s="9"/>
      <c r="U1971" s="2" t="s">
        <v>287</v>
      </c>
      <c r="V1971" s="2" t="s">
        <v>288</v>
      </c>
      <c r="W1971" s="2" t="s">
        <v>291</v>
      </c>
      <c r="X1971" s="58"/>
      <c r="Y1971" s="2" t="s">
        <v>289</v>
      </c>
      <c r="Z1971" s="2" t="s">
        <v>354</v>
      </c>
      <c r="AA1971" s="2" t="s">
        <v>355</v>
      </c>
      <c r="AB1971" s="2" t="s">
        <v>317</v>
      </c>
      <c r="AC1971" s="2" t="s">
        <v>318</v>
      </c>
      <c r="AD1971" s="2" t="s">
        <v>316</v>
      </c>
      <c r="AE1971" s="58"/>
      <c r="AF1971" s="2" t="s">
        <v>293</v>
      </c>
      <c r="AG1971" s="2" t="s">
        <v>354</v>
      </c>
      <c r="AH1971" s="2" t="s">
        <v>355</v>
      </c>
      <c r="AI1971" s="2" t="s">
        <v>296</v>
      </c>
      <c r="AJ1971" s="2" t="s">
        <v>294</v>
      </c>
      <c r="AK1971" s="2" t="s">
        <v>295</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713</v>
      </c>
      <c r="O1972" s="12" t="s">
        <v>347</v>
      </c>
      <c r="P1972" s="96" t="s">
        <v>379</v>
      </c>
      <c r="Q1972" s="96" t="s">
        <v>375</v>
      </c>
      <c r="R1972" s="96"/>
      <c r="S1972" s="28">
        <f>M1972</f>
        <v>0</v>
      </c>
      <c r="T1972" s="10"/>
      <c r="U1972" s="12" t="s">
        <v>292</v>
      </c>
      <c r="V1972" s="28">
        <f>S1972</f>
        <v>0</v>
      </c>
      <c r="W1972" s="28">
        <f>VLOOKUP(U1972,Sheet1!$B$6:$C$45,2,FALSE)*V1972</f>
        <v>0</v>
      </c>
      <c r="X1972" s="59"/>
      <c r="Y1972" s="108" t="s">
        <v>292</v>
      </c>
      <c r="Z1972" s="68">
        <f>VLOOKUP(Takeoffs!Y1972,Sheet1!$B$6:$C$124,2,FALSE)</f>
        <v>0</v>
      </c>
      <c r="AA1972" s="68">
        <f>Z1972*AB1972</f>
        <v>0</v>
      </c>
      <c r="AB1972" s="63">
        <f>AD1972*AC1972</f>
        <v>0</v>
      </c>
      <c r="AC1972" s="28">
        <f>S1972</f>
        <v>0</v>
      </c>
      <c r="AD1972" s="61">
        <v>1</v>
      </c>
      <c r="AE1972" s="59"/>
      <c r="AF1972" s="111" t="s">
        <v>292</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411</v>
      </c>
      <c r="P1973" s="12"/>
      <c r="Q1973" s="12"/>
      <c r="R1973" s="12"/>
      <c r="S1973" s="28">
        <f>M1972</f>
        <v>0</v>
      </c>
      <c r="T1973" s="11"/>
      <c r="U1973" s="12" t="s">
        <v>235</v>
      </c>
      <c r="V1973" s="28">
        <f t="shared" ref="V1973:V1992" si="903">S1973</f>
        <v>0</v>
      </c>
      <c r="W1973" s="28">
        <f>VLOOKUP(U1973,Sheet1!$B$6:$C$45,2,FALSE)*V1973</f>
        <v>0</v>
      </c>
      <c r="X1973" s="59"/>
      <c r="Y1973" s="108" t="s">
        <v>292</v>
      </c>
      <c r="Z1973" s="68">
        <f>VLOOKUP(Takeoffs!Y1973,Sheet1!$B$6:$C$124,2,FALSE)</f>
        <v>0</v>
      </c>
      <c r="AA1973" s="68">
        <f t="shared" ref="AA1973:AA1992" si="904">Z1973*AB1973</f>
        <v>0</v>
      </c>
      <c r="AB1973" s="63">
        <f t="shared" ref="AB1973:AB1992" si="905">AD1973*AC1973</f>
        <v>0</v>
      </c>
      <c r="AC1973" s="28">
        <f>S1973</f>
        <v>0</v>
      </c>
      <c r="AD1973" s="61">
        <v>1</v>
      </c>
      <c r="AE1973" s="59"/>
      <c r="AF1973" s="111" t="s">
        <v>292</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308</v>
      </c>
      <c r="P1974" s="12"/>
      <c r="Q1974" s="12"/>
      <c r="R1974" s="12"/>
      <c r="S1974" s="28">
        <f>M1972</f>
        <v>0</v>
      </c>
      <c r="T1974" s="11"/>
      <c r="U1974" s="12" t="s">
        <v>292</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292</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305</v>
      </c>
      <c r="P1975" s="12"/>
      <c r="Q1975" s="12"/>
      <c r="R1975" s="12"/>
      <c r="S1975" s="28">
        <f>M1972</f>
        <v>0</v>
      </c>
      <c r="T1975" s="11"/>
      <c r="U1975" s="117" t="s">
        <v>478</v>
      </c>
      <c r="V1975" s="28">
        <f t="shared" si="903"/>
        <v>0</v>
      </c>
      <c r="W1975" s="28">
        <f>VLOOKUP(U1975,Sheet1!$B$6:$C$45,2,FALSE)*V1975</f>
        <v>0</v>
      </c>
      <c r="X1975" s="59"/>
      <c r="Y1975" s="108" t="s">
        <v>292</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323</v>
      </c>
      <c r="P1976" s="12"/>
      <c r="Q1976" s="12"/>
      <c r="R1976" s="12"/>
      <c r="S1976" s="28">
        <f>M1972</f>
        <v>0</v>
      </c>
      <c r="T1976" s="11"/>
      <c r="U1976" s="12" t="s">
        <v>292</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292</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390</v>
      </c>
      <c r="P1977" s="12"/>
      <c r="Q1977" s="12"/>
      <c r="R1977" s="12"/>
      <c r="S1977" s="28">
        <f>M1972</f>
        <v>0</v>
      </c>
      <c r="T1977" s="11"/>
      <c r="U1977" s="12" t="s">
        <v>292</v>
      </c>
      <c r="V1977" s="28">
        <f t="shared" si="903"/>
        <v>0</v>
      </c>
      <c r="W1977" s="28">
        <f>VLOOKUP(U1977,Sheet1!$B$6:$C$45,2,FALSE)*V1977</f>
        <v>0</v>
      </c>
      <c r="X1977" s="59"/>
      <c r="Y1977" s="108" t="s">
        <v>292</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309</v>
      </c>
      <c r="P1978" s="12"/>
      <c r="Q1978" s="12"/>
      <c r="R1978" s="12"/>
      <c r="S1978" s="28">
        <f>M1972</f>
        <v>0</v>
      </c>
      <c r="T1978" s="11"/>
      <c r="U1978" s="12" t="s">
        <v>292</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292</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307</v>
      </c>
      <c r="P1979" s="12"/>
      <c r="Q1979" s="12"/>
      <c r="R1979" s="12"/>
      <c r="S1979" s="28">
        <f>M1972</f>
        <v>0</v>
      </c>
      <c r="T1979" s="11"/>
      <c r="U1979" s="12" t="s">
        <v>242</v>
      </c>
      <c r="V1979" s="28">
        <f t="shared" si="903"/>
        <v>0</v>
      </c>
      <c r="W1979" s="28">
        <f>VLOOKUP(U1979,Sheet1!$B$6:$C$45,2,FALSE)*V1979</f>
        <v>0</v>
      </c>
      <c r="X1979" s="59"/>
      <c r="Y1979" s="108" t="s">
        <v>292</v>
      </c>
      <c r="Z1979" s="68">
        <f>VLOOKUP(Takeoffs!Y1979,Sheet1!$B$6:$C$124,2,FALSE)</f>
        <v>0</v>
      </c>
      <c r="AA1979" s="68">
        <f t="shared" si="904"/>
        <v>0</v>
      </c>
      <c r="AB1979" s="63">
        <f t="shared" si="905"/>
        <v>0</v>
      </c>
      <c r="AC1979" s="28">
        <f t="shared" si="910"/>
        <v>0</v>
      </c>
      <c r="AD1979" s="61">
        <v>1</v>
      </c>
      <c r="AE1979" s="59"/>
      <c r="AF1979" s="111" t="s">
        <v>292</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338</v>
      </c>
      <c r="P1980" s="12"/>
      <c r="Q1980" s="12"/>
      <c r="R1980" s="12"/>
      <c r="S1980" s="28">
        <f>M1972</f>
        <v>0</v>
      </c>
      <c r="T1980" s="11"/>
      <c r="U1980" s="12" t="s">
        <v>292</v>
      </c>
      <c r="V1980" s="28">
        <f t="shared" si="903"/>
        <v>0</v>
      </c>
      <c r="W1980" s="28">
        <f>VLOOKUP(U1980,Sheet1!$B$6:$C$45,2,FALSE)*V1980</f>
        <v>0</v>
      </c>
      <c r="X1980" s="59"/>
      <c r="Y1980" s="110" t="s">
        <v>333</v>
      </c>
      <c r="Z1980" s="68">
        <f>VLOOKUP(Takeoffs!Y1980,Sheet1!$B$6:$C$124,2,FALSE)</f>
        <v>60</v>
      </c>
      <c r="AA1980" s="68">
        <f t="shared" si="904"/>
        <v>0</v>
      </c>
      <c r="AB1980" s="63">
        <f t="shared" si="905"/>
        <v>0</v>
      </c>
      <c r="AC1980" s="28">
        <f t="shared" si="910"/>
        <v>0</v>
      </c>
      <c r="AD1980" s="61">
        <v>1</v>
      </c>
      <c r="AE1980" s="59"/>
      <c r="AF1980" s="111" t="s">
        <v>292</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515</v>
      </c>
      <c r="P1981" s="12"/>
      <c r="Q1981" s="12"/>
      <c r="R1981" s="12"/>
      <c r="S1981" s="28">
        <f>M1972</f>
        <v>0</v>
      </c>
      <c r="T1981" s="11"/>
      <c r="U1981" s="12" t="s">
        <v>292</v>
      </c>
      <c r="V1981" s="28">
        <f t="shared" si="903"/>
        <v>0</v>
      </c>
      <c r="W1981" s="28">
        <f>VLOOKUP(U1981,Sheet1!$B$6:$C$45,2,FALSE)*V1981</f>
        <v>0</v>
      </c>
      <c r="X1981" s="59"/>
      <c r="Y1981" s="110" t="s">
        <v>334</v>
      </c>
      <c r="Z1981" s="68">
        <f>VLOOKUP(Takeoffs!Y1981,Sheet1!$B$6:$C$124,2,FALSE)</f>
        <v>56.4</v>
      </c>
      <c r="AA1981" s="68">
        <f t="shared" si="904"/>
        <v>0</v>
      </c>
      <c r="AB1981" s="63">
        <f t="shared" si="905"/>
        <v>0</v>
      </c>
      <c r="AC1981" s="28">
        <f t="shared" si="910"/>
        <v>0</v>
      </c>
      <c r="AD1981" s="61">
        <v>1</v>
      </c>
      <c r="AE1981" s="59"/>
      <c r="AF1981" s="111" t="s">
        <v>292</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512</v>
      </c>
      <c r="P1982" s="12"/>
      <c r="Q1982" s="12"/>
      <c r="R1982" s="12"/>
      <c r="S1982" s="28">
        <f>M1972</f>
        <v>0</v>
      </c>
      <c r="T1982" s="11"/>
      <c r="U1982" s="12" t="s">
        <v>363</v>
      </c>
      <c r="V1982" s="28">
        <f t="shared" si="903"/>
        <v>0</v>
      </c>
      <c r="W1982" s="28">
        <f>VLOOKUP(U1982,Sheet1!$B$6:$C$45,2,FALSE)*V1982</f>
        <v>0</v>
      </c>
      <c r="X1982" s="59"/>
      <c r="Y1982" s="109" t="s">
        <v>321</v>
      </c>
      <c r="Z1982" s="68">
        <f>VLOOKUP(Takeoffs!Y1982,Sheet1!$B$6:$C$124,2,FALSE)</f>
        <v>60</v>
      </c>
      <c r="AA1982" s="68">
        <f t="shared" si="904"/>
        <v>0</v>
      </c>
      <c r="AB1982" s="63">
        <f t="shared" si="905"/>
        <v>0</v>
      </c>
      <c r="AC1982" s="28">
        <f t="shared" si="910"/>
        <v>0</v>
      </c>
      <c r="AD1982" s="61">
        <v>1</v>
      </c>
      <c r="AE1982" s="59"/>
      <c r="AF1982" s="111" t="s">
        <v>292</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516</v>
      </c>
      <c r="P1983" s="12"/>
      <c r="Q1983" s="12"/>
      <c r="R1983" s="12"/>
      <c r="S1983" s="28">
        <f>M1972</f>
        <v>0</v>
      </c>
      <c r="T1983" s="11"/>
      <c r="U1983" s="12" t="s">
        <v>292</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292</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363</v>
      </c>
      <c r="V1984" s="28">
        <f t="shared" si="903"/>
        <v>0</v>
      </c>
      <c r="W1984" s="28">
        <f>VLOOKUP(U1984,Sheet1!$B$6:$C$45,2,FALSE)*V1984</f>
        <v>0</v>
      </c>
      <c r="X1984" s="59"/>
      <c r="Y1984" s="108" t="s">
        <v>292</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312</v>
      </c>
      <c r="P1985" s="12"/>
      <c r="Q1985" s="12"/>
      <c r="R1985" s="12"/>
      <c r="S1985" s="28">
        <f>M1972</f>
        <v>0</v>
      </c>
      <c r="T1985" s="11"/>
      <c r="U1985" s="108" t="s">
        <v>232</v>
      </c>
      <c r="V1985" s="28">
        <f t="shared" si="903"/>
        <v>0</v>
      </c>
      <c r="W1985" s="28">
        <f>VLOOKUP(U1985,Sheet1!$B$6:$C$45,2,FALSE)*V1985</f>
        <v>0</v>
      </c>
      <c r="X1985" s="59"/>
      <c r="Y1985" s="109" t="s">
        <v>1344</v>
      </c>
      <c r="Z1985" s="68">
        <f>VLOOKUP(Takeoffs!Y1985,Sheet1!$B$6:$C$124,2,FALSE)</f>
        <v>109.25999999999999</v>
      </c>
      <c r="AA1985" s="68">
        <f t="shared" si="904"/>
        <v>0</v>
      </c>
      <c r="AB1985" s="63">
        <f t="shared" si="905"/>
        <v>0</v>
      </c>
      <c r="AC1985" s="28">
        <f t="shared" si="910"/>
        <v>0</v>
      </c>
      <c r="AD1985" s="61">
        <v>1</v>
      </c>
      <c r="AE1985" s="59"/>
      <c r="AF1985" s="111" t="s">
        <v>292</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523</v>
      </c>
      <c r="P1986" s="12"/>
      <c r="Q1986" s="12"/>
      <c r="R1986" s="12"/>
      <c r="S1986" s="28">
        <f>M1972</f>
        <v>0</v>
      </c>
      <c r="T1986" s="11"/>
      <c r="U1986" s="12" t="s">
        <v>364</v>
      </c>
      <c r="V1986" s="28">
        <f t="shared" si="903"/>
        <v>0</v>
      </c>
      <c r="W1986" s="28">
        <f>VLOOKUP(U1986,Sheet1!$B$6:$C$45,2,FALSE)*V1986</f>
        <v>0</v>
      </c>
      <c r="X1986" s="59"/>
      <c r="Y1986" s="135" t="s">
        <v>461</v>
      </c>
      <c r="Z1986" s="68">
        <f>VLOOKUP(Takeoffs!Y1986,Sheet1!$B$6:$C$124,2,FALSE)</f>
        <v>420</v>
      </c>
      <c r="AA1986" s="68">
        <f t="shared" si="904"/>
        <v>0</v>
      </c>
      <c r="AB1986" s="63">
        <f t="shared" si="905"/>
        <v>0</v>
      </c>
      <c r="AC1986" s="28">
        <f t="shared" si="910"/>
        <v>0</v>
      </c>
      <c r="AD1986" s="61">
        <v>1</v>
      </c>
      <c r="AE1986" s="59"/>
      <c r="AF1986" s="111" t="s">
        <v>292</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518</v>
      </c>
      <c r="P1987" s="12"/>
      <c r="Q1987" s="12"/>
      <c r="R1987" s="12"/>
      <c r="S1987" s="28">
        <f>M1972</f>
        <v>0</v>
      </c>
      <c r="T1987" s="11"/>
      <c r="U1987" s="12" t="s">
        <v>292</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292</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714</v>
      </c>
      <c r="P1988" s="12"/>
      <c r="Q1988" s="12"/>
      <c r="R1988" s="12"/>
      <c r="S1988" s="28">
        <f>M1972</f>
        <v>0</v>
      </c>
      <c r="T1988" s="11"/>
      <c r="U1988" s="12" t="s">
        <v>292</v>
      </c>
      <c r="V1988" s="28">
        <f t="shared" si="903"/>
        <v>0</v>
      </c>
      <c r="W1988" s="28">
        <f>VLOOKUP(U1988,Sheet1!$B$6:$C$45,2,FALSE)*V1988</f>
        <v>0</v>
      </c>
      <c r="X1988" s="59"/>
      <c r="Y1988" s="110" t="s">
        <v>459</v>
      </c>
      <c r="Z1988" s="68">
        <f>VLOOKUP(Takeoffs!Y1988,Sheet1!$B$6:$C$124,2,FALSE)</f>
        <v>11.46</v>
      </c>
      <c r="AA1988" s="68">
        <f t="shared" si="904"/>
        <v>0</v>
      </c>
      <c r="AB1988" s="63">
        <f t="shared" si="905"/>
        <v>0</v>
      </c>
      <c r="AC1988" s="28">
        <f t="shared" si="910"/>
        <v>0</v>
      </c>
      <c r="AD1988" s="61">
        <v>1</v>
      </c>
      <c r="AE1988" s="59"/>
      <c r="AF1988" s="111" t="s">
        <v>292</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524</v>
      </c>
      <c r="P1989" s="12"/>
      <c r="Q1989" s="12"/>
      <c r="R1989" s="12"/>
      <c r="S1989" s="28">
        <f>M1972</f>
        <v>0</v>
      </c>
      <c r="T1989" s="11"/>
      <c r="U1989" s="12" t="s">
        <v>292</v>
      </c>
      <c r="V1989" s="28">
        <f t="shared" si="903"/>
        <v>0</v>
      </c>
      <c r="W1989" s="28">
        <f>VLOOKUP(U1989,Sheet1!$B$6:$C$45,2,FALSE)*V1989</f>
        <v>0</v>
      </c>
      <c r="X1989" s="59"/>
      <c r="Y1989" s="110" t="s">
        <v>460</v>
      </c>
      <c r="Z1989" s="68">
        <f>VLOOKUP(Takeoffs!Y1989,Sheet1!$B$6:$C$124,2,FALSE)</f>
        <v>36</v>
      </c>
      <c r="AA1989" s="68">
        <f t="shared" si="904"/>
        <v>0</v>
      </c>
      <c r="AB1989" s="63">
        <f t="shared" si="905"/>
        <v>0</v>
      </c>
      <c r="AC1989" s="28">
        <f t="shared" si="910"/>
        <v>0</v>
      </c>
      <c r="AD1989" s="61">
        <v>1</v>
      </c>
      <c r="AE1989" s="59"/>
      <c r="AF1989" s="111" t="s">
        <v>292</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521</v>
      </c>
      <c r="P1990" s="12" t="s">
        <v>456</v>
      </c>
      <c r="Q1990" s="12" t="s">
        <v>457</v>
      </c>
      <c r="R1990" s="12"/>
      <c r="S1990" s="28">
        <f>M1972</f>
        <v>0</v>
      </c>
      <c r="T1990" s="11"/>
      <c r="U1990" s="12" t="s">
        <v>363</v>
      </c>
      <c r="V1990" s="28">
        <f t="shared" si="903"/>
        <v>0</v>
      </c>
      <c r="W1990" s="28">
        <f>VLOOKUP(U1990,Sheet1!$B$6:$C$45,2,FALSE)*V1990</f>
        <v>0</v>
      </c>
      <c r="X1990" s="59"/>
      <c r="Y1990" s="109" t="s">
        <v>326</v>
      </c>
      <c r="Z1990" s="68">
        <f>VLOOKUP(Takeoffs!Y1990,Sheet1!$B$6:$C$124,2,FALSE)</f>
        <v>29.04</v>
      </c>
      <c r="AA1990" s="68">
        <f t="shared" si="904"/>
        <v>0</v>
      </c>
      <c r="AB1990" s="63">
        <f t="shared" si="905"/>
        <v>0</v>
      </c>
      <c r="AC1990" s="28">
        <f t="shared" si="910"/>
        <v>0</v>
      </c>
      <c r="AD1990" s="61">
        <v>1</v>
      </c>
      <c r="AE1990" s="59"/>
      <c r="AF1990" s="111" t="s">
        <v>292</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522</v>
      </c>
      <c r="P1991" s="12" t="s">
        <v>380</v>
      </c>
      <c r="Q1991" s="12" t="s">
        <v>384</v>
      </c>
      <c r="R1991" s="12"/>
      <c r="S1991" s="28">
        <f>M1972</f>
        <v>0</v>
      </c>
      <c r="T1991" s="11"/>
      <c r="U1991" s="12" t="s">
        <v>292</v>
      </c>
      <c r="V1991" s="28">
        <f t="shared" si="903"/>
        <v>0</v>
      </c>
      <c r="W1991" s="28">
        <f>VLOOKUP(U1991,Sheet1!$B$6:$C$45,2,FALSE)*V1991</f>
        <v>0</v>
      </c>
      <c r="X1991" s="59"/>
      <c r="Y1991" s="109" t="s">
        <v>322</v>
      </c>
      <c r="Z1991" s="68">
        <f>VLOOKUP(Takeoffs!Y1991,Sheet1!$B$6:$C$124,2,FALSE)</f>
        <v>48</v>
      </c>
      <c r="AA1991" s="68">
        <f t="shared" si="904"/>
        <v>0</v>
      </c>
      <c r="AB1991" s="63">
        <f t="shared" si="905"/>
        <v>0</v>
      </c>
      <c r="AC1991" s="28">
        <f t="shared" si="910"/>
        <v>0</v>
      </c>
      <c r="AD1991" s="61">
        <v>1</v>
      </c>
      <c r="AE1991" s="59"/>
      <c r="AF1991" s="111" t="s">
        <v>292</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408</v>
      </c>
      <c r="P1992" s="12"/>
      <c r="Q1992" s="12"/>
      <c r="R1992" s="12"/>
      <c r="S1992" s="28">
        <f>M1972</f>
        <v>0</v>
      </c>
      <c r="T1992" s="11"/>
      <c r="U1992" s="12" t="s">
        <v>363</v>
      </c>
      <c r="V1992" s="28">
        <f t="shared" si="903"/>
        <v>0</v>
      </c>
      <c r="W1992" s="28">
        <f>VLOOKUP(U1992,Sheet1!$B$6:$C$45,2,FALSE)*V1992</f>
        <v>0</v>
      </c>
      <c r="X1992" s="59"/>
      <c r="Y1992" s="108" t="s">
        <v>292</v>
      </c>
      <c r="Z1992" s="68">
        <f>VLOOKUP(Takeoffs!Y1992,Sheet1!$B$6:$C$124,2,FALSE)</f>
        <v>0</v>
      </c>
      <c r="AA1992" s="68">
        <f t="shared" si="904"/>
        <v>0</v>
      </c>
      <c r="AB1992" s="63">
        <f t="shared" si="905"/>
        <v>0</v>
      </c>
      <c r="AC1992" s="28">
        <f t="shared" si="910"/>
        <v>0</v>
      </c>
      <c r="AD1992" s="61">
        <v>1</v>
      </c>
      <c r="AE1992" s="59"/>
      <c r="AF1992" s="111" t="s">
        <v>292</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377</v>
      </c>
      <c r="L1993" s="21" t="s">
        <v>378</v>
      </c>
      <c r="N1993" s="22"/>
      <c r="O1993" s="23" t="s">
        <v>357</v>
      </c>
      <c r="P1993" s="98">
        <f>V1993+AA1993+AH1993</f>
        <v>0</v>
      </c>
      <c r="Q1993" s="65"/>
      <c r="R1993" s="65"/>
      <c r="S1993" s="23"/>
      <c r="T1993" s="20"/>
      <c r="U1993" s="19" t="s">
        <v>351</v>
      </c>
      <c r="V1993" s="20">
        <f>W1993*80</f>
        <v>0</v>
      </c>
      <c r="W1993" s="69">
        <f>SUM(W1972:W1992)</f>
        <v>0</v>
      </c>
      <c r="X1993" s="70"/>
      <c r="Y1993" s="20" t="s">
        <v>352</v>
      </c>
      <c r="Z1993" s="2"/>
      <c r="AA1993" s="2">
        <f>SUM(AA1972:AA1992)</f>
        <v>0</v>
      </c>
      <c r="AB1993" s="71"/>
      <c r="AC1993" s="71"/>
      <c r="AD1993" s="71"/>
      <c r="AE1993" s="71"/>
      <c r="AF1993" s="20" t="s">
        <v>356</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hidden="1" x14ac:dyDescent="0.8">
      <c r="A1994" s="262">
        <f>ROW()</f>
        <v>1994</v>
      </c>
      <c r="B1994" s="234" t="s">
        <v>491</v>
      </c>
      <c r="C1994" s="217" t="str">
        <f>N1972</f>
        <v>Kitchen Exhaust Sytem (from MSSB)</v>
      </c>
      <c r="D1994" s="260" t="s">
        <v>678</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367</v>
      </c>
      <c r="N1994" s="83" t="str">
        <f>N1972</f>
        <v>Kitchen Exhaust Sytem (from MSSB)</v>
      </c>
      <c r="O1994" s="83" t="s">
        <v>365</v>
      </c>
      <c r="P1994" s="64" t="e">
        <f>P1993/M1972</f>
        <v>#DIV/0!</v>
      </c>
      <c r="Q1994" s="84"/>
      <c r="R1994" s="84"/>
      <c r="S1994" s="83"/>
      <c r="T1994" s="84"/>
      <c r="U1994" s="571" t="s">
        <v>366</v>
      </c>
      <c r="V1994" s="571"/>
      <c r="W1994" s="85" t="e">
        <f>W1993/M1972</f>
        <v>#DIV/0!</v>
      </c>
      <c r="X1994" s="86"/>
      <c r="Y1994" s="570" t="s">
        <v>365</v>
      </c>
      <c r="Z1994" s="570"/>
      <c r="AA1994" s="87" t="e">
        <f>AA1993/M1972</f>
        <v>#DIV/0!</v>
      </c>
      <c r="AB1994" s="84"/>
      <c r="AC1994" s="84"/>
      <c r="AD1994" s="84"/>
      <c r="AE1994" s="84"/>
      <c r="AF1994" s="570" t="s">
        <v>365</v>
      </c>
      <c r="AG1994" s="570"/>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hidden="1" x14ac:dyDescent="1.2">
      <c r="A1995" s="262">
        <f>ROW()</f>
        <v>1995</v>
      </c>
      <c r="B1995" s="261" t="s">
        <v>491</v>
      </c>
      <c r="D1995" s="261" t="str">
        <f>IF(B1995="Shopping List",IF(ISNUMBER(SEARCH("MSSB",C1995)),"MSSB",IF(ISNUMBER(SEARCH("local",C1995)),"LOCAL","")))</f>
        <v/>
      </c>
      <c r="I1995" s="269">
        <f>SUM(I2019:I2091)</f>
        <v>0</v>
      </c>
      <c r="J1995" s="261" t="s">
        <v>680</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452</v>
      </c>
      <c r="M1996" s="116" t="s">
        <v>107</v>
      </c>
      <c r="N1996" s="116" t="s">
        <v>108</v>
      </c>
      <c r="O1996" s="170" t="s">
        <v>386</v>
      </c>
      <c r="P1996" s="573" t="s">
        <v>375</v>
      </c>
      <c r="Q1996" s="573"/>
      <c r="R1996" s="101" t="s">
        <v>452</v>
      </c>
      <c r="S1996" s="116" t="s">
        <v>0</v>
      </c>
      <c r="T1996" s="118"/>
      <c r="U1996" s="116" t="s">
        <v>287</v>
      </c>
      <c r="V1996" s="116" t="s">
        <v>288</v>
      </c>
      <c r="W1996" s="116" t="s">
        <v>291</v>
      </c>
      <c r="X1996" s="140"/>
      <c r="Y1996" s="116" t="s">
        <v>289</v>
      </c>
      <c r="Z1996" s="116" t="s">
        <v>354</v>
      </c>
      <c r="AA1996" s="116" t="s">
        <v>355</v>
      </c>
      <c r="AB1996" s="116" t="s">
        <v>317</v>
      </c>
      <c r="AC1996" s="116" t="s">
        <v>318</v>
      </c>
      <c r="AD1996" s="116" t="s">
        <v>316</v>
      </c>
      <c r="AE1996" s="140"/>
      <c r="AF1996" s="116" t="s">
        <v>293</v>
      </c>
      <c r="AG1996" s="116" t="s">
        <v>354</v>
      </c>
      <c r="AH1996" s="116" t="s">
        <v>355</v>
      </c>
      <c r="AI1996" s="116" t="s">
        <v>296</v>
      </c>
      <c r="AJ1996" s="116" t="s">
        <v>294</v>
      </c>
      <c r="AK1996" s="116" t="s">
        <v>295</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628</v>
      </c>
      <c r="O1997" s="121" t="s">
        <v>347</v>
      </c>
      <c r="P1997" s="169" t="s">
        <v>379</v>
      </c>
      <c r="Q1997" s="169" t="s">
        <v>375</v>
      </c>
      <c r="R1997" s="169"/>
      <c r="S1997" s="133">
        <f>M1997</f>
        <v>0</v>
      </c>
      <c r="T1997" s="119"/>
      <c r="U1997" s="153" t="s">
        <v>292</v>
      </c>
      <c r="V1997" s="133">
        <f>S1997</f>
        <v>0</v>
      </c>
      <c r="W1997" s="133">
        <f>VLOOKUP(U1997,Sheet1!$B$6:$C$45,2,FALSE)*V1997</f>
        <v>0</v>
      </c>
      <c r="X1997" s="141"/>
      <c r="Y1997" s="121" t="s">
        <v>292</v>
      </c>
      <c r="Z1997" s="146">
        <f>VLOOKUP(Takeoffs!Y1997,Sheet1!$B$6:$C$124,2,FALSE)</f>
        <v>0</v>
      </c>
      <c r="AA1997" s="146">
        <f>Z1997*AB1997</f>
        <v>0</v>
      </c>
      <c r="AB1997" s="143">
        <f>AD1997*AC1997</f>
        <v>0</v>
      </c>
      <c r="AC1997" s="133">
        <f>S1997</f>
        <v>0</v>
      </c>
      <c r="AD1997" s="142">
        <v>1</v>
      </c>
      <c r="AE1997" s="141"/>
      <c r="AF1997" s="121" t="s">
        <v>292</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hidden="1"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292</v>
      </c>
      <c r="V1998" s="133">
        <f t="shared" ref="V1998:V2017" si="911">S1998</f>
        <v>0</v>
      </c>
      <c r="W1998" s="133">
        <f>VLOOKUP(U1998,Sheet1!$B$6:$C$45,2,FALSE)*V1998</f>
        <v>0</v>
      </c>
      <c r="X1998" s="141"/>
      <c r="Y1998" s="121" t="s">
        <v>292</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292</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hidden="1"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308</v>
      </c>
      <c r="P1999" s="121"/>
      <c r="Q1999" s="66"/>
      <c r="R1999" s="121"/>
      <c r="S1999" s="133">
        <f>M1997</f>
        <v>0</v>
      </c>
      <c r="T1999" s="120"/>
      <c r="U1999" s="121" t="s">
        <v>292</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292</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hidden="1"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629</v>
      </c>
      <c r="P2000" s="121"/>
      <c r="Q2000" s="66"/>
      <c r="R2000" s="121"/>
      <c r="S2000" s="133">
        <f>M1997</f>
        <v>0</v>
      </c>
      <c r="T2000" s="120"/>
      <c r="U2000" s="121" t="s">
        <v>292</v>
      </c>
      <c r="V2000" s="133">
        <f t="shared" si="911"/>
        <v>0</v>
      </c>
      <c r="W2000" s="133">
        <f>VLOOKUP(U2000,Sheet1!$B$6:$C$45,2,FALSE)*V2000</f>
        <v>0</v>
      </c>
      <c r="X2000" s="141"/>
      <c r="Y2000" s="121" t="s">
        <v>292</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hidden="1"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292</v>
      </c>
      <c r="V2001" s="133">
        <f t="shared" si="911"/>
        <v>0</v>
      </c>
      <c r="W2001" s="133">
        <f>VLOOKUP(U2001,Sheet1!$B$6:$C$45,2,FALSE)*V2001</f>
        <v>0</v>
      </c>
      <c r="X2001" s="141"/>
      <c r="Y2001" s="121" t="s">
        <v>292</v>
      </c>
      <c r="Z2001" s="146">
        <f>VLOOKUP(Takeoffs!Y2001,Sheet1!$B$6:$C$124,2,FALSE)</f>
        <v>0</v>
      </c>
      <c r="AA2001" s="146">
        <f t="shared" si="912"/>
        <v>0</v>
      </c>
      <c r="AB2001" s="143">
        <f t="shared" si="913"/>
        <v>0</v>
      </c>
      <c r="AC2001" s="133">
        <f t="shared" si="914"/>
        <v>0</v>
      </c>
      <c r="AD2001" s="142">
        <v>1</v>
      </c>
      <c r="AE2001" s="141"/>
      <c r="AF2001" s="121" t="s">
        <v>292</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hidden="1"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292</v>
      </c>
      <c r="V2002" s="133">
        <f t="shared" si="911"/>
        <v>0</v>
      </c>
      <c r="W2002" s="133">
        <f>VLOOKUP(U2002,Sheet1!$B$6:$C$45,2,FALSE)*V2002</f>
        <v>0</v>
      </c>
      <c r="X2002" s="141"/>
      <c r="Y2002" s="121" t="s">
        <v>292</v>
      </c>
      <c r="Z2002" s="146">
        <f>VLOOKUP(Takeoffs!Y2002,Sheet1!$B$6:$C$124,2,FALSE)</f>
        <v>0</v>
      </c>
      <c r="AA2002" s="146">
        <f t="shared" si="912"/>
        <v>0</v>
      </c>
      <c r="AB2002" s="143">
        <f t="shared" si="913"/>
        <v>0</v>
      </c>
      <c r="AC2002" s="133">
        <f t="shared" si="914"/>
        <v>0</v>
      </c>
      <c r="AD2002" s="142">
        <v>1</v>
      </c>
      <c r="AE2002" s="141"/>
      <c r="AF2002" s="121" t="s">
        <v>292</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hidden="1"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292</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292</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hidden="1"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292</v>
      </c>
      <c r="V2004" s="133">
        <f t="shared" si="911"/>
        <v>0</v>
      </c>
      <c r="W2004" s="133">
        <f>VLOOKUP(U2004,Sheet1!$B$6:$C$45,2,FALSE)*V2004</f>
        <v>0</v>
      </c>
      <c r="X2004" s="141"/>
      <c r="Y2004" s="121" t="s">
        <v>292</v>
      </c>
      <c r="Z2004" s="146">
        <f>VLOOKUP(Takeoffs!Y2004,Sheet1!$B$6:$C$124,2,FALSE)</f>
        <v>0</v>
      </c>
      <c r="AA2004" s="146">
        <f t="shared" si="912"/>
        <v>0</v>
      </c>
      <c r="AB2004" s="143">
        <f t="shared" si="913"/>
        <v>0</v>
      </c>
      <c r="AC2004" s="133">
        <f t="shared" si="914"/>
        <v>0</v>
      </c>
      <c r="AD2004" s="142">
        <v>1</v>
      </c>
      <c r="AE2004" s="141"/>
      <c r="AF2004" s="121" t="s">
        <v>292</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hidden="1"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593</v>
      </c>
      <c r="Q2005" s="66" t="s">
        <v>469</v>
      </c>
      <c r="R2005" s="121"/>
      <c r="S2005" s="133">
        <f>M1997</f>
        <v>0</v>
      </c>
      <c r="T2005" s="120"/>
      <c r="U2005" s="121" t="s">
        <v>292</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292</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hidden="1"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307</v>
      </c>
      <c r="P2006" s="121"/>
      <c r="Q2006" s="66"/>
      <c r="R2006" s="121"/>
      <c r="S2006" s="133">
        <f>M1997</f>
        <v>0</v>
      </c>
      <c r="T2006" s="120"/>
      <c r="U2006" s="121" t="s">
        <v>292</v>
      </c>
      <c r="V2006" s="133">
        <f t="shared" si="911"/>
        <v>0</v>
      </c>
      <c r="W2006" s="133">
        <f>VLOOKUP(U2006,Sheet1!$B$6:$C$45,2,FALSE)*V2006</f>
        <v>0</v>
      </c>
      <c r="X2006" s="141"/>
      <c r="Y2006" s="121" t="s">
        <v>292</v>
      </c>
      <c r="Z2006" s="146">
        <f>VLOOKUP(Takeoffs!Y2006,Sheet1!$B$6:$C$124,2,FALSE)</f>
        <v>0</v>
      </c>
      <c r="AA2006" s="146">
        <f t="shared" si="912"/>
        <v>0</v>
      </c>
      <c r="AB2006" s="143">
        <f t="shared" si="913"/>
        <v>0</v>
      </c>
      <c r="AC2006" s="133">
        <f t="shared" si="914"/>
        <v>0</v>
      </c>
      <c r="AD2006" s="142">
        <v>1</v>
      </c>
      <c r="AE2006" s="141"/>
      <c r="AF2006" s="121" t="s">
        <v>292</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hidden="1"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501</v>
      </c>
      <c r="P2007" s="121" t="s">
        <v>471</v>
      </c>
      <c r="Q2007" s="66"/>
      <c r="R2007" s="121"/>
      <c r="S2007" s="133">
        <f>M1997</f>
        <v>0</v>
      </c>
      <c r="T2007" s="120"/>
      <c r="U2007" s="117" t="s">
        <v>363</v>
      </c>
      <c r="V2007" s="133">
        <f t="shared" si="911"/>
        <v>0</v>
      </c>
      <c r="W2007" s="133">
        <f>VLOOKUP(U2007,Sheet1!$B$6:$C$45,2,FALSE)*V2007</f>
        <v>0</v>
      </c>
      <c r="X2007" s="141"/>
      <c r="Y2007" s="121" t="s">
        <v>292</v>
      </c>
      <c r="Z2007" s="146">
        <f>VLOOKUP(Takeoffs!Y2007,Sheet1!$B$6:$C$124,2,FALSE)</f>
        <v>0</v>
      </c>
      <c r="AA2007" s="146">
        <f t="shared" si="912"/>
        <v>0</v>
      </c>
      <c r="AB2007" s="143">
        <f t="shared" si="913"/>
        <v>0</v>
      </c>
      <c r="AC2007" s="133">
        <f t="shared" si="914"/>
        <v>0</v>
      </c>
      <c r="AD2007" s="142">
        <v>3</v>
      </c>
      <c r="AE2007" s="141"/>
      <c r="AF2007" s="121" t="s">
        <v>292</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hidden="1"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502</v>
      </c>
      <c r="P2008" s="121"/>
      <c r="Q2008" s="66"/>
      <c r="R2008" s="121"/>
      <c r="S2008" s="133">
        <f>M1997</f>
        <v>0</v>
      </c>
      <c r="T2008" s="120"/>
      <c r="U2008" s="117" t="s">
        <v>363</v>
      </c>
      <c r="V2008" s="133">
        <f t="shared" si="911"/>
        <v>0</v>
      </c>
      <c r="W2008" s="133">
        <f>VLOOKUP(U2008,Sheet1!$B$6:$C$45,2,FALSE)*V2008</f>
        <v>0</v>
      </c>
      <c r="X2008" s="141"/>
      <c r="Y2008" s="121" t="s">
        <v>292</v>
      </c>
      <c r="Z2008" s="146">
        <f>VLOOKUP(Takeoffs!Y2008,Sheet1!$B$6:$C$124,2,FALSE)</f>
        <v>0</v>
      </c>
      <c r="AA2008" s="146">
        <f t="shared" si="912"/>
        <v>0</v>
      </c>
      <c r="AB2008" s="143">
        <f t="shared" si="913"/>
        <v>0</v>
      </c>
      <c r="AC2008" s="133">
        <f t="shared" si="914"/>
        <v>0</v>
      </c>
      <c r="AD2008" s="142">
        <v>1</v>
      </c>
      <c r="AE2008" s="141"/>
      <c r="AF2008" s="121" t="s">
        <v>292</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hidden="1"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292</v>
      </c>
      <c r="V2009" s="133">
        <f t="shared" si="911"/>
        <v>0</v>
      </c>
      <c r="W2009" s="133">
        <f>VLOOKUP(U2009,Sheet1!$B$6:$C$45,2,FALSE)*V2009</f>
        <v>0</v>
      </c>
      <c r="X2009" s="141"/>
      <c r="Y2009" s="121" t="s">
        <v>292</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hidden="1"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473</v>
      </c>
      <c r="P2010" s="121"/>
      <c r="Q2010" s="66"/>
      <c r="R2010" s="121"/>
      <c r="S2010" s="133">
        <f>M1997</f>
        <v>0</v>
      </c>
      <c r="T2010" s="120"/>
      <c r="U2010" s="135" t="s">
        <v>232</v>
      </c>
      <c r="V2010" s="133">
        <f t="shared" si="911"/>
        <v>0</v>
      </c>
      <c r="W2010" s="133">
        <f>VLOOKUP(U2010,Sheet1!$B$6:$C$45,2,FALSE)*V2010</f>
        <v>0</v>
      </c>
      <c r="X2010" s="141"/>
      <c r="Y2010" s="122" t="s">
        <v>1344</v>
      </c>
      <c r="Z2010" s="146">
        <f>VLOOKUP(Takeoffs!Y2010,Sheet1!$B$6:$C$124,2,FALSE)</f>
        <v>109.25999999999999</v>
      </c>
      <c r="AA2010" s="146">
        <f t="shared" si="912"/>
        <v>0</v>
      </c>
      <c r="AB2010" s="143">
        <f t="shared" si="913"/>
        <v>0</v>
      </c>
      <c r="AC2010" s="133">
        <f t="shared" si="914"/>
        <v>0</v>
      </c>
      <c r="AD2010" s="142">
        <v>1</v>
      </c>
      <c r="AE2010" s="141"/>
      <c r="AF2010" s="121" t="s">
        <v>292</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hidden="1"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470</v>
      </c>
      <c r="P2011" s="121"/>
      <c r="Q2011" s="66"/>
      <c r="R2011" s="121"/>
      <c r="S2011" s="133">
        <f>M1997</f>
        <v>0</v>
      </c>
      <c r="T2011" s="120"/>
      <c r="U2011" s="121" t="s">
        <v>292</v>
      </c>
      <c r="V2011" s="133">
        <f t="shared" si="911"/>
        <v>0</v>
      </c>
      <c r="W2011" s="133">
        <f>VLOOKUP(U2011,Sheet1!$B$6:$C$45,2,FALSE)*V2011</f>
        <v>0</v>
      </c>
      <c r="X2011" s="141"/>
      <c r="Y2011" s="121" t="s">
        <v>292</v>
      </c>
      <c r="Z2011" s="146">
        <f>VLOOKUP(Takeoffs!Y2011,Sheet1!$B$6:$C$124,2,FALSE)</f>
        <v>0</v>
      </c>
      <c r="AA2011" s="146">
        <f t="shared" si="912"/>
        <v>0</v>
      </c>
      <c r="AB2011" s="143">
        <f t="shared" si="913"/>
        <v>0</v>
      </c>
      <c r="AC2011" s="133">
        <f t="shared" si="914"/>
        <v>0</v>
      </c>
      <c r="AD2011" s="142">
        <v>1</v>
      </c>
      <c r="AE2011" s="141"/>
      <c r="AF2011" s="121" t="s">
        <v>292</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hidden="1"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292</v>
      </c>
      <c r="V2012" s="133">
        <f t="shared" si="911"/>
        <v>0</v>
      </c>
      <c r="W2012" s="133">
        <f>VLOOKUP(U2012,Sheet1!$B$6:$C$45,2,FALSE)*V2012</f>
        <v>0</v>
      </c>
      <c r="X2012" s="141"/>
      <c r="Y2012" s="121" t="s">
        <v>292</v>
      </c>
      <c r="Z2012" s="146">
        <f>VLOOKUP(Takeoffs!Y2012,Sheet1!$B$6:$C$124,2,FALSE)</f>
        <v>0</v>
      </c>
      <c r="AA2012" s="146">
        <f t="shared" si="912"/>
        <v>0</v>
      </c>
      <c r="AB2012" s="143">
        <f t="shared" si="913"/>
        <v>0</v>
      </c>
      <c r="AC2012" s="133">
        <f t="shared" si="914"/>
        <v>0</v>
      </c>
      <c r="AD2012" s="142">
        <v>1</v>
      </c>
      <c r="AE2012" s="141"/>
      <c r="AF2012" s="121" t="s">
        <v>292</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hidden="1"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474</v>
      </c>
      <c r="P2013" s="121" t="s">
        <v>593</v>
      </c>
      <c r="Q2013" s="66" t="s">
        <v>630</v>
      </c>
      <c r="R2013" s="121"/>
      <c r="S2013" s="133">
        <f>M1997</f>
        <v>0</v>
      </c>
      <c r="T2013" s="120"/>
      <c r="U2013" s="121" t="s">
        <v>292</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292</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hidden="1"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503</v>
      </c>
      <c r="P2014" s="121" t="s">
        <v>471</v>
      </c>
      <c r="Q2014" s="66" t="s">
        <v>631</v>
      </c>
      <c r="R2014" s="121"/>
      <c r="S2014" s="133">
        <f>M1997</f>
        <v>0</v>
      </c>
      <c r="T2014" s="120"/>
      <c r="U2014" s="121" t="s">
        <v>292</v>
      </c>
      <c r="V2014" s="133">
        <f t="shared" si="911"/>
        <v>0</v>
      </c>
      <c r="W2014" s="133">
        <f>VLOOKUP(U2014,Sheet1!$B$6:$C$45,2,FALSE)*V2014</f>
        <v>0</v>
      </c>
      <c r="X2014" s="141"/>
      <c r="Y2014" s="121" t="s">
        <v>292</v>
      </c>
      <c r="Z2014" s="146">
        <f>VLOOKUP(Takeoffs!Y2014,Sheet1!$B$6:$C$124,2,FALSE)</f>
        <v>0</v>
      </c>
      <c r="AA2014" s="146">
        <f t="shared" si="912"/>
        <v>0</v>
      </c>
      <c r="AB2014" s="143">
        <f t="shared" si="913"/>
        <v>0</v>
      </c>
      <c r="AC2014" s="133">
        <f t="shared" si="914"/>
        <v>0</v>
      </c>
      <c r="AD2014" s="142">
        <v>1</v>
      </c>
      <c r="AE2014" s="141"/>
      <c r="AF2014" s="121" t="s">
        <v>292</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hidden="1"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292</v>
      </c>
      <c r="V2015" s="133">
        <f t="shared" si="911"/>
        <v>0</v>
      </c>
      <c r="W2015" s="133">
        <f>VLOOKUP(U2015,Sheet1!$B$6:$C$45,2,FALSE)*V2015</f>
        <v>0</v>
      </c>
      <c r="X2015" s="141"/>
      <c r="Y2015" s="121" t="s">
        <v>292</v>
      </c>
      <c r="Z2015" s="146">
        <f>VLOOKUP(Takeoffs!Y2015,Sheet1!$B$6:$C$124,2,FALSE)</f>
        <v>0</v>
      </c>
      <c r="AA2015" s="146">
        <f t="shared" si="912"/>
        <v>0</v>
      </c>
      <c r="AB2015" s="143">
        <f t="shared" si="913"/>
        <v>0</v>
      </c>
      <c r="AC2015" s="133">
        <f t="shared" si="914"/>
        <v>0</v>
      </c>
      <c r="AD2015" s="142">
        <v>1</v>
      </c>
      <c r="AE2015" s="141"/>
      <c r="AF2015" s="121" t="s">
        <v>292</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hidden="1"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596</v>
      </c>
      <c r="P2016" s="121" t="s">
        <v>380</v>
      </c>
      <c r="Q2016" s="66" t="s">
        <v>632</v>
      </c>
      <c r="R2016" s="121"/>
      <c r="S2016" s="133">
        <f>M1997</f>
        <v>0</v>
      </c>
      <c r="T2016" s="120"/>
      <c r="U2016" s="121" t="s">
        <v>292</v>
      </c>
      <c r="V2016" s="133">
        <f t="shared" si="911"/>
        <v>0</v>
      </c>
      <c r="W2016" s="133">
        <f>VLOOKUP(U2016,Sheet1!$B$6:$C$45,2,FALSE)*V2016</f>
        <v>0</v>
      </c>
      <c r="X2016" s="141"/>
      <c r="Y2016" s="122" t="s">
        <v>322</v>
      </c>
      <c r="Z2016" s="146">
        <f>VLOOKUP(Takeoffs!Y2016,Sheet1!$B$6:$C$124,2,FALSE)</f>
        <v>48</v>
      </c>
      <c r="AA2016" s="146">
        <f t="shared" si="912"/>
        <v>0</v>
      </c>
      <c r="AB2016" s="143">
        <f t="shared" si="913"/>
        <v>0</v>
      </c>
      <c r="AC2016" s="133">
        <f t="shared" si="914"/>
        <v>0</v>
      </c>
      <c r="AD2016" s="142">
        <v>1</v>
      </c>
      <c r="AE2016" s="141"/>
      <c r="AF2016" s="121" t="s">
        <v>292</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hidden="1"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597</v>
      </c>
      <c r="P2017" s="121"/>
      <c r="Q2017" s="66">
        <v>0</v>
      </c>
      <c r="R2017" s="121"/>
      <c r="S2017" s="133">
        <f>M1997</f>
        <v>0</v>
      </c>
      <c r="T2017" s="120"/>
      <c r="U2017" s="121" t="s">
        <v>292</v>
      </c>
      <c r="V2017" s="133">
        <f t="shared" si="911"/>
        <v>0</v>
      </c>
      <c r="W2017" s="133">
        <f>VLOOKUP(U2017,Sheet1!$B$6:$C$45,2,FALSE)*V2017</f>
        <v>0</v>
      </c>
      <c r="X2017" s="141"/>
      <c r="Y2017" s="121" t="s">
        <v>292</v>
      </c>
      <c r="Z2017" s="146">
        <f>VLOOKUP(Takeoffs!Y2017,Sheet1!$B$6:$C$124,2,FALSE)</f>
        <v>0</v>
      </c>
      <c r="AA2017" s="146">
        <f t="shared" si="912"/>
        <v>0</v>
      </c>
      <c r="AB2017" s="143">
        <f t="shared" si="913"/>
        <v>0</v>
      </c>
      <c r="AC2017" s="133">
        <f t="shared" si="914"/>
        <v>0</v>
      </c>
      <c r="AD2017" s="142">
        <v>1</v>
      </c>
      <c r="AE2017" s="141"/>
      <c r="AF2017" s="121" t="s">
        <v>292</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377</v>
      </c>
      <c r="L2018" s="128" t="s">
        <v>378</v>
      </c>
      <c r="N2018" s="129"/>
      <c r="O2018" s="130" t="s">
        <v>357</v>
      </c>
      <c r="P2018" s="155">
        <f>V2018+AA2018+AH2018</f>
        <v>0</v>
      </c>
      <c r="Q2018" s="155"/>
      <c r="R2018" s="131"/>
      <c r="S2018" s="130"/>
      <c r="T2018" s="127"/>
      <c r="U2018" s="126" t="s">
        <v>351</v>
      </c>
      <c r="V2018" s="127">
        <f>W2018*80</f>
        <v>0</v>
      </c>
      <c r="W2018" s="147">
        <f>SUM(W1997:W2017)</f>
        <v>0</v>
      </c>
      <c r="X2018" s="148"/>
      <c r="Y2018" s="127" t="s">
        <v>352</v>
      </c>
      <c r="Z2018" s="116"/>
      <c r="AA2018" s="116">
        <f>SUM(AA1997:AA2017)</f>
        <v>0</v>
      </c>
      <c r="AB2018" s="149"/>
      <c r="AC2018" s="149"/>
      <c r="AD2018" s="149"/>
      <c r="AE2018" s="149"/>
      <c r="AF2018" s="127" t="s">
        <v>356</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hidden="1" thickBot="1" x14ac:dyDescent="1.25">
      <c r="A2019" s="262">
        <f>ROW()</f>
        <v>2019</v>
      </c>
      <c r="B2019" s="234" t="s">
        <v>491</v>
      </c>
      <c r="C2019" s="217" t="str">
        <f>N1997</f>
        <v>Electric Duct Heater ( 3 phase -Exclude Field cabling, SSRs and HPT)</v>
      </c>
      <c r="D2019" s="260" t="s">
        <v>678</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367</v>
      </c>
      <c r="N2019" s="160" t="str">
        <f>N1997</f>
        <v>Electric Duct Heater ( 3 phase -Exclude Field cabling, SSRs and HPT)</v>
      </c>
      <c r="O2019" s="185" t="s">
        <v>365</v>
      </c>
      <c r="P2019" s="203" t="e">
        <f>P2018/M1997</f>
        <v>#DIV/0!</v>
      </c>
      <c r="Q2019" s="195"/>
      <c r="R2019" s="188"/>
      <c r="S2019" s="160"/>
      <c r="T2019" s="161"/>
      <c r="U2019" s="571" t="s">
        <v>366</v>
      </c>
      <c r="V2019" s="571"/>
      <c r="W2019" s="162" t="e">
        <f>W2018/M1997</f>
        <v>#DIV/0!</v>
      </c>
      <c r="X2019" s="163"/>
      <c r="Y2019" s="570" t="s">
        <v>365</v>
      </c>
      <c r="Z2019" s="570"/>
      <c r="AA2019" s="164" t="e">
        <f>AA2018/M1997</f>
        <v>#DIV/0!</v>
      </c>
      <c r="AB2019" s="161"/>
      <c r="AC2019" s="161"/>
      <c r="AD2019" s="161"/>
      <c r="AE2019" s="161"/>
      <c r="AF2019" s="570" t="s">
        <v>365</v>
      </c>
      <c r="AG2019" s="570"/>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452</v>
      </c>
      <c r="M2020" s="116" t="s">
        <v>107</v>
      </c>
      <c r="N2020" s="116" t="s">
        <v>108</v>
      </c>
      <c r="O2020" s="170" t="s">
        <v>386</v>
      </c>
      <c r="P2020" s="573" t="s">
        <v>375</v>
      </c>
      <c r="Q2020" s="573"/>
      <c r="R2020" s="101" t="s">
        <v>452</v>
      </c>
      <c r="S2020" s="116" t="s">
        <v>0</v>
      </c>
      <c r="T2020" s="118"/>
      <c r="U2020" s="116" t="s">
        <v>287</v>
      </c>
      <c r="V2020" s="116" t="s">
        <v>288</v>
      </c>
      <c r="W2020" s="116" t="s">
        <v>291</v>
      </c>
      <c r="X2020" s="140"/>
      <c r="Y2020" s="116" t="s">
        <v>289</v>
      </c>
      <c r="Z2020" s="116" t="s">
        <v>354</v>
      </c>
      <c r="AA2020" s="116" t="s">
        <v>355</v>
      </c>
      <c r="AB2020" s="116" t="s">
        <v>317</v>
      </c>
      <c r="AC2020" s="116" t="s">
        <v>318</v>
      </c>
      <c r="AD2020" s="116" t="s">
        <v>316</v>
      </c>
      <c r="AE2020" s="140"/>
      <c r="AF2020" s="116" t="s">
        <v>293</v>
      </c>
      <c r="AG2020" s="116" t="s">
        <v>354</v>
      </c>
      <c r="AH2020" s="116" t="s">
        <v>355</v>
      </c>
      <c r="AI2020" s="116" t="s">
        <v>296</v>
      </c>
      <c r="AJ2020" s="116" t="s">
        <v>294</v>
      </c>
      <c r="AK2020" s="116" t="s">
        <v>295</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625</v>
      </c>
      <c r="O2021" s="121" t="s">
        <v>347</v>
      </c>
      <c r="P2021" s="169" t="s">
        <v>379</v>
      </c>
      <c r="Q2021" s="169" t="s">
        <v>375</v>
      </c>
      <c r="R2021" s="169"/>
      <c r="S2021" s="133">
        <f>M2021</f>
        <v>0</v>
      </c>
      <c r="T2021" s="119"/>
      <c r="U2021" s="153" t="s">
        <v>292</v>
      </c>
      <c r="V2021" s="133">
        <f>S2021</f>
        <v>0</v>
      </c>
      <c r="W2021" s="133">
        <f>VLOOKUP(U2021,Sheet1!$B$6:$C$45,2,FALSE)*V2021</f>
        <v>0</v>
      </c>
      <c r="X2021" s="141"/>
      <c r="Y2021" s="121" t="s">
        <v>292</v>
      </c>
      <c r="Z2021" s="146">
        <f>VLOOKUP(Takeoffs!Y2021,Sheet1!$B$6:$C$124,2,FALSE)</f>
        <v>0</v>
      </c>
      <c r="AA2021" s="146">
        <f>Z2021*AB2021</f>
        <v>0</v>
      </c>
      <c r="AB2021" s="143">
        <f>AD2021*AC2021</f>
        <v>0</v>
      </c>
      <c r="AC2021" s="133">
        <f>S2021</f>
        <v>0</v>
      </c>
      <c r="AD2021" s="142">
        <v>1</v>
      </c>
      <c r="AE2021" s="141"/>
      <c r="AF2021" s="121" t="s">
        <v>292</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hidden="1"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292</v>
      </c>
      <c r="V2022" s="133">
        <f t="shared" ref="V2022:V2041" si="926">S2022</f>
        <v>0</v>
      </c>
      <c r="W2022" s="133">
        <f>VLOOKUP(U2022,Sheet1!$B$6:$C$45,2,FALSE)*V2022</f>
        <v>0</v>
      </c>
      <c r="X2022" s="141"/>
      <c r="Y2022" s="121" t="s">
        <v>292</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292</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hidden="1"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308</v>
      </c>
      <c r="P2023" s="121"/>
      <c r="Q2023" s="66"/>
      <c r="R2023" s="121"/>
      <c r="S2023" s="133">
        <f>M2021</f>
        <v>0</v>
      </c>
      <c r="T2023" s="120"/>
      <c r="U2023" s="121" t="s">
        <v>292</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292</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hidden="1"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626</v>
      </c>
      <c r="P2024" s="121"/>
      <c r="Q2024" s="66"/>
      <c r="R2024" s="121"/>
      <c r="S2024" s="133">
        <f>M2021</f>
        <v>0</v>
      </c>
      <c r="T2024" s="120"/>
      <c r="U2024" s="117" t="s">
        <v>478</v>
      </c>
      <c r="V2024" s="133">
        <f t="shared" si="926"/>
        <v>0</v>
      </c>
      <c r="W2024" s="133">
        <f>VLOOKUP(U2024,Sheet1!$B$6:$C$45,2,FALSE)*V2024</f>
        <v>0</v>
      </c>
      <c r="X2024" s="141"/>
      <c r="Y2024" s="121" t="s">
        <v>292</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hidden="1"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292</v>
      </c>
      <c r="V2025" s="133">
        <f t="shared" si="926"/>
        <v>0</v>
      </c>
      <c r="W2025" s="133">
        <f>VLOOKUP(U2025,Sheet1!$B$6:$C$45,2,FALSE)*V2025</f>
        <v>0</v>
      </c>
      <c r="X2025" s="141"/>
      <c r="Y2025" s="121" t="s">
        <v>292</v>
      </c>
      <c r="Z2025" s="146">
        <f>VLOOKUP(Takeoffs!Y2025,Sheet1!$B$6:$C$124,2,FALSE)</f>
        <v>0</v>
      </c>
      <c r="AA2025" s="146">
        <f t="shared" si="927"/>
        <v>0</v>
      </c>
      <c r="AB2025" s="143">
        <f t="shared" si="928"/>
        <v>0</v>
      </c>
      <c r="AC2025" s="133">
        <f t="shared" si="929"/>
        <v>0</v>
      </c>
      <c r="AD2025" s="142">
        <v>1</v>
      </c>
      <c r="AE2025" s="141"/>
      <c r="AF2025" s="121" t="s">
        <v>292</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hidden="1"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292</v>
      </c>
      <c r="V2026" s="133">
        <f t="shared" si="926"/>
        <v>0</v>
      </c>
      <c r="W2026" s="133">
        <f>VLOOKUP(U2026,Sheet1!$B$6:$C$45,2,FALSE)*V2026</f>
        <v>0</v>
      </c>
      <c r="X2026" s="141"/>
      <c r="Y2026" s="121" t="s">
        <v>292</v>
      </c>
      <c r="Z2026" s="146">
        <f>VLOOKUP(Takeoffs!Y2026,Sheet1!$B$6:$C$124,2,FALSE)</f>
        <v>0</v>
      </c>
      <c r="AA2026" s="146">
        <f t="shared" si="927"/>
        <v>0</v>
      </c>
      <c r="AB2026" s="143">
        <f t="shared" si="928"/>
        <v>0</v>
      </c>
      <c r="AC2026" s="133">
        <f t="shared" si="929"/>
        <v>0</v>
      </c>
      <c r="AD2026" s="142">
        <v>1</v>
      </c>
      <c r="AE2026" s="141"/>
      <c r="AF2026" s="121" t="s">
        <v>292</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hidden="1"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292</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292</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hidden="1"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292</v>
      </c>
      <c r="V2028" s="133">
        <f t="shared" si="926"/>
        <v>0</v>
      </c>
      <c r="W2028" s="133">
        <f>VLOOKUP(U2028,Sheet1!$B$6:$C$45,2,FALSE)*V2028</f>
        <v>0</v>
      </c>
      <c r="X2028" s="141"/>
      <c r="Y2028" s="121" t="s">
        <v>292</v>
      </c>
      <c r="Z2028" s="146">
        <f>VLOOKUP(Takeoffs!Y2028,Sheet1!$B$6:$C$124,2,FALSE)</f>
        <v>0</v>
      </c>
      <c r="AA2028" s="146">
        <f t="shared" si="927"/>
        <v>0</v>
      </c>
      <c r="AB2028" s="143">
        <f t="shared" si="928"/>
        <v>0</v>
      </c>
      <c r="AC2028" s="133">
        <f t="shared" si="929"/>
        <v>0</v>
      </c>
      <c r="AD2028" s="142">
        <v>1</v>
      </c>
      <c r="AE2028" s="141"/>
      <c r="AF2028" s="121" t="s">
        <v>292</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hidden="1"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593</v>
      </c>
      <c r="Q2029" s="66" t="s">
        <v>469</v>
      </c>
      <c r="R2029" s="121"/>
      <c r="S2029" s="133">
        <f>M2021</f>
        <v>0</v>
      </c>
      <c r="T2029" s="120"/>
      <c r="U2029" s="121" t="s">
        <v>292</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292</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hidden="1"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307</v>
      </c>
      <c r="P2030" s="121"/>
      <c r="Q2030" s="66"/>
      <c r="R2030" s="121"/>
      <c r="S2030" s="133">
        <f>M2021</f>
        <v>0</v>
      </c>
      <c r="T2030" s="120"/>
      <c r="U2030" s="117" t="s">
        <v>364</v>
      </c>
      <c r="V2030" s="133">
        <f t="shared" si="926"/>
        <v>0</v>
      </c>
      <c r="W2030" s="133">
        <f>VLOOKUP(U2030,Sheet1!$B$6:$C$45,2,FALSE)*V2030</f>
        <v>0</v>
      </c>
      <c r="X2030" s="141"/>
      <c r="Y2030" s="121" t="s">
        <v>292</v>
      </c>
      <c r="Z2030" s="146">
        <f>VLOOKUP(Takeoffs!Y2030,Sheet1!$B$6:$C$124,2,FALSE)</f>
        <v>0</v>
      </c>
      <c r="AA2030" s="146">
        <f t="shared" si="927"/>
        <v>0</v>
      </c>
      <c r="AB2030" s="143">
        <f t="shared" si="928"/>
        <v>0</v>
      </c>
      <c r="AC2030" s="133">
        <f t="shared" si="929"/>
        <v>0</v>
      </c>
      <c r="AD2030" s="142">
        <v>1</v>
      </c>
      <c r="AE2030" s="141"/>
      <c r="AF2030" s="121" t="s">
        <v>292</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hidden="1"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501</v>
      </c>
      <c r="P2031" s="121" t="s">
        <v>471</v>
      </c>
      <c r="Q2031" s="66" t="s">
        <v>472</v>
      </c>
      <c r="R2031" s="121"/>
      <c r="S2031" s="133">
        <f>M2021</f>
        <v>0</v>
      </c>
      <c r="T2031" s="120"/>
      <c r="U2031" s="121" t="s">
        <v>292</v>
      </c>
      <c r="V2031" s="133">
        <f t="shared" si="926"/>
        <v>0</v>
      </c>
      <c r="W2031" s="133">
        <f>VLOOKUP(U2031,Sheet1!$B$6:$C$45,2,FALSE)*V2031</f>
        <v>0</v>
      </c>
      <c r="X2031" s="141"/>
      <c r="Y2031" s="135" t="s">
        <v>475</v>
      </c>
      <c r="Z2031" s="146">
        <f>VLOOKUP(Takeoffs!Y2031,Sheet1!$B$6:$C$124,2,FALSE)</f>
        <v>60</v>
      </c>
      <c r="AA2031" s="146">
        <f t="shared" si="927"/>
        <v>0</v>
      </c>
      <c r="AB2031" s="143">
        <f t="shared" si="928"/>
        <v>0</v>
      </c>
      <c r="AC2031" s="133">
        <f t="shared" si="929"/>
        <v>0</v>
      </c>
      <c r="AD2031" s="142">
        <v>3</v>
      </c>
      <c r="AE2031" s="141"/>
      <c r="AF2031" s="121" t="s">
        <v>292</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hidden="1"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502</v>
      </c>
      <c r="P2032" s="121"/>
      <c r="Q2032" s="66"/>
      <c r="R2032" s="121"/>
      <c r="S2032" s="133">
        <f>M2021</f>
        <v>0</v>
      </c>
      <c r="T2032" s="120"/>
      <c r="U2032" s="117" t="s">
        <v>363</v>
      </c>
      <c r="V2032" s="133">
        <f t="shared" si="926"/>
        <v>0</v>
      </c>
      <c r="W2032" s="133">
        <f>VLOOKUP(U2032,Sheet1!$B$6:$C$45,2,FALSE)*V2032</f>
        <v>0</v>
      </c>
      <c r="X2032" s="141"/>
      <c r="Y2032" s="135" t="s">
        <v>477</v>
      </c>
      <c r="Z2032" s="146">
        <f>VLOOKUP(Takeoffs!Y2032,Sheet1!$B$6:$C$124,2,FALSE)</f>
        <v>180</v>
      </c>
      <c r="AA2032" s="146">
        <f t="shared" si="927"/>
        <v>0</v>
      </c>
      <c r="AB2032" s="143">
        <f t="shared" si="928"/>
        <v>0</v>
      </c>
      <c r="AC2032" s="133">
        <f t="shared" si="929"/>
        <v>0</v>
      </c>
      <c r="AD2032" s="142">
        <v>1</v>
      </c>
      <c r="AE2032" s="141"/>
      <c r="AF2032" s="121" t="s">
        <v>292</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hidden="1"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292</v>
      </c>
      <c r="V2033" s="133">
        <f t="shared" si="926"/>
        <v>0</v>
      </c>
      <c r="W2033" s="133">
        <f>VLOOKUP(U2033,Sheet1!$B$6:$C$45,2,FALSE)*V2033</f>
        <v>0</v>
      </c>
      <c r="X2033" s="141"/>
      <c r="Y2033" s="121" t="s">
        <v>292</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hidden="1"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473</v>
      </c>
      <c r="P2034" s="121"/>
      <c r="Q2034" s="66"/>
      <c r="R2034" s="121"/>
      <c r="S2034" s="133">
        <f>M2021</f>
        <v>0</v>
      </c>
      <c r="T2034" s="120"/>
      <c r="U2034" s="135" t="s">
        <v>232</v>
      </c>
      <c r="V2034" s="133">
        <f t="shared" si="926"/>
        <v>0</v>
      </c>
      <c r="W2034" s="133">
        <f>VLOOKUP(U2034,Sheet1!$B$6:$C$45,2,FALSE)*V2034</f>
        <v>0</v>
      </c>
      <c r="X2034" s="141"/>
      <c r="Y2034" s="122" t="s">
        <v>1344</v>
      </c>
      <c r="Z2034" s="146">
        <f>VLOOKUP(Takeoffs!Y2034,Sheet1!$B$6:$C$124,2,FALSE)</f>
        <v>109.25999999999999</v>
      </c>
      <c r="AA2034" s="146">
        <f t="shared" si="927"/>
        <v>0</v>
      </c>
      <c r="AB2034" s="143">
        <f t="shared" si="928"/>
        <v>0</v>
      </c>
      <c r="AC2034" s="133">
        <f t="shared" si="929"/>
        <v>0</v>
      </c>
      <c r="AD2034" s="142">
        <v>1</v>
      </c>
      <c r="AE2034" s="141"/>
      <c r="AF2034" s="121" t="s">
        <v>292</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hidden="1"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470</v>
      </c>
      <c r="P2035" s="121"/>
      <c r="Q2035" s="66"/>
      <c r="R2035" s="121"/>
      <c r="S2035" s="133">
        <f>M2021</f>
        <v>0</v>
      </c>
      <c r="T2035" s="120"/>
      <c r="U2035" s="121" t="s">
        <v>292</v>
      </c>
      <c r="V2035" s="133">
        <f t="shared" si="926"/>
        <v>0</v>
      </c>
      <c r="W2035" s="133">
        <f>VLOOKUP(U2035,Sheet1!$B$6:$C$45,2,FALSE)*V2035</f>
        <v>0</v>
      </c>
      <c r="X2035" s="141"/>
      <c r="Y2035" s="121" t="s">
        <v>292</v>
      </c>
      <c r="Z2035" s="146">
        <f>VLOOKUP(Takeoffs!Y2035,Sheet1!$B$6:$C$124,2,FALSE)</f>
        <v>0</v>
      </c>
      <c r="AA2035" s="146">
        <f t="shared" si="927"/>
        <v>0</v>
      </c>
      <c r="AB2035" s="143">
        <f t="shared" si="928"/>
        <v>0</v>
      </c>
      <c r="AC2035" s="133">
        <f t="shared" si="929"/>
        <v>0</v>
      </c>
      <c r="AD2035" s="142">
        <v>1</v>
      </c>
      <c r="AE2035" s="141"/>
      <c r="AF2035" s="121" t="s">
        <v>292</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hidden="1"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292</v>
      </c>
      <c r="V2036" s="133">
        <f t="shared" si="926"/>
        <v>0</v>
      </c>
      <c r="W2036" s="133">
        <f>VLOOKUP(U2036,Sheet1!$B$6:$C$45,2,FALSE)*V2036</f>
        <v>0</v>
      </c>
      <c r="X2036" s="141"/>
      <c r="Y2036" s="121" t="s">
        <v>292</v>
      </c>
      <c r="Z2036" s="146">
        <f>VLOOKUP(Takeoffs!Y2036,Sheet1!$B$6:$C$124,2,FALSE)</f>
        <v>0</v>
      </c>
      <c r="AA2036" s="146">
        <f t="shared" si="927"/>
        <v>0</v>
      </c>
      <c r="AB2036" s="143">
        <f t="shared" si="928"/>
        <v>0</v>
      </c>
      <c r="AC2036" s="133">
        <f t="shared" si="929"/>
        <v>0</v>
      </c>
      <c r="AD2036" s="142">
        <v>1</v>
      </c>
      <c r="AE2036" s="141"/>
      <c r="AF2036" s="121" t="s">
        <v>292</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hidden="1"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474</v>
      </c>
      <c r="P2037" s="121" t="s">
        <v>593</v>
      </c>
      <c r="Q2037" s="66" t="s">
        <v>627</v>
      </c>
      <c r="R2037" s="121"/>
      <c r="S2037" s="133">
        <f>M2021</f>
        <v>0</v>
      </c>
      <c r="T2037" s="120"/>
      <c r="U2037" s="121" t="s">
        <v>292</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292</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hidden="1"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503</v>
      </c>
      <c r="P2038" s="121" t="s">
        <v>471</v>
      </c>
      <c r="Q2038" s="66" t="s">
        <v>472</v>
      </c>
      <c r="R2038" s="121"/>
      <c r="S2038" s="133">
        <f>M2021</f>
        <v>0</v>
      </c>
      <c r="T2038" s="120"/>
      <c r="U2038" s="121" t="s">
        <v>292</v>
      </c>
      <c r="V2038" s="133">
        <f t="shared" si="926"/>
        <v>0</v>
      </c>
      <c r="W2038" s="133">
        <f>VLOOKUP(U2038,Sheet1!$B$6:$C$45,2,FALSE)*V2038</f>
        <v>0</v>
      </c>
      <c r="X2038" s="141"/>
      <c r="Y2038" s="121" t="s">
        <v>292</v>
      </c>
      <c r="Z2038" s="146">
        <f>VLOOKUP(Takeoffs!Y2038,Sheet1!$B$6:$C$124,2,FALSE)</f>
        <v>0</v>
      </c>
      <c r="AA2038" s="146">
        <f t="shared" si="927"/>
        <v>0</v>
      </c>
      <c r="AB2038" s="143">
        <f t="shared" si="928"/>
        <v>0</v>
      </c>
      <c r="AC2038" s="133">
        <f t="shared" si="929"/>
        <v>0</v>
      </c>
      <c r="AD2038" s="142">
        <v>1</v>
      </c>
      <c r="AE2038" s="141"/>
      <c r="AF2038" s="121" t="s">
        <v>292</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hidden="1"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292</v>
      </c>
      <c r="V2039" s="133">
        <f t="shared" si="926"/>
        <v>0</v>
      </c>
      <c r="W2039" s="133">
        <f>VLOOKUP(U2039,Sheet1!$B$6:$C$45,2,FALSE)*V2039</f>
        <v>0</v>
      </c>
      <c r="X2039" s="141"/>
      <c r="Y2039" s="121" t="s">
        <v>292</v>
      </c>
      <c r="Z2039" s="146">
        <f>VLOOKUP(Takeoffs!Y2039,Sheet1!$B$6:$C$124,2,FALSE)</f>
        <v>0</v>
      </c>
      <c r="AA2039" s="146">
        <f t="shared" si="927"/>
        <v>0</v>
      </c>
      <c r="AB2039" s="143">
        <f t="shared" si="928"/>
        <v>0</v>
      </c>
      <c r="AC2039" s="133">
        <f t="shared" si="929"/>
        <v>0</v>
      </c>
      <c r="AD2039" s="142">
        <v>1</v>
      </c>
      <c r="AE2039" s="141"/>
      <c r="AF2039" s="121" t="s">
        <v>292</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hidden="1"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596</v>
      </c>
      <c r="P2040" s="121" t="s">
        <v>380</v>
      </c>
      <c r="Q2040" s="66" t="s">
        <v>384</v>
      </c>
      <c r="R2040" s="121"/>
      <c r="S2040" s="133">
        <f>M2021</f>
        <v>0</v>
      </c>
      <c r="T2040" s="120"/>
      <c r="U2040" s="121" t="s">
        <v>292</v>
      </c>
      <c r="V2040" s="133">
        <f t="shared" si="926"/>
        <v>0</v>
      </c>
      <c r="W2040" s="133">
        <f>VLOOKUP(U2040,Sheet1!$B$6:$C$45,2,FALSE)*V2040</f>
        <v>0</v>
      </c>
      <c r="X2040" s="141"/>
      <c r="Y2040" s="122" t="s">
        <v>322</v>
      </c>
      <c r="Z2040" s="146">
        <f>VLOOKUP(Takeoffs!Y2040,Sheet1!$B$6:$C$124,2,FALSE)</f>
        <v>48</v>
      </c>
      <c r="AA2040" s="146">
        <f t="shared" si="927"/>
        <v>0</v>
      </c>
      <c r="AB2040" s="143">
        <f t="shared" si="928"/>
        <v>0</v>
      </c>
      <c r="AC2040" s="133">
        <f t="shared" si="929"/>
        <v>0</v>
      </c>
      <c r="AD2040" s="142">
        <v>1</v>
      </c>
      <c r="AE2040" s="141"/>
      <c r="AF2040" s="121" t="s">
        <v>292</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hidden="1"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597</v>
      </c>
      <c r="P2041" s="121"/>
      <c r="Q2041" s="66"/>
      <c r="R2041" s="121"/>
      <c r="S2041" s="133">
        <f>M2021</f>
        <v>0</v>
      </c>
      <c r="T2041" s="120"/>
      <c r="U2041" s="121" t="s">
        <v>292</v>
      </c>
      <c r="V2041" s="133">
        <f t="shared" si="926"/>
        <v>0</v>
      </c>
      <c r="W2041" s="133">
        <f>VLOOKUP(U2041,Sheet1!$B$6:$C$45,2,FALSE)*V2041</f>
        <v>0</v>
      </c>
      <c r="X2041" s="141"/>
      <c r="Y2041" s="121" t="s">
        <v>292</v>
      </c>
      <c r="Z2041" s="146">
        <f>VLOOKUP(Takeoffs!Y2041,Sheet1!$B$6:$C$124,2,FALSE)</f>
        <v>0</v>
      </c>
      <c r="AA2041" s="146">
        <f t="shared" si="927"/>
        <v>0</v>
      </c>
      <c r="AB2041" s="143">
        <f t="shared" si="928"/>
        <v>0</v>
      </c>
      <c r="AC2041" s="133">
        <f t="shared" si="929"/>
        <v>0</v>
      </c>
      <c r="AD2041" s="142">
        <v>1</v>
      </c>
      <c r="AE2041" s="141"/>
      <c r="AF2041" s="121" t="s">
        <v>292</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377</v>
      </c>
      <c r="L2042" s="128" t="s">
        <v>378</v>
      </c>
      <c r="N2042" s="129"/>
      <c r="O2042" s="130" t="s">
        <v>357</v>
      </c>
      <c r="P2042" s="155">
        <f>V2042+AA2042+AH2042</f>
        <v>0</v>
      </c>
      <c r="Q2042" s="155"/>
      <c r="R2042" s="131"/>
      <c r="S2042" s="130"/>
      <c r="T2042" s="127"/>
      <c r="U2042" s="126" t="s">
        <v>351</v>
      </c>
      <c r="V2042" s="127">
        <f>W2042*80</f>
        <v>0</v>
      </c>
      <c r="W2042" s="147">
        <f>SUM(W2021:W2041)</f>
        <v>0</v>
      </c>
      <c r="X2042" s="148"/>
      <c r="Y2042" s="127" t="s">
        <v>352</v>
      </c>
      <c r="Z2042" s="116"/>
      <c r="AA2042" s="116">
        <f>SUM(AA2021:AA2041)</f>
        <v>0</v>
      </c>
      <c r="AB2042" s="149"/>
      <c r="AC2042" s="149"/>
      <c r="AD2042" s="149"/>
      <c r="AE2042" s="149"/>
      <c r="AF2042" s="127" t="s">
        <v>356</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hidden="1" thickBot="1" x14ac:dyDescent="1.25">
      <c r="A2043" s="262">
        <f>ROW()</f>
        <v>2043</v>
      </c>
      <c r="B2043" s="234" t="s">
        <v>491</v>
      </c>
      <c r="C2043" s="217" t="str">
        <f>N2021</f>
        <v>Electric Duct Heater ( 3 phase -Exclude Field cabling)</v>
      </c>
      <c r="D2043" s="260" t="s">
        <v>678</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367</v>
      </c>
      <c r="N2043" s="160" t="str">
        <f>N2021</f>
        <v>Electric Duct Heater ( 3 phase -Exclude Field cabling)</v>
      </c>
      <c r="O2043" s="185" t="s">
        <v>365</v>
      </c>
      <c r="P2043" s="203" t="e">
        <f>P2042/M2021</f>
        <v>#DIV/0!</v>
      </c>
      <c r="Q2043" s="195"/>
      <c r="R2043" s="188"/>
      <c r="S2043" s="160"/>
      <c r="T2043" s="161"/>
      <c r="U2043" s="571" t="s">
        <v>366</v>
      </c>
      <c r="V2043" s="571"/>
      <c r="W2043" s="162" t="e">
        <f>W2042/M2021</f>
        <v>#DIV/0!</v>
      </c>
      <c r="X2043" s="163"/>
      <c r="Y2043" s="570" t="s">
        <v>365</v>
      </c>
      <c r="Z2043" s="570"/>
      <c r="AA2043" s="164" t="e">
        <f>AA2042/M2021</f>
        <v>#DIV/0!</v>
      </c>
      <c r="AB2043" s="161"/>
      <c r="AC2043" s="161"/>
      <c r="AD2043" s="161"/>
      <c r="AE2043" s="161"/>
      <c r="AF2043" s="570" t="s">
        <v>365</v>
      </c>
      <c r="AG2043" s="570"/>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492</v>
      </c>
      <c r="D2044" s="211"/>
      <c r="E2044" s="218"/>
      <c r="F2044" s="218"/>
      <c r="G2044" s="218"/>
      <c r="H2044" s="218"/>
      <c r="I2044" s="240" t="s">
        <v>0</v>
      </c>
      <c r="J2044" s="116" t="s">
        <v>639</v>
      </c>
      <c r="K2044" s="222" t="s">
        <v>353</v>
      </c>
      <c r="L2044" s="253" t="s">
        <v>388</v>
      </c>
      <c r="M2044" s="116" t="s">
        <v>107</v>
      </c>
      <c r="N2044" s="116" t="s">
        <v>108</v>
      </c>
      <c r="O2044" s="170" t="s">
        <v>386</v>
      </c>
      <c r="P2044" s="572" t="s">
        <v>375</v>
      </c>
      <c r="Q2044" s="572"/>
      <c r="R2044" s="101" t="s">
        <v>452</v>
      </c>
      <c r="S2044" s="116" t="s">
        <v>0</v>
      </c>
      <c r="T2044" s="118"/>
      <c r="U2044" s="116" t="s">
        <v>287</v>
      </c>
      <c r="V2044" s="116" t="s">
        <v>288</v>
      </c>
      <c r="W2044" s="116" t="s">
        <v>291</v>
      </c>
      <c r="X2044" s="140"/>
      <c r="Y2044" s="116" t="s">
        <v>289</v>
      </c>
      <c r="Z2044" s="116" t="s">
        <v>354</v>
      </c>
      <c r="AA2044" s="116" t="s">
        <v>355</v>
      </c>
      <c r="AB2044" s="116" t="s">
        <v>317</v>
      </c>
      <c r="AC2044" s="116" t="s">
        <v>318</v>
      </c>
      <c r="AD2044" s="116" t="s">
        <v>316</v>
      </c>
      <c r="AE2044" s="140"/>
      <c r="AF2044" s="116" t="s">
        <v>293</v>
      </c>
      <c r="AG2044" s="116" t="s">
        <v>354</v>
      </c>
      <c r="AH2044" s="116" t="s">
        <v>355</v>
      </c>
      <c r="AI2044" s="116" t="s">
        <v>296</v>
      </c>
      <c r="AJ2044" s="116" t="s">
        <v>294</v>
      </c>
      <c r="AK2044" s="116" t="s">
        <v>295</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702</v>
      </c>
      <c r="O2045" s="121" t="s">
        <v>178</v>
      </c>
      <c r="P2045" s="169" t="s">
        <v>379</v>
      </c>
      <c r="Q2045" s="169" t="s">
        <v>375</v>
      </c>
      <c r="R2045" s="169"/>
      <c r="S2045" s="133">
        <f>M2045</f>
        <v>0</v>
      </c>
      <c r="T2045" s="119"/>
      <c r="U2045" s="117" t="s">
        <v>364</v>
      </c>
      <c r="V2045" s="133">
        <f>S2045</f>
        <v>0</v>
      </c>
      <c r="W2045" s="133">
        <f>VLOOKUP(U2045,Sheet1!$B$6:$C$45,2,FALSE)*V2045</f>
        <v>0</v>
      </c>
      <c r="X2045" s="141"/>
      <c r="Y2045" s="121" t="s">
        <v>292</v>
      </c>
      <c r="Z2045" s="146">
        <f>VLOOKUP(Takeoffs!Y2045,Sheet1!$B$6:$C$124,2,FALSE)</f>
        <v>0</v>
      </c>
      <c r="AA2045" s="146">
        <f>Z2045*AB2045</f>
        <v>0</v>
      </c>
      <c r="AB2045" s="143">
        <f>AD2045*AC2045</f>
        <v>0</v>
      </c>
      <c r="AC2045" s="133">
        <f>S2045</f>
        <v>0</v>
      </c>
      <c r="AD2045" s="142">
        <v>1</v>
      </c>
      <c r="AE2045" s="141"/>
      <c r="AF2045" s="121" t="s">
        <v>292</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292</v>
      </c>
      <c r="V2046" s="133">
        <f t="shared" ref="V2046:V2065" si="936">S2046</f>
        <v>0</v>
      </c>
      <c r="W2046" s="133">
        <f>VLOOKUP(U2046,Sheet1!$B$6:$C$45,2,FALSE)*V2046</f>
        <v>0</v>
      </c>
      <c r="X2046" s="141"/>
      <c r="Y2046" s="121" t="s">
        <v>292</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292</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703</v>
      </c>
      <c r="P2047" s="121"/>
      <c r="Q2047" s="121"/>
      <c r="R2047" s="121"/>
      <c r="S2047" s="133">
        <f>M2045</f>
        <v>0</v>
      </c>
      <c r="T2047" s="120"/>
      <c r="U2047" s="121" t="s">
        <v>292</v>
      </c>
      <c r="V2047" s="133">
        <f t="shared" si="936"/>
        <v>0</v>
      </c>
      <c r="W2047" s="133">
        <f>VLOOKUP(U2047,Sheet1!$B$6:$C$45,2,FALSE)*V2047</f>
        <v>0</v>
      </c>
      <c r="X2047" s="141"/>
      <c r="Y2047" s="135" t="s">
        <v>704</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707</v>
      </c>
      <c r="P2048" s="121"/>
      <c r="Q2048" s="121"/>
      <c r="R2048" s="121"/>
      <c r="S2048" s="133">
        <f>M2045</f>
        <v>0</v>
      </c>
      <c r="T2048" s="120"/>
      <c r="U2048" s="121" t="s">
        <v>292</v>
      </c>
      <c r="V2048" s="133">
        <f t="shared" si="936"/>
        <v>0</v>
      </c>
      <c r="W2048" s="133">
        <f>VLOOKUP(U2048,Sheet1!$B$6:$C$45,2,FALSE)*V2048</f>
        <v>0</v>
      </c>
      <c r="X2048" s="141"/>
      <c r="Y2048" s="135" t="s">
        <v>697</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705</v>
      </c>
      <c r="P2049" s="121"/>
      <c r="Q2049" s="121"/>
      <c r="R2049" s="121"/>
      <c r="S2049" s="133">
        <f>M2045</f>
        <v>0</v>
      </c>
      <c r="T2049" s="120"/>
      <c r="U2049" s="121" t="s">
        <v>292</v>
      </c>
      <c r="V2049" s="133">
        <f t="shared" si="936"/>
        <v>0</v>
      </c>
      <c r="W2049" s="133">
        <f>VLOOKUP(U2049,Sheet1!$B$6:$C$45,2,FALSE)*V2049</f>
        <v>0</v>
      </c>
      <c r="X2049" s="141"/>
      <c r="Y2049" s="135" t="s">
        <v>333</v>
      </c>
      <c r="Z2049" s="146">
        <f>VLOOKUP(Takeoffs!Y2049,Sheet1!$B$6:$C$124,2,FALSE)</f>
        <v>60</v>
      </c>
      <c r="AA2049" s="146">
        <f t="shared" si="937"/>
        <v>0</v>
      </c>
      <c r="AB2049" s="143">
        <f t="shared" si="938"/>
        <v>0</v>
      </c>
      <c r="AC2049" s="133">
        <f t="shared" si="939"/>
        <v>0</v>
      </c>
      <c r="AD2049" s="142">
        <v>1</v>
      </c>
      <c r="AE2049" s="141"/>
      <c r="AF2049" s="121" t="s">
        <v>292</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292</v>
      </c>
      <c r="V2050" s="133">
        <f t="shared" si="936"/>
        <v>0</v>
      </c>
      <c r="W2050" s="133">
        <f>VLOOKUP(U2050,Sheet1!$B$6:$C$45,2,FALSE)*V2050</f>
        <v>0</v>
      </c>
      <c r="X2050" s="141"/>
      <c r="Y2050" s="121" t="s">
        <v>292</v>
      </c>
      <c r="Z2050" s="146">
        <f>VLOOKUP(Takeoffs!Y2050,Sheet1!$B$6:$C$124,2,FALSE)</f>
        <v>0</v>
      </c>
      <c r="AA2050" s="146">
        <f t="shared" si="937"/>
        <v>0</v>
      </c>
      <c r="AB2050" s="143">
        <f t="shared" si="938"/>
        <v>0</v>
      </c>
      <c r="AC2050" s="133">
        <f t="shared" si="939"/>
        <v>0</v>
      </c>
      <c r="AD2050" s="142">
        <v>1</v>
      </c>
      <c r="AE2050" s="141"/>
      <c r="AF2050" s="121" t="s">
        <v>292</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292</v>
      </c>
      <c r="V2051" s="133">
        <f t="shared" si="936"/>
        <v>0</v>
      </c>
      <c r="W2051" s="133">
        <f>VLOOKUP(U2051,Sheet1!$B$6:$C$45,2,FALSE)*V2051</f>
        <v>0</v>
      </c>
      <c r="X2051" s="141"/>
      <c r="Y2051" s="121" t="s">
        <v>292</v>
      </c>
      <c r="Z2051" s="146">
        <f>VLOOKUP(Takeoffs!Y2051,Sheet1!$B$6:$C$124,2,FALSE)</f>
        <v>0</v>
      </c>
      <c r="AA2051" s="146">
        <f t="shared" si="937"/>
        <v>0</v>
      </c>
      <c r="AB2051" s="143">
        <f t="shared" si="938"/>
        <v>0</v>
      </c>
      <c r="AC2051" s="133">
        <f t="shared" si="939"/>
        <v>0</v>
      </c>
      <c r="AD2051" s="142">
        <v>1</v>
      </c>
      <c r="AE2051" s="141"/>
      <c r="AF2051" s="121" t="s">
        <v>292</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292</v>
      </c>
      <c r="V2052" s="133">
        <f t="shared" si="936"/>
        <v>0</v>
      </c>
      <c r="W2052" s="133">
        <f>VLOOKUP(U2052,Sheet1!$B$6:$C$45,2,FALSE)*V2052</f>
        <v>0</v>
      </c>
      <c r="X2052" s="141"/>
      <c r="Y2052" s="121" t="s">
        <v>292</v>
      </c>
      <c r="Z2052" s="146">
        <f>VLOOKUP(Takeoffs!Y2052,Sheet1!$B$6:$C$124,2,FALSE)</f>
        <v>0</v>
      </c>
      <c r="AA2052" s="146">
        <f t="shared" si="937"/>
        <v>0</v>
      </c>
      <c r="AB2052" s="143">
        <f t="shared" si="938"/>
        <v>0</v>
      </c>
      <c r="AC2052" s="133">
        <f t="shared" si="939"/>
        <v>0</v>
      </c>
      <c r="AD2052" s="142">
        <v>1</v>
      </c>
      <c r="AE2052" s="141"/>
      <c r="AF2052" s="121" t="s">
        <v>292</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292</v>
      </c>
      <c r="V2053" s="133">
        <f t="shared" si="936"/>
        <v>0</v>
      </c>
      <c r="W2053" s="133">
        <f>VLOOKUP(U2053,Sheet1!$B$6:$C$45,2,FALSE)*V2053</f>
        <v>0</v>
      </c>
      <c r="X2053" s="141"/>
      <c r="Y2053" s="121" t="s">
        <v>292</v>
      </c>
      <c r="Z2053" s="146">
        <f>VLOOKUP(Takeoffs!Y2053,Sheet1!$B$6:$C$124,2,FALSE)</f>
        <v>0</v>
      </c>
      <c r="AA2053" s="146">
        <f t="shared" si="937"/>
        <v>0</v>
      </c>
      <c r="AB2053" s="143">
        <f t="shared" si="938"/>
        <v>0</v>
      </c>
      <c r="AC2053" s="133">
        <f t="shared" si="939"/>
        <v>0</v>
      </c>
      <c r="AD2053" s="142">
        <v>1</v>
      </c>
      <c r="AE2053" s="141"/>
      <c r="AF2053" s="121" t="s">
        <v>292</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292</v>
      </c>
      <c r="V2054" s="133">
        <f t="shared" si="936"/>
        <v>0</v>
      </c>
      <c r="W2054" s="133">
        <f>VLOOKUP(U2054,Sheet1!$B$6:$C$45,2,FALSE)*V2054</f>
        <v>0</v>
      </c>
      <c r="X2054" s="141"/>
      <c r="Y2054" s="121" t="s">
        <v>292</v>
      </c>
      <c r="Z2054" s="146">
        <f>VLOOKUP(Takeoffs!Y2054,Sheet1!$B$6:$C$124,2,FALSE)</f>
        <v>0</v>
      </c>
      <c r="AA2054" s="146">
        <f t="shared" si="937"/>
        <v>0</v>
      </c>
      <c r="AB2054" s="143">
        <f t="shared" si="938"/>
        <v>0</v>
      </c>
      <c r="AC2054" s="133">
        <f t="shared" si="939"/>
        <v>0</v>
      </c>
      <c r="AD2054" s="142">
        <v>1</v>
      </c>
      <c r="AE2054" s="141"/>
      <c r="AF2054" s="121" t="s">
        <v>292</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292</v>
      </c>
      <c r="V2055" s="133">
        <f t="shared" si="936"/>
        <v>0</v>
      </c>
      <c r="W2055" s="133">
        <f>VLOOKUP(U2055,Sheet1!$B$6:$C$45,2,FALSE)*V2055</f>
        <v>0</v>
      </c>
      <c r="X2055" s="141"/>
      <c r="Y2055" s="121" t="s">
        <v>292</v>
      </c>
      <c r="Z2055" s="146">
        <f>VLOOKUP(Takeoffs!Y2055,Sheet1!$B$6:$C$124,2,FALSE)</f>
        <v>0</v>
      </c>
      <c r="AA2055" s="146">
        <f t="shared" si="937"/>
        <v>0</v>
      </c>
      <c r="AB2055" s="143">
        <f t="shared" si="938"/>
        <v>0</v>
      </c>
      <c r="AC2055" s="133">
        <f t="shared" si="939"/>
        <v>0</v>
      </c>
      <c r="AD2055" s="142">
        <v>1</v>
      </c>
      <c r="AE2055" s="141"/>
      <c r="AF2055" s="121" t="s">
        <v>292</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292</v>
      </c>
      <c r="V2056" s="133">
        <f t="shared" si="936"/>
        <v>0</v>
      </c>
      <c r="W2056" s="133">
        <f>VLOOKUP(U2056,Sheet1!$B$6:$C$45,2,FALSE)*V2056</f>
        <v>0</v>
      </c>
      <c r="X2056" s="141"/>
      <c r="Y2056" s="121" t="s">
        <v>292</v>
      </c>
      <c r="Z2056" s="146">
        <f>VLOOKUP(Takeoffs!Y2056,Sheet1!$B$6:$C$124,2,FALSE)</f>
        <v>0</v>
      </c>
      <c r="AA2056" s="146">
        <f t="shared" si="937"/>
        <v>0</v>
      </c>
      <c r="AB2056" s="143">
        <f t="shared" si="938"/>
        <v>0</v>
      </c>
      <c r="AC2056" s="133">
        <f t="shared" si="939"/>
        <v>0</v>
      </c>
      <c r="AD2056" s="142">
        <v>1</v>
      </c>
      <c r="AE2056" s="141"/>
      <c r="AF2056" s="121" t="s">
        <v>292</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292</v>
      </c>
      <c r="V2057" s="133">
        <f t="shared" si="936"/>
        <v>0</v>
      </c>
      <c r="W2057" s="133">
        <f>VLOOKUP(U2057,Sheet1!$B$6:$C$45,2,FALSE)*V2057</f>
        <v>0</v>
      </c>
      <c r="X2057" s="141"/>
      <c r="Y2057" s="121" t="s">
        <v>292</v>
      </c>
      <c r="Z2057" s="146">
        <f>VLOOKUP(Takeoffs!Y2057,Sheet1!$B$6:$C$124,2,FALSE)</f>
        <v>0</v>
      </c>
      <c r="AA2057" s="146">
        <f t="shared" si="937"/>
        <v>0</v>
      </c>
      <c r="AB2057" s="143">
        <f t="shared" si="938"/>
        <v>0</v>
      </c>
      <c r="AC2057" s="133">
        <f t="shared" si="939"/>
        <v>0</v>
      </c>
      <c r="AD2057" s="142">
        <v>1</v>
      </c>
      <c r="AE2057" s="141"/>
      <c r="AF2057" s="121" t="s">
        <v>292</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292</v>
      </c>
      <c r="V2058" s="133">
        <f t="shared" si="936"/>
        <v>0</v>
      </c>
      <c r="W2058" s="133">
        <f>VLOOKUP(U2058,Sheet1!$B$6:$C$45,2,FALSE)*V2058</f>
        <v>0</v>
      </c>
      <c r="X2058" s="141"/>
      <c r="Y2058" s="121" t="s">
        <v>292</v>
      </c>
      <c r="Z2058" s="146">
        <f>VLOOKUP(Takeoffs!Y2058,Sheet1!$B$6:$C$124,2,FALSE)</f>
        <v>0</v>
      </c>
      <c r="AA2058" s="146">
        <f t="shared" si="937"/>
        <v>0</v>
      </c>
      <c r="AB2058" s="143">
        <f t="shared" si="938"/>
        <v>0</v>
      </c>
      <c r="AC2058" s="133">
        <f t="shared" si="939"/>
        <v>0</v>
      </c>
      <c r="AD2058" s="142">
        <v>1</v>
      </c>
      <c r="AE2058" s="141"/>
      <c r="AF2058" s="121" t="s">
        <v>292</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292</v>
      </c>
      <c r="V2059" s="133">
        <f t="shared" si="936"/>
        <v>0</v>
      </c>
      <c r="W2059" s="133">
        <f>VLOOKUP(U2059,Sheet1!$B$6:$C$45,2,FALSE)*V2059</f>
        <v>0</v>
      </c>
      <c r="X2059" s="141"/>
      <c r="Y2059" s="121" t="s">
        <v>292</v>
      </c>
      <c r="Z2059" s="146">
        <f>VLOOKUP(Takeoffs!Y2059,Sheet1!$B$6:$C$124,2,FALSE)</f>
        <v>0</v>
      </c>
      <c r="AA2059" s="146">
        <f t="shared" si="937"/>
        <v>0</v>
      </c>
      <c r="AB2059" s="143">
        <f t="shared" si="938"/>
        <v>0</v>
      </c>
      <c r="AC2059" s="133">
        <f t="shared" si="939"/>
        <v>0</v>
      </c>
      <c r="AD2059" s="142">
        <v>1</v>
      </c>
      <c r="AE2059" s="141"/>
      <c r="AF2059" s="121" t="s">
        <v>292</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292</v>
      </c>
      <c r="V2060" s="133">
        <f t="shared" si="936"/>
        <v>0</v>
      </c>
      <c r="W2060" s="133">
        <f>VLOOKUP(U2060,Sheet1!$B$6:$C$45,2,FALSE)*V2060</f>
        <v>0</v>
      </c>
      <c r="X2060" s="141"/>
      <c r="Y2060" s="121" t="s">
        <v>292</v>
      </c>
      <c r="Z2060" s="146">
        <f>VLOOKUP(Takeoffs!Y2060,Sheet1!$B$6:$C$124,2,FALSE)</f>
        <v>0</v>
      </c>
      <c r="AA2060" s="146">
        <f t="shared" si="937"/>
        <v>0</v>
      </c>
      <c r="AB2060" s="143">
        <f t="shared" si="938"/>
        <v>0</v>
      </c>
      <c r="AC2060" s="133">
        <f t="shared" si="939"/>
        <v>0</v>
      </c>
      <c r="AD2060" s="142">
        <v>1</v>
      </c>
      <c r="AE2060" s="141"/>
      <c r="AF2060" s="121" t="s">
        <v>292</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292</v>
      </c>
      <c r="V2061" s="133">
        <f t="shared" si="936"/>
        <v>0</v>
      </c>
      <c r="W2061" s="133">
        <f>VLOOKUP(U2061,Sheet1!$B$6:$C$45,2,FALSE)*V2061</f>
        <v>0</v>
      </c>
      <c r="X2061" s="141"/>
      <c r="Y2061" s="121" t="s">
        <v>292</v>
      </c>
      <c r="Z2061" s="146">
        <f>VLOOKUP(Takeoffs!Y2061,Sheet1!$B$6:$C$124,2,FALSE)</f>
        <v>0</v>
      </c>
      <c r="AA2061" s="146">
        <f t="shared" si="937"/>
        <v>0</v>
      </c>
      <c r="AB2061" s="143">
        <f t="shared" si="938"/>
        <v>0</v>
      </c>
      <c r="AC2061" s="133">
        <f t="shared" si="939"/>
        <v>0</v>
      </c>
      <c r="AD2061" s="142">
        <v>1</v>
      </c>
      <c r="AE2061" s="141"/>
      <c r="AF2061" s="121" t="s">
        <v>292</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292</v>
      </c>
      <c r="V2062" s="133">
        <f t="shared" si="936"/>
        <v>0</v>
      </c>
      <c r="W2062" s="133">
        <f>VLOOKUP(U2062,Sheet1!$B$6:$C$45,2,FALSE)*V2062</f>
        <v>0</v>
      </c>
      <c r="X2062" s="141"/>
      <c r="Y2062" s="121" t="s">
        <v>292</v>
      </c>
      <c r="Z2062" s="146">
        <f>VLOOKUP(Takeoffs!Y2062,Sheet1!$B$6:$C$124,2,FALSE)</f>
        <v>0</v>
      </c>
      <c r="AA2062" s="146">
        <f t="shared" si="937"/>
        <v>0</v>
      </c>
      <c r="AB2062" s="143">
        <f t="shared" si="938"/>
        <v>0</v>
      </c>
      <c r="AC2062" s="133">
        <f t="shared" si="939"/>
        <v>0</v>
      </c>
      <c r="AD2062" s="142">
        <v>1</v>
      </c>
      <c r="AE2062" s="141"/>
      <c r="AF2062" s="121" t="s">
        <v>292</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292</v>
      </c>
      <c r="V2063" s="133">
        <f t="shared" si="936"/>
        <v>0</v>
      </c>
      <c r="W2063" s="133">
        <f>VLOOKUP(U2063,Sheet1!$B$6:$C$45,2,FALSE)*V2063</f>
        <v>0</v>
      </c>
      <c r="X2063" s="141"/>
      <c r="Y2063" s="121" t="s">
        <v>292</v>
      </c>
      <c r="Z2063" s="146">
        <f>VLOOKUP(Takeoffs!Y2063,Sheet1!$B$6:$C$124,2,FALSE)</f>
        <v>0</v>
      </c>
      <c r="AA2063" s="146">
        <f t="shared" si="937"/>
        <v>0</v>
      </c>
      <c r="AB2063" s="143">
        <f t="shared" si="938"/>
        <v>0</v>
      </c>
      <c r="AC2063" s="133">
        <f t="shared" si="939"/>
        <v>0</v>
      </c>
      <c r="AD2063" s="142">
        <v>1</v>
      </c>
      <c r="AE2063" s="141"/>
      <c r="AF2063" s="121" t="s">
        <v>292</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292</v>
      </c>
      <c r="V2064" s="133">
        <f t="shared" si="936"/>
        <v>0</v>
      </c>
      <c r="W2064" s="133">
        <f>VLOOKUP(U2064,Sheet1!$B$6:$C$45,2,FALSE)*V2064</f>
        <v>0</v>
      </c>
      <c r="X2064" s="141"/>
      <c r="Y2064" s="121" t="s">
        <v>292</v>
      </c>
      <c r="Z2064" s="146">
        <f>VLOOKUP(Takeoffs!Y2064,Sheet1!$B$6:$C$124,2,FALSE)</f>
        <v>0</v>
      </c>
      <c r="AA2064" s="146">
        <f t="shared" si="937"/>
        <v>0</v>
      </c>
      <c r="AB2064" s="143">
        <f t="shared" si="938"/>
        <v>0</v>
      </c>
      <c r="AC2064" s="133">
        <f t="shared" si="939"/>
        <v>0</v>
      </c>
      <c r="AD2064" s="142">
        <v>1</v>
      </c>
      <c r="AE2064" s="141"/>
      <c r="AF2064" s="121" t="s">
        <v>292</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292</v>
      </c>
      <c r="V2065" s="133">
        <f t="shared" si="936"/>
        <v>0</v>
      </c>
      <c r="W2065" s="133">
        <f>VLOOKUP(U2065,Sheet1!$B$6:$C$45,2,FALSE)*V2065</f>
        <v>0</v>
      </c>
      <c r="X2065" s="141"/>
      <c r="Y2065" s="121" t="s">
        <v>292</v>
      </c>
      <c r="Z2065" s="146">
        <f>VLOOKUP(Takeoffs!Y2065,Sheet1!$B$6:$C$124,2,FALSE)</f>
        <v>0</v>
      </c>
      <c r="AA2065" s="146">
        <f t="shared" si="937"/>
        <v>0</v>
      </c>
      <c r="AB2065" s="143">
        <f t="shared" si="938"/>
        <v>0</v>
      </c>
      <c r="AC2065" s="133">
        <f t="shared" si="939"/>
        <v>0</v>
      </c>
      <c r="AD2065" s="142">
        <v>1</v>
      </c>
      <c r="AE2065" s="141"/>
      <c r="AF2065" s="121" t="s">
        <v>292</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377</v>
      </c>
      <c r="L2066" s="128" t="s">
        <v>378</v>
      </c>
      <c r="N2066" s="129"/>
      <c r="O2066" s="154" t="s">
        <v>357</v>
      </c>
      <c r="P2066" s="155">
        <f>V2066+AA2066+AH2066</f>
        <v>0</v>
      </c>
      <c r="Q2066" s="155"/>
      <c r="R2066" s="155"/>
      <c r="S2066" s="154"/>
      <c r="T2066" s="156"/>
      <c r="U2066" s="157" t="s">
        <v>351</v>
      </c>
      <c r="V2066" s="156">
        <f>W2066*80</f>
        <v>0</v>
      </c>
      <c r="W2066" s="158">
        <f>SUM(W2045:W2065)</f>
        <v>0</v>
      </c>
      <c r="X2066" s="159"/>
      <c r="Y2066" s="156" t="s">
        <v>352</v>
      </c>
      <c r="Z2066" s="116"/>
      <c r="AA2066" s="116">
        <f>SUM(AA2045:AA2065)</f>
        <v>0</v>
      </c>
      <c r="AB2066" s="149"/>
      <c r="AC2066" s="149"/>
      <c r="AD2066" s="149"/>
      <c r="AE2066" s="149"/>
      <c r="AF2066" s="156" t="s">
        <v>356</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hidden="1" x14ac:dyDescent="0.8">
      <c r="A2067" s="262">
        <f>ROW()</f>
        <v>2067</v>
      </c>
      <c r="B2067" s="234" t="s">
        <v>491</v>
      </c>
      <c r="C2067" s="217" t="str">
        <f>N2045</f>
        <v>Motion Sensor ( with internal run on timer) with interlock with other system</v>
      </c>
      <c r="D2067" s="260" t="s">
        <v>706</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367</v>
      </c>
      <c r="N2067" s="160" t="str">
        <f>N2045</f>
        <v>Motion Sensor ( with internal run on timer) with interlock with other system</v>
      </c>
      <c r="O2067" s="160" t="s">
        <v>365</v>
      </c>
      <c r="P2067" s="171" t="e">
        <f>P2066/M2045</f>
        <v>#DIV/0!</v>
      </c>
      <c r="Q2067" s="161"/>
      <c r="R2067" s="161"/>
      <c r="S2067" s="160"/>
      <c r="T2067" s="161"/>
      <c r="U2067" s="571" t="s">
        <v>366</v>
      </c>
      <c r="V2067" s="571"/>
      <c r="W2067" s="162" t="e">
        <f>W2066/M2045</f>
        <v>#DIV/0!</v>
      </c>
      <c r="X2067" s="163"/>
      <c r="Y2067" s="570" t="s">
        <v>365</v>
      </c>
      <c r="Z2067" s="570"/>
      <c r="AA2067" s="164" t="e">
        <f>AA2066/M2045</f>
        <v>#DIV/0!</v>
      </c>
      <c r="AB2067" s="161"/>
      <c r="AC2067" s="161"/>
      <c r="AD2067" s="161"/>
      <c r="AE2067" s="161"/>
      <c r="AF2067" s="570" t="s">
        <v>365</v>
      </c>
      <c r="AG2067" s="570"/>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492</v>
      </c>
      <c r="D2068" s="211"/>
      <c r="E2068" s="218"/>
      <c r="F2068" s="218"/>
      <c r="G2068" s="218"/>
      <c r="H2068" s="218"/>
      <c r="I2068" s="240" t="s">
        <v>0</v>
      </c>
      <c r="J2068" s="116" t="s">
        <v>639</v>
      </c>
      <c r="K2068" s="222" t="s">
        <v>353</v>
      </c>
      <c r="L2068" s="253" t="s">
        <v>388</v>
      </c>
      <c r="M2068" s="116" t="s">
        <v>107</v>
      </c>
      <c r="N2068" s="116" t="s">
        <v>108</v>
      </c>
      <c r="O2068" s="170" t="s">
        <v>386</v>
      </c>
      <c r="P2068" s="572" t="s">
        <v>375</v>
      </c>
      <c r="Q2068" s="572"/>
      <c r="R2068" s="101" t="s">
        <v>452</v>
      </c>
      <c r="S2068" s="116" t="s">
        <v>0</v>
      </c>
      <c r="T2068" s="118"/>
      <c r="U2068" s="116" t="s">
        <v>287</v>
      </c>
      <c r="V2068" s="116" t="s">
        <v>288</v>
      </c>
      <c r="W2068" s="116" t="s">
        <v>291</v>
      </c>
      <c r="X2068" s="140"/>
      <c r="Y2068" s="116" t="s">
        <v>289</v>
      </c>
      <c r="Z2068" s="116" t="s">
        <v>354</v>
      </c>
      <c r="AA2068" s="116" t="s">
        <v>355</v>
      </c>
      <c r="AB2068" s="116" t="s">
        <v>317</v>
      </c>
      <c r="AC2068" s="116" t="s">
        <v>318</v>
      </c>
      <c r="AD2068" s="116" t="s">
        <v>316</v>
      </c>
      <c r="AE2068" s="140"/>
      <c r="AF2068" s="116" t="s">
        <v>293</v>
      </c>
      <c r="AG2068" s="116" t="s">
        <v>354</v>
      </c>
      <c r="AH2068" s="116" t="s">
        <v>355</v>
      </c>
      <c r="AI2068" s="116" t="s">
        <v>296</v>
      </c>
      <c r="AJ2068" s="116" t="s">
        <v>294</v>
      </c>
      <c r="AK2068" s="116" t="s">
        <v>295</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670</v>
      </c>
      <c r="O2069" s="121" t="s">
        <v>178</v>
      </c>
      <c r="P2069" s="169" t="s">
        <v>379</v>
      </c>
      <c r="Q2069" s="169" t="s">
        <v>375</v>
      </c>
      <c r="R2069" s="169"/>
      <c r="S2069" s="133">
        <f>M2069</f>
        <v>0</v>
      </c>
      <c r="T2069" s="119"/>
      <c r="U2069" s="117" t="s">
        <v>364</v>
      </c>
      <c r="V2069" s="133">
        <f>S2069</f>
        <v>0</v>
      </c>
      <c r="W2069" s="133">
        <f>VLOOKUP(U2069,Sheet1!$B$6:$C$45,2,FALSE)*V2069</f>
        <v>0</v>
      </c>
      <c r="X2069" s="141"/>
      <c r="Y2069" s="121" t="s">
        <v>292</v>
      </c>
      <c r="Z2069" s="146">
        <f>VLOOKUP(Takeoffs!Y2069,Sheet1!$B$6:$C$124,2,FALSE)</f>
        <v>0</v>
      </c>
      <c r="AA2069" s="146">
        <f>Z2069*AB2069</f>
        <v>0</v>
      </c>
      <c r="AB2069" s="143">
        <f>AD2069*AC2069</f>
        <v>0</v>
      </c>
      <c r="AC2069" s="133">
        <f>S2069</f>
        <v>0</v>
      </c>
      <c r="AD2069" s="142">
        <v>1</v>
      </c>
      <c r="AE2069" s="141"/>
      <c r="AF2069" s="121" t="s">
        <v>292</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292</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292</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389</v>
      </c>
      <c r="P2071" s="121"/>
      <c r="Q2071" s="121"/>
      <c r="R2071" s="121"/>
      <c r="S2071" s="133">
        <f>M2069</f>
        <v>0</v>
      </c>
      <c r="T2071" s="120"/>
      <c r="U2071" s="121" t="s">
        <v>292</v>
      </c>
      <c r="V2071" s="133">
        <f t="shared" si="951"/>
        <v>0</v>
      </c>
      <c r="W2071" s="133">
        <f>VLOOKUP(U2071,Sheet1!$B$6:$C$45,2,FALSE)*V2071</f>
        <v>0</v>
      </c>
      <c r="X2071" s="141"/>
      <c r="Y2071" s="121" t="s">
        <v>292</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312</v>
      </c>
      <c r="P2072" s="121"/>
      <c r="Q2072" s="121"/>
      <c r="R2072" s="121"/>
      <c r="S2072" s="133">
        <f>M2069</f>
        <v>0</v>
      </c>
      <c r="T2072" s="120"/>
      <c r="U2072" s="121" t="s">
        <v>292</v>
      </c>
      <c r="V2072" s="133">
        <f t="shared" si="951"/>
        <v>0</v>
      </c>
      <c r="W2072" s="133">
        <f>VLOOKUP(U2072,Sheet1!$B$6:$C$45,2,FALSE)*V2072</f>
        <v>0</v>
      </c>
      <c r="X2072" s="141"/>
      <c r="Y2072" s="135" t="s">
        <v>1344</v>
      </c>
      <c r="Z2072" s="146">
        <f>VLOOKUP(Takeoffs!Y2072,Sheet1!$B$6:$C$124,2,FALSE)</f>
        <v>109.25999999999999</v>
      </c>
      <c r="AA2072" s="146">
        <f t="shared" si="952"/>
        <v>0</v>
      </c>
      <c r="AB2072" s="143">
        <f t="shared" si="953"/>
        <v>0</v>
      </c>
      <c r="AC2072" s="133">
        <f t="shared" si="954"/>
        <v>0</v>
      </c>
      <c r="AD2072" s="142">
        <v>1</v>
      </c>
      <c r="AE2072" s="141"/>
      <c r="AF2072" s="121" t="s">
        <v>292</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671</v>
      </c>
      <c r="P2073" s="121"/>
      <c r="Q2073" s="121"/>
      <c r="R2073" s="121"/>
      <c r="S2073" s="133">
        <f>M2069</f>
        <v>0</v>
      </c>
      <c r="T2073" s="120"/>
      <c r="U2073" s="121" t="s">
        <v>292</v>
      </c>
      <c r="V2073" s="133">
        <f t="shared" si="951"/>
        <v>0</v>
      </c>
      <c r="W2073" s="133">
        <f>VLOOKUP(U2073,Sheet1!$B$6:$C$45,2,FALSE)*V2073</f>
        <v>0</v>
      </c>
      <c r="X2073" s="141"/>
      <c r="Y2073" s="121" t="s">
        <v>292</v>
      </c>
      <c r="Z2073" s="146">
        <f>VLOOKUP(Takeoffs!Y2073,Sheet1!$B$6:$C$124,2,FALSE)</f>
        <v>0</v>
      </c>
      <c r="AA2073" s="146">
        <f t="shared" si="952"/>
        <v>0</v>
      </c>
      <c r="AB2073" s="143">
        <f t="shared" si="953"/>
        <v>0</v>
      </c>
      <c r="AC2073" s="133">
        <f t="shared" si="954"/>
        <v>0</v>
      </c>
      <c r="AD2073" s="142">
        <v>1</v>
      </c>
      <c r="AE2073" s="141"/>
      <c r="AF2073" s="121" t="s">
        <v>292</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292</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292</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292</v>
      </c>
      <c r="V2075" s="133">
        <f t="shared" si="951"/>
        <v>0</v>
      </c>
      <c r="W2075" s="133">
        <f>VLOOKUP(U2075,Sheet1!$B$6:$C$45,2,FALSE)*V2075</f>
        <v>0</v>
      </c>
      <c r="X2075" s="141"/>
      <c r="Y2075" s="121" t="s">
        <v>292</v>
      </c>
      <c r="Z2075" s="146">
        <f>VLOOKUP(Takeoffs!Y2075,Sheet1!$B$6:$C$124,2,FALSE)</f>
        <v>0</v>
      </c>
      <c r="AA2075" s="146">
        <f t="shared" si="952"/>
        <v>0</v>
      </c>
      <c r="AB2075" s="143">
        <f t="shared" si="953"/>
        <v>0</v>
      </c>
      <c r="AC2075" s="133">
        <f t="shared" si="954"/>
        <v>0</v>
      </c>
      <c r="AD2075" s="142">
        <v>1</v>
      </c>
      <c r="AE2075" s="141"/>
      <c r="AF2075" s="121" t="s">
        <v>292</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292</v>
      </c>
      <c r="V2076" s="133">
        <f t="shared" si="951"/>
        <v>0</v>
      </c>
      <c r="W2076" s="133">
        <f>VLOOKUP(U2076,Sheet1!$B$6:$C$45,2,FALSE)*V2076</f>
        <v>0</v>
      </c>
      <c r="X2076" s="141"/>
      <c r="Y2076" s="121" t="s">
        <v>292</v>
      </c>
      <c r="Z2076" s="146">
        <f>VLOOKUP(Takeoffs!Y2076,Sheet1!$B$6:$C$124,2,FALSE)</f>
        <v>0</v>
      </c>
      <c r="AA2076" s="146">
        <f t="shared" si="952"/>
        <v>0</v>
      </c>
      <c r="AB2076" s="143">
        <f t="shared" si="953"/>
        <v>0</v>
      </c>
      <c r="AC2076" s="133">
        <f t="shared" si="954"/>
        <v>0</v>
      </c>
      <c r="AD2076" s="142">
        <v>1</v>
      </c>
      <c r="AE2076" s="141"/>
      <c r="AF2076" s="121" t="s">
        <v>292</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292</v>
      </c>
      <c r="V2077" s="133">
        <f t="shared" si="951"/>
        <v>0</v>
      </c>
      <c r="W2077" s="133">
        <f>VLOOKUP(U2077,Sheet1!$B$6:$C$45,2,FALSE)*V2077</f>
        <v>0</v>
      </c>
      <c r="X2077" s="141"/>
      <c r="Y2077" s="121" t="s">
        <v>292</v>
      </c>
      <c r="Z2077" s="146">
        <f>VLOOKUP(Takeoffs!Y2077,Sheet1!$B$6:$C$124,2,FALSE)</f>
        <v>0</v>
      </c>
      <c r="AA2077" s="146">
        <f t="shared" si="952"/>
        <v>0</v>
      </c>
      <c r="AB2077" s="143">
        <f t="shared" si="953"/>
        <v>0</v>
      </c>
      <c r="AC2077" s="133">
        <f t="shared" si="954"/>
        <v>0</v>
      </c>
      <c r="AD2077" s="142">
        <v>1</v>
      </c>
      <c r="AE2077" s="141"/>
      <c r="AF2077" s="121" t="s">
        <v>292</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292</v>
      </c>
      <c r="V2078" s="133">
        <f t="shared" si="951"/>
        <v>0</v>
      </c>
      <c r="W2078" s="133">
        <f>VLOOKUP(U2078,Sheet1!$B$6:$C$45,2,FALSE)*V2078</f>
        <v>0</v>
      </c>
      <c r="X2078" s="141"/>
      <c r="Y2078" s="121" t="s">
        <v>292</v>
      </c>
      <c r="Z2078" s="146">
        <f>VLOOKUP(Takeoffs!Y2078,Sheet1!$B$6:$C$124,2,FALSE)</f>
        <v>0</v>
      </c>
      <c r="AA2078" s="146">
        <f t="shared" si="952"/>
        <v>0</v>
      </c>
      <c r="AB2078" s="143">
        <f t="shared" si="953"/>
        <v>0</v>
      </c>
      <c r="AC2078" s="133">
        <f t="shared" si="954"/>
        <v>0</v>
      </c>
      <c r="AD2078" s="142">
        <v>1</v>
      </c>
      <c r="AE2078" s="141"/>
      <c r="AF2078" s="121" t="s">
        <v>292</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292</v>
      </c>
      <c r="V2079" s="133">
        <f t="shared" si="951"/>
        <v>0</v>
      </c>
      <c r="W2079" s="133">
        <f>VLOOKUP(U2079,Sheet1!$B$6:$C$45,2,FALSE)*V2079</f>
        <v>0</v>
      </c>
      <c r="X2079" s="141"/>
      <c r="Y2079" s="121" t="s">
        <v>292</v>
      </c>
      <c r="Z2079" s="146">
        <f>VLOOKUP(Takeoffs!Y2079,Sheet1!$B$6:$C$124,2,FALSE)</f>
        <v>0</v>
      </c>
      <c r="AA2079" s="146">
        <f t="shared" si="952"/>
        <v>0</v>
      </c>
      <c r="AB2079" s="143">
        <f t="shared" si="953"/>
        <v>0</v>
      </c>
      <c r="AC2079" s="133">
        <f t="shared" si="954"/>
        <v>0</v>
      </c>
      <c r="AD2079" s="142">
        <v>1</v>
      </c>
      <c r="AE2079" s="141"/>
      <c r="AF2079" s="121" t="s">
        <v>292</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292</v>
      </c>
      <c r="V2080" s="133">
        <f t="shared" si="951"/>
        <v>0</v>
      </c>
      <c r="W2080" s="133">
        <f>VLOOKUP(U2080,Sheet1!$B$6:$C$45,2,FALSE)*V2080</f>
        <v>0</v>
      </c>
      <c r="X2080" s="141"/>
      <c r="Y2080" s="121" t="s">
        <v>292</v>
      </c>
      <c r="Z2080" s="146">
        <f>VLOOKUP(Takeoffs!Y2080,Sheet1!$B$6:$C$124,2,FALSE)</f>
        <v>0</v>
      </c>
      <c r="AA2080" s="146">
        <f t="shared" si="952"/>
        <v>0</v>
      </c>
      <c r="AB2080" s="143">
        <f t="shared" si="953"/>
        <v>0</v>
      </c>
      <c r="AC2080" s="133">
        <f t="shared" si="954"/>
        <v>0</v>
      </c>
      <c r="AD2080" s="142">
        <v>1</v>
      </c>
      <c r="AE2080" s="141"/>
      <c r="AF2080" s="121" t="s">
        <v>292</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292</v>
      </c>
      <c r="V2081" s="133">
        <f t="shared" si="951"/>
        <v>0</v>
      </c>
      <c r="W2081" s="133">
        <f>VLOOKUP(U2081,Sheet1!$B$6:$C$45,2,FALSE)*V2081</f>
        <v>0</v>
      </c>
      <c r="X2081" s="141"/>
      <c r="Y2081" s="121" t="s">
        <v>292</v>
      </c>
      <c r="Z2081" s="146">
        <f>VLOOKUP(Takeoffs!Y2081,Sheet1!$B$6:$C$124,2,FALSE)</f>
        <v>0</v>
      </c>
      <c r="AA2081" s="146">
        <f t="shared" si="952"/>
        <v>0</v>
      </c>
      <c r="AB2081" s="143">
        <f t="shared" si="953"/>
        <v>0</v>
      </c>
      <c r="AC2081" s="133">
        <f t="shared" si="954"/>
        <v>0</v>
      </c>
      <c r="AD2081" s="142">
        <v>1</v>
      </c>
      <c r="AE2081" s="141"/>
      <c r="AF2081" s="121" t="s">
        <v>292</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292</v>
      </c>
      <c r="V2082" s="133">
        <f t="shared" si="951"/>
        <v>0</v>
      </c>
      <c r="W2082" s="133">
        <f>VLOOKUP(U2082,Sheet1!$B$6:$C$45,2,FALSE)*V2082</f>
        <v>0</v>
      </c>
      <c r="X2082" s="141"/>
      <c r="Y2082" s="121" t="s">
        <v>292</v>
      </c>
      <c r="Z2082" s="146">
        <f>VLOOKUP(Takeoffs!Y2082,Sheet1!$B$6:$C$124,2,FALSE)</f>
        <v>0</v>
      </c>
      <c r="AA2082" s="146">
        <f t="shared" si="952"/>
        <v>0</v>
      </c>
      <c r="AB2082" s="143">
        <f t="shared" si="953"/>
        <v>0</v>
      </c>
      <c r="AC2082" s="133">
        <f t="shared" si="954"/>
        <v>0</v>
      </c>
      <c r="AD2082" s="142">
        <v>1</v>
      </c>
      <c r="AE2082" s="141"/>
      <c r="AF2082" s="121" t="s">
        <v>292</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292</v>
      </c>
      <c r="V2083" s="133">
        <f t="shared" si="951"/>
        <v>0</v>
      </c>
      <c r="W2083" s="133">
        <f>VLOOKUP(U2083,Sheet1!$B$6:$C$45,2,FALSE)*V2083</f>
        <v>0</v>
      </c>
      <c r="X2083" s="141"/>
      <c r="Y2083" s="121" t="s">
        <v>292</v>
      </c>
      <c r="Z2083" s="146">
        <f>VLOOKUP(Takeoffs!Y2083,Sheet1!$B$6:$C$124,2,FALSE)</f>
        <v>0</v>
      </c>
      <c r="AA2083" s="146">
        <f t="shared" si="952"/>
        <v>0</v>
      </c>
      <c r="AB2083" s="143">
        <f t="shared" si="953"/>
        <v>0</v>
      </c>
      <c r="AC2083" s="133">
        <f t="shared" si="954"/>
        <v>0</v>
      </c>
      <c r="AD2083" s="142">
        <v>1</v>
      </c>
      <c r="AE2083" s="141"/>
      <c r="AF2083" s="121" t="s">
        <v>292</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292</v>
      </c>
      <c r="V2084" s="133">
        <f t="shared" si="951"/>
        <v>0</v>
      </c>
      <c r="W2084" s="133">
        <f>VLOOKUP(U2084,Sheet1!$B$6:$C$45,2,FALSE)*V2084</f>
        <v>0</v>
      </c>
      <c r="X2084" s="141"/>
      <c r="Y2084" s="121" t="s">
        <v>292</v>
      </c>
      <c r="Z2084" s="146">
        <f>VLOOKUP(Takeoffs!Y2084,Sheet1!$B$6:$C$124,2,FALSE)</f>
        <v>0</v>
      </c>
      <c r="AA2084" s="146">
        <f t="shared" si="952"/>
        <v>0</v>
      </c>
      <c r="AB2084" s="143">
        <f t="shared" si="953"/>
        <v>0</v>
      </c>
      <c r="AC2084" s="133">
        <f t="shared" si="954"/>
        <v>0</v>
      </c>
      <c r="AD2084" s="142">
        <v>1</v>
      </c>
      <c r="AE2084" s="141"/>
      <c r="AF2084" s="121" t="s">
        <v>292</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292</v>
      </c>
      <c r="V2085" s="133">
        <f t="shared" si="951"/>
        <v>0</v>
      </c>
      <c r="W2085" s="133">
        <f>VLOOKUP(U2085,Sheet1!$B$6:$C$45,2,FALSE)*V2085</f>
        <v>0</v>
      </c>
      <c r="X2085" s="141"/>
      <c r="Y2085" s="121" t="s">
        <v>292</v>
      </c>
      <c r="Z2085" s="146">
        <f>VLOOKUP(Takeoffs!Y2085,Sheet1!$B$6:$C$124,2,FALSE)</f>
        <v>0</v>
      </c>
      <c r="AA2085" s="146">
        <f t="shared" si="952"/>
        <v>0</v>
      </c>
      <c r="AB2085" s="143">
        <f t="shared" si="953"/>
        <v>0</v>
      </c>
      <c r="AC2085" s="133">
        <f t="shared" si="954"/>
        <v>0</v>
      </c>
      <c r="AD2085" s="142">
        <v>1</v>
      </c>
      <c r="AE2085" s="141"/>
      <c r="AF2085" s="121" t="s">
        <v>292</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292</v>
      </c>
      <c r="V2086" s="133">
        <f t="shared" si="951"/>
        <v>0</v>
      </c>
      <c r="W2086" s="133">
        <f>VLOOKUP(U2086,Sheet1!$B$6:$C$45,2,FALSE)*V2086</f>
        <v>0</v>
      </c>
      <c r="X2086" s="141"/>
      <c r="Y2086" s="121" t="s">
        <v>292</v>
      </c>
      <c r="Z2086" s="146">
        <f>VLOOKUP(Takeoffs!Y2086,Sheet1!$B$6:$C$124,2,FALSE)</f>
        <v>0</v>
      </c>
      <c r="AA2086" s="146">
        <f t="shared" si="952"/>
        <v>0</v>
      </c>
      <c r="AB2086" s="143">
        <f t="shared" si="953"/>
        <v>0</v>
      </c>
      <c r="AC2086" s="133">
        <f t="shared" si="954"/>
        <v>0</v>
      </c>
      <c r="AD2086" s="142">
        <v>1</v>
      </c>
      <c r="AE2086" s="141"/>
      <c r="AF2086" s="121" t="s">
        <v>292</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292</v>
      </c>
      <c r="V2087" s="133">
        <f t="shared" si="951"/>
        <v>0</v>
      </c>
      <c r="W2087" s="133">
        <f>VLOOKUP(U2087,Sheet1!$B$6:$C$45,2,FALSE)*V2087</f>
        <v>0</v>
      </c>
      <c r="X2087" s="141"/>
      <c r="Y2087" s="121" t="s">
        <v>292</v>
      </c>
      <c r="Z2087" s="146">
        <f>VLOOKUP(Takeoffs!Y2087,Sheet1!$B$6:$C$124,2,FALSE)</f>
        <v>0</v>
      </c>
      <c r="AA2087" s="146">
        <f t="shared" si="952"/>
        <v>0</v>
      </c>
      <c r="AB2087" s="143">
        <f t="shared" si="953"/>
        <v>0</v>
      </c>
      <c r="AC2087" s="133">
        <f t="shared" si="954"/>
        <v>0</v>
      </c>
      <c r="AD2087" s="142">
        <v>1</v>
      </c>
      <c r="AE2087" s="141"/>
      <c r="AF2087" s="121" t="s">
        <v>292</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292</v>
      </c>
      <c r="V2088" s="133">
        <f t="shared" si="951"/>
        <v>0</v>
      </c>
      <c r="W2088" s="133">
        <f>VLOOKUP(U2088,Sheet1!$B$6:$C$45,2,FALSE)*V2088</f>
        <v>0</v>
      </c>
      <c r="X2088" s="141"/>
      <c r="Y2088" s="121" t="s">
        <v>292</v>
      </c>
      <c r="Z2088" s="146">
        <f>VLOOKUP(Takeoffs!Y2088,Sheet1!$B$6:$C$124,2,FALSE)</f>
        <v>0</v>
      </c>
      <c r="AA2088" s="146">
        <f t="shared" si="952"/>
        <v>0</v>
      </c>
      <c r="AB2088" s="143">
        <f t="shared" si="953"/>
        <v>0</v>
      </c>
      <c r="AC2088" s="133">
        <f t="shared" si="954"/>
        <v>0</v>
      </c>
      <c r="AD2088" s="142">
        <v>1</v>
      </c>
      <c r="AE2088" s="141"/>
      <c r="AF2088" s="121" t="s">
        <v>292</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292</v>
      </c>
      <c r="V2089" s="133">
        <f t="shared" si="951"/>
        <v>0</v>
      </c>
      <c r="W2089" s="133">
        <f>VLOOKUP(U2089,Sheet1!$B$6:$C$45,2,FALSE)*V2089</f>
        <v>0</v>
      </c>
      <c r="X2089" s="141"/>
      <c r="Y2089" s="121" t="s">
        <v>292</v>
      </c>
      <c r="Z2089" s="146">
        <f>VLOOKUP(Takeoffs!Y2089,Sheet1!$B$6:$C$124,2,FALSE)</f>
        <v>0</v>
      </c>
      <c r="AA2089" s="146">
        <f t="shared" si="952"/>
        <v>0</v>
      </c>
      <c r="AB2089" s="143">
        <f t="shared" si="953"/>
        <v>0</v>
      </c>
      <c r="AC2089" s="133">
        <f t="shared" si="954"/>
        <v>0</v>
      </c>
      <c r="AD2089" s="142">
        <v>1</v>
      </c>
      <c r="AE2089" s="141"/>
      <c r="AF2089" s="121" t="s">
        <v>292</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377</v>
      </c>
      <c r="L2090" s="128" t="s">
        <v>378</v>
      </c>
      <c r="N2090" s="129"/>
      <c r="O2090" s="154" t="s">
        <v>357</v>
      </c>
      <c r="P2090" s="155">
        <f>V2090+AA2090+AH2090</f>
        <v>0</v>
      </c>
      <c r="Q2090" s="155"/>
      <c r="R2090" s="155"/>
      <c r="S2090" s="154"/>
      <c r="T2090" s="156"/>
      <c r="U2090" s="157" t="s">
        <v>351</v>
      </c>
      <c r="V2090" s="156">
        <f>W2090*80</f>
        <v>0</v>
      </c>
      <c r="W2090" s="158">
        <f>SUM(W2069:W2089)</f>
        <v>0</v>
      </c>
      <c r="X2090" s="159"/>
      <c r="Y2090" s="156" t="s">
        <v>352</v>
      </c>
      <c r="Z2090" s="116"/>
      <c r="AA2090" s="116">
        <f>SUM(AA2069:AA2089)</f>
        <v>0</v>
      </c>
      <c r="AB2090" s="149"/>
      <c r="AC2090" s="149"/>
      <c r="AD2090" s="149"/>
      <c r="AE2090" s="149"/>
      <c r="AF2090" s="156" t="s">
        <v>356</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hidden="1" x14ac:dyDescent="0.8">
      <c r="A2091" s="262">
        <f>ROW()</f>
        <v>2091</v>
      </c>
      <c r="B2091" s="234" t="s">
        <v>491</v>
      </c>
      <c r="C2091" s="217" t="str">
        <f>N2069</f>
        <v>Humidifier</v>
      </c>
      <c r="D2091" s="260" t="s">
        <v>678</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367</v>
      </c>
      <c r="N2091" s="160" t="str">
        <f>N2069</f>
        <v>Humidifier</v>
      </c>
      <c r="O2091" s="160" t="s">
        <v>365</v>
      </c>
      <c r="P2091" s="171" t="e">
        <f>P2090/M2069</f>
        <v>#DIV/0!</v>
      </c>
      <c r="Q2091" s="161"/>
      <c r="R2091" s="161"/>
      <c r="S2091" s="160"/>
      <c r="T2091" s="161"/>
      <c r="U2091" s="571" t="s">
        <v>366</v>
      </c>
      <c r="V2091" s="571"/>
      <c r="W2091" s="162" t="e">
        <f>W2090/M2069</f>
        <v>#DIV/0!</v>
      </c>
      <c r="X2091" s="163"/>
      <c r="Y2091" s="570" t="s">
        <v>365</v>
      </c>
      <c r="Z2091" s="570"/>
      <c r="AA2091" s="164" t="e">
        <f>AA2090/M2069</f>
        <v>#DIV/0!</v>
      </c>
      <c r="AB2091" s="161"/>
      <c r="AC2091" s="161"/>
      <c r="AD2091" s="161"/>
      <c r="AE2091" s="161"/>
      <c r="AF2091" s="570" t="s">
        <v>365</v>
      </c>
      <c r="AG2091" s="570"/>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452</v>
      </c>
      <c r="M2094" s="2" t="s">
        <v>107</v>
      </c>
      <c r="N2094" s="2" t="s">
        <v>108</v>
      </c>
      <c r="O2094" s="2" t="s">
        <v>4</v>
      </c>
      <c r="R2094" s="101" t="s">
        <v>452</v>
      </c>
      <c r="S2094" s="2" t="s">
        <v>0</v>
      </c>
      <c r="T2094" s="9"/>
      <c r="U2094" s="2" t="s">
        <v>287</v>
      </c>
      <c r="V2094" s="2" t="s">
        <v>288</v>
      </c>
      <c r="W2094" s="2" t="s">
        <v>291</v>
      </c>
      <c r="X2094" s="58"/>
      <c r="Y2094" s="2" t="s">
        <v>289</v>
      </c>
      <c r="Z2094" s="2" t="s">
        <v>354</v>
      </c>
      <c r="AA2094" s="2" t="s">
        <v>355</v>
      </c>
      <c r="AB2094" s="2" t="s">
        <v>317</v>
      </c>
      <c r="AC2094" s="2" t="s">
        <v>318</v>
      </c>
      <c r="AD2094" s="2" t="s">
        <v>316</v>
      </c>
      <c r="AE2094" s="58"/>
      <c r="AF2094" s="2" t="s">
        <v>293</v>
      </c>
      <c r="AG2094" s="2" t="s">
        <v>354</v>
      </c>
      <c r="AH2094" s="2" t="s">
        <v>355</v>
      </c>
      <c r="AI2094" s="2" t="s">
        <v>296</v>
      </c>
      <c r="AJ2094" s="2" t="s">
        <v>294</v>
      </c>
      <c r="AK2094" s="2" t="s">
        <v>295</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370</v>
      </c>
      <c r="M2095" s="94">
        <f>ROUND(SUM(AI210:AI1628)/1000,1)</f>
        <v>0</v>
      </c>
      <c r="N2095" s="27" t="s">
        <v>396</v>
      </c>
      <c r="O2095" s="12" t="s">
        <v>374</v>
      </c>
      <c r="P2095" s="12"/>
      <c r="Q2095" s="12"/>
      <c r="R2095" s="12"/>
      <c r="S2095" s="28"/>
      <c r="T2095" s="10"/>
      <c r="U2095" s="12" t="s">
        <v>292</v>
      </c>
      <c r="V2095" s="28">
        <f>S2095</f>
        <v>0</v>
      </c>
      <c r="W2095" s="28">
        <f>VLOOKUP(U2095,Sheet1!$B$6:$C$45,2,FALSE)*V2095</f>
        <v>0</v>
      </c>
      <c r="X2095" s="59"/>
      <c r="Y2095" s="12" t="s">
        <v>292</v>
      </c>
      <c r="Z2095" s="68">
        <f>VLOOKUP(Takeoffs!Y2095,Sheet1!$B$6:$C$124,2,FALSE)</f>
        <v>0</v>
      </c>
      <c r="AA2095" s="68">
        <f>Z2095*AB2095</f>
        <v>0</v>
      </c>
      <c r="AB2095" s="63">
        <f>AD2095*AC2095</f>
        <v>0</v>
      </c>
      <c r="AC2095" s="28">
        <f>S2095</f>
        <v>0</v>
      </c>
      <c r="AD2095" s="61">
        <v>1</v>
      </c>
      <c r="AE2095" s="59"/>
      <c r="AF2095" s="12" t="s">
        <v>292</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429</v>
      </c>
      <c r="P2096" s="12"/>
      <c r="Q2096" s="12"/>
      <c r="R2096" s="12"/>
      <c r="S2096" s="12">
        <f>I2119</f>
        <v>0</v>
      </c>
      <c r="T2096" s="11"/>
      <c r="U2096" s="12" t="s">
        <v>433</v>
      </c>
      <c r="V2096" s="28">
        <f t="shared" ref="V2096:V2115" si="961">S2096</f>
        <v>0</v>
      </c>
      <c r="W2096" s="28">
        <f>VLOOKUP(U2096,Sheet1!$B$6:$C$45,2,FALSE)*V2096</f>
        <v>0</v>
      </c>
      <c r="X2096" s="59"/>
      <c r="Y2096" s="12" t="s">
        <v>292</v>
      </c>
      <c r="Z2096" s="68">
        <f>VLOOKUP(Takeoffs!Y2096,Sheet1!$B$6:$C$124,2,FALSE)</f>
        <v>0</v>
      </c>
      <c r="AA2096" s="68">
        <f t="shared" ref="AA2096:AA2103" si="962">Z2096*AB2096</f>
        <v>0</v>
      </c>
      <c r="AB2096" s="63">
        <f t="shared" ref="AB2096:AB2103" si="963">AD2096*AC2096</f>
        <v>0</v>
      </c>
      <c r="AC2096" s="28">
        <f>S2096</f>
        <v>0</v>
      </c>
      <c r="AD2096" s="61">
        <v>1</v>
      </c>
      <c r="AE2096" s="75"/>
      <c r="AF2096" s="12" t="s">
        <v>432</v>
      </c>
      <c r="AG2096" s="68">
        <v>25</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371</v>
      </c>
      <c r="P2097" s="12"/>
      <c r="Q2097" s="12"/>
      <c r="R2097" s="12"/>
      <c r="S2097" s="12">
        <f>I2120</f>
        <v>0</v>
      </c>
      <c r="T2097" s="11"/>
      <c r="U2097" s="12" t="s">
        <v>434</v>
      </c>
      <c r="V2097" s="28">
        <f t="shared" si="961"/>
        <v>0</v>
      </c>
      <c r="W2097" s="28">
        <f>VLOOKUP(U2097,Sheet1!$B$6:$C$45,2,FALSE)*V2097</f>
        <v>0</v>
      </c>
      <c r="X2097" s="59"/>
      <c r="Y2097" s="12" t="s">
        <v>292</v>
      </c>
      <c r="Z2097" s="68">
        <f>VLOOKUP(Takeoffs!Y2097,Sheet1!$B$6:$C$124,2,FALSE)</f>
        <v>0</v>
      </c>
      <c r="AA2097" s="68">
        <f t="shared" si="962"/>
        <v>0</v>
      </c>
      <c r="AB2097" s="63">
        <f t="shared" si="963"/>
        <v>0</v>
      </c>
      <c r="AC2097" s="28">
        <f>S2097</f>
        <v>0</v>
      </c>
      <c r="AD2097" s="61">
        <v>1</v>
      </c>
      <c r="AE2097" s="75"/>
      <c r="AF2097" s="12" t="s">
        <v>430</v>
      </c>
      <c r="AG2097" s="68">
        <f>VLOOKUP(Takeoffs!AF2097,Sheet1!$B$6:$C$124,2,FALSE)</f>
        <v>21.599999999999998</v>
      </c>
      <c r="AH2097" s="68">
        <f t="shared" si="964"/>
        <v>0</v>
      </c>
      <c r="AI2097" s="63">
        <f>AK2097*AJ2097</f>
        <v>0</v>
      </c>
      <c r="AJ2097" s="133">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437</v>
      </c>
      <c r="P2098" s="12"/>
      <c r="Q2098" s="12"/>
      <c r="R2098" s="17"/>
      <c r="S2098" s="68">
        <f>M2096-S2096-S2097</f>
        <v>0</v>
      </c>
      <c r="T2098" s="11"/>
      <c r="U2098" s="12" t="s">
        <v>292</v>
      </c>
      <c r="V2098" s="28">
        <f t="shared" si="961"/>
        <v>0</v>
      </c>
      <c r="W2098" s="28">
        <f>VLOOKUP(U2098,Sheet1!$B$6:$C$45,2,FALSE)*V2098</f>
        <v>0</v>
      </c>
      <c r="X2098" s="59"/>
      <c r="Y2098" s="12" t="s">
        <v>292</v>
      </c>
      <c r="Z2098" s="68">
        <f>VLOOKUP(Takeoffs!Y2098,Sheet1!$B$6:$C$124,2,FALSE)</f>
        <v>0</v>
      </c>
      <c r="AA2098" s="68">
        <f t="shared" si="962"/>
        <v>0</v>
      </c>
      <c r="AB2098" s="63">
        <f t="shared" si="963"/>
        <v>0</v>
      </c>
      <c r="AC2098" s="28">
        <f t="shared" ref="AC2098:AC2115" si="968">S2098</f>
        <v>0</v>
      </c>
      <c r="AD2098" s="61">
        <v>1</v>
      </c>
      <c r="AE2098" s="75"/>
      <c r="AF2098" s="12" t="s">
        <v>436</v>
      </c>
      <c r="AG2098" s="68">
        <f>VLOOKUP(Takeoffs!AF2098,Sheet1!$B$6:$C$124,2,FALSE)</f>
        <v>1.2</v>
      </c>
      <c r="AH2098" s="68">
        <f t="shared" si="964"/>
        <v>0</v>
      </c>
      <c r="AI2098" s="63">
        <f t="shared" si="965"/>
        <v>0</v>
      </c>
      <c r="AJ2098" s="133">
        <f>S2098</f>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292</v>
      </c>
      <c r="V2099" s="28">
        <f t="shared" si="961"/>
        <v>0</v>
      </c>
      <c r="W2099" s="28">
        <f>VLOOKUP(U2099,Sheet1!$B$6:$C$45,2,FALSE)*V2099</f>
        <v>0</v>
      </c>
      <c r="X2099" s="59"/>
      <c r="Y2099" s="12" t="s">
        <v>292</v>
      </c>
      <c r="Z2099" s="68">
        <f>VLOOKUP(Takeoffs!Y2099,Sheet1!$B$6:$C$124,2,FALSE)</f>
        <v>0</v>
      </c>
      <c r="AA2099" s="68">
        <f t="shared" si="962"/>
        <v>0</v>
      </c>
      <c r="AB2099" s="63">
        <f t="shared" si="963"/>
        <v>0</v>
      </c>
      <c r="AC2099" s="28">
        <f t="shared" si="968"/>
        <v>0</v>
      </c>
      <c r="AD2099" s="61">
        <v>1</v>
      </c>
      <c r="AE2099" s="75"/>
      <c r="AF2099" s="12" t="s">
        <v>292</v>
      </c>
      <c r="AG2099" s="68">
        <f>VLOOKUP(Takeoffs!AF2099,Sheet1!$B$6:$C$124,2,FALSE)</f>
        <v>0</v>
      </c>
      <c r="AH2099" s="68">
        <f t="shared" si="964"/>
        <v>0</v>
      </c>
      <c r="AI2099" s="63">
        <f t="shared" si="965"/>
        <v>0</v>
      </c>
      <c r="AJ2099" s="133">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397</v>
      </c>
      <c r="P2100" s="12"/>
      <c r="Q2100" s="12"/>
      <c r="R2100" s="12"/>
      <c r="S2100" s="28">
        <f>M2095*1000</f>
        <v>0</v>
      </c>
      <c r="T2100" s="11"/>
      <c r="U2100" s="12" t="s">
        <v>292</v>
      </c>
      <c r="V2100" s="28">
        <f t="shared" si="961"/>
        <v>0</v>
      </c>
      <c r="W2100" s="28">
        <f>VLOOKUP(U2100,Sheet1!$B$6:$C$45,2,FALSE)*V2100</f>
        <v>0</v>
      </c>
      <c r="X2100" s="59"/>
      <c r="Y2100" s="73" t="s">
        <v>439</v>
      </c>
      <c r="Z2100" s="68">
        <f>VLOOKUP(Takeoffs!Y2100,Sheet1!$B$6:$C$124,2,FALSE)</f>
        <v>0.6</v>
      </c>
      <c r="AA2100" s="68">
        <f t="shared" si="962"/>
        <v>0</v>
      </c>
      <c r="AB2100" s="63">
        <f t="shared" si="963"/>
        <v>0</v>
      </c>
      <c r="AC2100" s="28">
        <f t="shared" si="968"/>
        <v>0</v>
      </c>
      <c r="AD2100" s="61">
        <v>1</v>
      </c>
      <c r="AE2100" s="75"/>
      <c r="AF2100" s="12" t="s">
        <v>292</v>
      </c>
      <c r="AG2100" s="68">
        <f>VLOOKUP(Takeoffs!AF2100,Sheet1!$B$6:$C$124,2,FALSE)</f>
        <v>0</v>
      </c>
      <c r="AH2100" s="68">
        <f t="shared" si="964"/>
        <v>0</v>
      </c>
      <c r="AI2100" s="63">
        <f t="shared" si="965"/>
        <v>0</v>
      </c>
      <c r="AJ2100" s="133">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292</v>
      </c>
      <c r="V2101" s="28">
        <f t="shared" si="961"/>
        <v>0</v>
      </c>
      <c r="W2101" s="28">
        <f>VLOOKUP(U2101,Sheet1!$B$6:$C$45,2,FALSE)*V2101</f>
        <v>0</v>
      </c>
      <c r="X2101" s="59"/>
      <c r="Y2101" s="12" t="s">
        <v>292</v>
      </c>
      <c r="Z2101" s="68">
        <f>VLOOKUP(Takeoffs!Y2101,Sheet1!$B$6:$C$124,2,FALSE)</f>
        <v>0</v>
      </c>
      <c r="AA2101" s="68">
        <f t="shared" si="962"/>
        <v>0</v>
      </c>
      <c r="AB2101" s="63">
        <f t="shared" si="963"/>
        <v>0</v>
      </c>
      <c r="AC2101" s="28">
        <f t="shared" si="968"/>
        <v>0</v>
      </c>
      <c r="AD2101" s="61">
        <v>1</v>
      </c>
      <c r="AE2101" s="75"/>
      <c r="AF2101" s="12" t="s">
        <v>292</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292</v>
      </c>
      <c r="V2102" s="28">
        <f t="shared" si="961"/>
        <v>0</v>
      </c>
      <c r="W2102" s="28">
        <f>VLOOKUP(U2102,Sheet1!$B$6:$C$45,2,FALSE)*V2102</f>
        <v>0</v>
      </c>
      <c r="X2102" s="59"/>
      <c r="Y2102" s="12" t="s">
        <v>292</v>
      </c>
      <c r="Z2102" s="68">
        <f>VLOOKUP(Takeoffs!Y2102,Sheet1!$B$6:$C$124,2,FALSE)</f>
        <v>0</v>
      </c>
      <c r="AA2102" s="68">
        <f t="shared" si="962"/>
        <v>0</v>
      </c>
      <c r="AB2102" s="63">
        <f t="shared" si="963"/>
        <v>0</v>
      </c>
      <c r="AC2102" s="28">
        <f t="shared" si="968"/>
        <v>0</v>
      </c>
      <c r="AD2102" s="61">
        <v>1</v>
      </c>
      <c r="AE2102" s="59"/>
      <c r="AF2102" s="12" t="s">
        <v>292</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292</v>
      </c>
      <c r="V2103" s="28">
        <f t="shared" si="961"/>
        <v>0</v>
      </c>
      <c r="W2103" s="28">
        <f>VLOOKUP(U2103,Sheet1!$B$6:$C$45,2,FALSE)*V2103</f>
        <v>0</v>
      </c>
      <c r="X2103" s="59"/>
      <c r="Y2103" s="12" t="s">
        <v>292</v>
      </c>
      <c r="Z2103" s="68">
        <f>VLOOKUP(Takeoffs!Y2103,Sheet1!$B$6:$C$124,2,FALSE)</f>
        <v>0</v>
      </c>
      <c r="AA2103" s="68">
        <f t="shared" si="962"/>
        <v>0</v>
      </c>
      <c r="AB2103" s="63">
        <f t="shared" si="963"/>
        <v>0</v>
      </c>
      <c r="AC2103" s="28">
        <f t="shared" si="968"/>
        <v>0</v>
      </c>
      <c r="AD2103" s="61">
        <v>1</v>
      </c>
      <c r="AE2103" s="59"/>
      <c r="AF2103" s="12" t="s">
        <v>292</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292</v>
      </c>
      <c r="V2104" s="28">
        <f t="shared" si="961"/>
        <v>0</v>
      </c>
      <c r="W2104" s="28">
        <f>VLOOKUP(U2104,Sheet1!$B$6:$C$45,2,FALSE)*V2104</f>
        <v>0</v>
      </c>
      <c r="X2104" s="59"/>
      <c r="Y2104" s="12" t="s">
        <v>292</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292</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292</v>
      </c>
      <c r="V2105" s="28">
        <f t="shared" si="961"/>
        <v>0</v>
      </c>
      <c r="W2105" s="28">
        <f>VLOOKUP(U2105,Sheet1!$B$6:$C$45,2,FALSE)*V2105</f>
        <v>0</v>
      </c>
      <c r="X2105" s="59"/>
      <c r="Y2105" s="12" t="s">
        <v>292</v>
      </c>
      <c r="Z2105" s="68">
        <f>VLOOKUP(Takeoffs!Y2105,Sheet1!$B$6:$C$124,2,FALSE)</f>
        <v>0</v>
      </c>
      <c r="AA2105" s="68">
        <f t="shared" si="969"/>
        <v>0</v>
      </c>
      <c r="AB2105" s="63">
        <f t="shared" si="970"/>
        <v>0</v>
      </c>
      <c r="AC2105" s="28">
        <f t="shared" si="968"/>
        <v>0</v>
      </c>
      <c r="AD2105" s="61">
        <v>1</v>
      </c>
      <c r="AE2105" s="59"/>
      <c r="AF2105" s="12" t="s">
        <v>292</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292</v>
      </c>
      <c r="V2106" s="28">
        <f t="shared" si="961"/>
        <v>0</v>
      </c>
      <c r="W2106" s="28">
        <f>VLOOKUP(U2106,Sheet1!$B$6:$C$45,2,FALSE)*V2106</f>
        <v>0</v>
      </c>
      <c r="X2106" s="59"/>
      <c r="Y2106" s="12" t="s">
        <v>292</v>
      </c>
      <c r="Z2106" s="68">
        <f>VLOOKUP(Takeoffs!Y2106,Sheet1!$B$6:$C$124,2,FALSE)</f>
        <v>0</v>
      </c>
      <c r="AA2106" s="68">
        <f t="shared" si="969"/>
        <v>0</v>
      </c>
      <c r="AB2106" s="63">
        <f t="shared" si="970"/>
        <v>0</v>
      </c>
      <c r="AC2106" s="28">
        <f t="shared" si="968"/>
        <v>0</v>
      </c>
      <c r="AD2106" s="61">
        <v>1</v>
      </c>
      <c r="AE2106" s="59"/>
      <c r="AF2106" s="12" t="s">
        <v>292</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292</v>
      </c>
      <c r="V2107" s="28">
        <f t="shared" si="961"/>
        <v>0</v>
      </c>
      <c r="W2107" s="28">
        <f>VLOOKUP(U2107,Sheet1!$B$6:$C$45,2,FALSE)*V2107</f>
        <v>0</v>
      </c>
      <c r="X2107" s="59"/>
      <c r="Y2107" s="12" t="s">
        <v>292</v>
      </c>
      <c r="Z2107" s="68">
        <f>VLOOKUP(Takeoffs!Y2107,Sheet1!$B$6:$C$124,2,FALSE)</f>
        <v>0</v>
      </c>
      <c r="AA2107" s="68">
        <f t="shared" si="969"/>
        <v>0</v>
      </c>
      <c r="AB2107" s="63">
        <f t="shared" si="970"/>
        <v>0</v>
      </c>
      <c r="AC2107" s="28">
        <f t="shared" si="968"/>
        <v>0</v>
      </c>
      <c r="AD2107" s="61">
        <v>1</v>
      </c>
      <c r="AE2107" s="59"/>
      <c r="AF2107" s="12" t="s">
        <v>292</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292</v>
      </c>
      <c r="V2108" s="28">
        <f t="shared" si="961"/>
        <v>0</v>
      </c>
      <c r="W2108" s="28">
        <f>VLOOKUP(U2108,Sheet1!$B$6:$C$45,2,FALSE)*V2108</f>
        <v>0</v>
      </c>
      <c r="X2108" s="59"/>
      <c r="Y2108" s="12" t="s">
        <v>292</v>
      </c>
      <c r="Z2108" s="68">
        <f>VLOOKUP(Takeoffs!Y2108,Sheet1!$B$6:$C$124,2,FALSE)</f>
        <v>0</v>
      </c>
      <c r="AA2108" s="68">
        <f t="shared" si="969"/>
        <v>0</v>
      </c>
      <c r="AB2108" s="63">
        <f t="shared" si="970"/>
        <v>0</v>
      </c>
      <c r="AC2108" s="28">
        <f t="shared" si="968"/>
        <v>0</v>
      </c>
      <c r="AD2108" s="61">
        <v>1</v>
      </c>
      <c r="AE2108" s="59"/>
      <c r="AF2108" s="12" t="s">
        <v>292</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292</v>
      </c>
      <c r="V2109" s="28">
        <f t="shared" si="961"/>
        <v>0</v>
      </c>
      <c r="W2109" s="28">
        <f>VLOOKUP(U2109,Sheet1!$B$6:$C$45,2,FALSE)*V2109</f>
        <v>0</v>
      </c>
      <c r="X2109" s="59"/>
      <c r="Y2109" s="12" t="s">
        <v>292</v>
      </c>
      <c r="Z2109" s="68">
        <f>VLOOKUP(Takeoffs!Y2109,Sheet1!$B$6:$C$124,2,FALSE)</f>
        <v>0</v>
      </c>
      <c r="AA2109" s="68">
        <f t="shared" si="969"/>
        <v>0</v>
      </c>
      <c r="AB2109" s="63">
        <f t="shared" si="970"/>
        <v>0</v>
      </c>
      <c r="AC2109" s="28">
        <f t="shared" si="968"/>
        <v>0</v>
      </c>
      <c r="AD2109" s="61">
        <v>1</v>
      </c>
      <c r="AE2109" s="59"/>
      <c r="AF2109" s="12" t="s">
        <v>292</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292</v>
      </c>
      <c r="V2110" s="28">
        <f t="shared" si="961"/>
        <v>0</v>
      </c>
      <c r="W2110" s="28">
        <f>VLOOKUP(U2110,Sheet1!$B$6:$C$45,2,FALSE)*V2110</f>
        <v>0</v>
      </c>
      <c r="X2110" s="59"/>
      <c r="Y2110" s="12" t="s">
        <v>292</v>
      </c>
      <c r="Z2110" s="68">
        <f>VLOOKUP(Takeoffs!Y2110,Sheet1!$B$6:$C$124,2,FALSE)</f>
        <v>0</v>
      </c>
      <c r="AA2110" s="68">
        <f t="shared" si="969"/>
        <v>0</v>
      </c>
      <c r="AB2110" s="63">
        <f t="shared" si="970"/>
        <v>0</v>
      </c>
      <c r="AC2110" s="28">
        <f t="shared" si="968"/>
        <v>0</v>
      </c>
      <c r="AD2110" s="61">
        <v>1</v>
      </c>
      <c r="AE2110" s="59"/>
      <c r="AF2110" s="12" t="s">
        <v>292</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292</v>
      </c>
      <c r="V2111" s="28">
        <f t="shared" si="961"/>
        <v>0</v>
      </c>
      <c r="W2111" s="28">
        <f>VLOOKUP(U2111,Sheet1!$B$6:$C$45,2,FALSE)*V2111</f>
        <v>0</v>
      </c>
      <c r="X2111" s="59"/>
      <c r="Y2111" s="12" t="s">
        <v>292</v>
      </c>
      <c r="Z2111" s="68">
        <f>VLOOKUP(Takeoffs!Y2111,Sheet1!$B$6:$C$124,2,FALSE)</f>
        <v>0</v>
      </c>
      <c r="AA2111" s="68">
        <f t="shared" si="969"/>
        <v>0</v>
      </c>
      <c r="AB2111" s="63">
        <f t="shared" si="970"/>
        <v>0</v>
      </c>
      <c r="AC2111" s="28">
        <f t="shared" si="968"/>
        <v>0</v>
      </c>
      <c r="AD2111" s="61">
        <v>1</v>
      </c>
      <c r="AE2111" s="59"/>
      <c r="AF2111" s="12" t="s">
        <v>292</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292</v>
      </c>
      <c r="V2112" s="28">
        <f t="shared" si="961"/>
        <v>0</v>
      </c>
      <c r="W2112" s="28">
        <f>VLOOKUP(U2112,Sheet1!$B$6:$C$45,2,FALSE)*V2112</f>
        <v>0</v>
      </c>
      <c r="X2112" s="59"/>
      <c r="Y2112" s="12" t="s">
        <v>292</v>
      </c>
      <c r="Z2112" s="68">
        <f>VLOOKUP(Takeoffs!Y2112,Sheet1!$B$6:$C$124,2,FALSE)</f>
        <v>0</v>
      </c>
      <c r="AA2112" s="68">
        <f t="shared" si="969"/>
        <v>0</v>
      </c>
      <c r="AB2112" s="63">
        <f t="shared" si="970"/>
        <v>0</v>
      </c>
      <c r="AC2112" s="28">
        <f t="shared" si="968"/>
        <v>0</v>
      </c>
      <c r="AD2112" s="61">
        <v>1</v>
      </c>
      <c r="AE2112" s="59"/>
      <c r="AF2112" s="12" t="s">
        <v>292</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292</v>
      </c>
      <c r="V2113" s="28">
        <f t="shared" si="961"/>
        <v>0</v>
      </c>
      <c r="W2113" s="28">
        <f>VLOOKUP(U2113,Sheet1!$B$6:$C$45,2,FALSE)*V2113</f>
        <v>0</v>
      </c>
      <c r="X2113" s="59"/>
      <c r="Y2113" s="12" t="s">
        <v>292</v>
      </c>
      <c r="Z2113" s="68">
        <f>VLOOKUP(Takeoffs!Y2113,Sheet1!$B$6:$C$124,2,FALSE)</f>
        <v>0</v>
      </c>
      <c r="AA2113" s="68">
        <f t="shared" si="969"/>
        <v>0</v>
      </c>
      <c r="AB2113" s="63">
        <f t="shared" si="970"/>
        <v>0</v>
      </c>
      <c r="AC2113" s="28">
        <f t="shared" si="968"/>
        <v>0</v>
      </c>
      <c r="AD2113" s="61">
        <v>1</v>
      </c>
      <c r="AE2113" s="59"/>
      <c r="AF2113" s="12" t="s">
        <v>292</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292</v>
      </c>
      <c r="V2114" s="28">
        <f t="shared" si="961"/>
        <v>0</v>
      </c>
      <c r="W2114" s="28">
        <f>VLOOKUP(U2114,Sheet1!$B$6:$C$45,2,FALSE)*V2114</f>
        <v>0</v>
      </c>
      <c r="X2114" s="59"/>
      <c r="Y2114" s="12" t="s">
        <v>292</v>
      </c>
      <c r="Z2114" s="68">
        <f>VLOOKUP(Takeoffs!Y2114,Sheet1!$B$6:$C$124,2,FALSE)</f>
        <v>0</v>
      </c>
      <c r="AA2114" s="68">
        <f t="shared" si="969"/>
        <v>0</v>
      </c>
      <c r="AB2114" s="63">
        <f t="shared" si="970"/>
        <v>0</v>
      </c>
      <c r="AC2114" s="28">
        <f t="shared" si="968"/>
        <v>0</v>
      </c>
      <c r="AD2114" s="61">
        <v>1</v>
      </c>
      <c r="AE2114" s="59"/>
      <c r="AF2114" s="12" t="s">
        <v>292</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292</v>
      </c>
      <c r="V2115" s="28">
        <f t="shared" si="961"/>
        <v>0</v>
      </c>
      <c r="W2115" s="28">
        <f>VLOOKUP(U2115,Sheet1!$B$6:$C$45,2,FALSE)*V2115</f>
        <v>0</v>
      </c>
      <c r="X2115" s="59"/>
      <c r="Y2115" s="12" t="s">
        <v>292</v>
      </c>
      <c r="Z2115" s="68">
        <f>VLOOKUP(Takeoffs!Y2115,Sheet1!$B$6:$C$124,2,FALSE)</f>
        <v>0</v>
      </c>
      <c r="AA2115" s="68">
        <f t="shared" si="969"/>
        <v>0</v>
      </c>
      <c r="AB2115" s="63">
        <f t="shared" si="970"/>
        <v>0</v>
      </c>
      <c r="AC2115" s="28">
        <f t="shared" si="968"/>
        <v>0</v>
      </c>
      <c r="AD2115" s="61">
        <v>1</v>
      </c>
      <c r="AE2115" s="59"/>
      <c r="AF2115" s="12" t="s">
        <v>292</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357</v>
      </c>
      <c r="P2116" s="100">
        <f>V2116+AA2116+AH2116</f>
        <v>0</v>
      </c>
      <c r="Q2116" s="77"/>
      <c r="R2116" s="77"/>
      <c r="S2116" s="76"/>
      <c r="T2116" s="78"/>
      <c r="U2116" s="79" t="s">
        <v>351</v>
      </c>
      <c r="V2116" s="78">
        <f>W2116*80</f>
        <v>0</v>
      </c>
      <c r="W2116" s="80">
        <f>SUM(W2095:W2115)</f>
        <v>0</v>
      </c>
      <c r="X2116" s="81"/>
      <c r="Y2116" s="78" t="s">
        <v>352</v>
      </c>
      <c r="Z2116" s="2"/>
      <c r="AA2116" s="2">
        <f>SUM(AA2095:AA2115)</f>
        <v>0</v>
      </c>
      <c r="AB2116" s="71"/>
      <c r="AC2116" s="71"/>
      <c r="AD2116" s="71"/>
      <c r="AE2116" s="71"/>
      <c r="AF2116" s="78" t="s">
        <v>356</v>
      </c>
      <c r="AG2116" s="2"/>
      <c r="AH2116" s="2">
        <f>SUM(AH2095:AH2115)</f>
        <v>0</v>
      </c>
      <c r="AI2116" s="71"/>
      <c r="AJ2116" s="71"/>
      <c r="AK2116" s="71"/>
      <c r="AL2116" s="71"/>
      <c r="AM2116" s="150">
        <f>P2116</f>
        <v>0</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491</v>
      </c>
      <c r="D2117" s="261" t="str">
        <f>IF(B2117="Shopping List",IF(ISNUMBER(SEARCH("MSSB",C2117)),"MSSB",IF(ISNUMBER(SEARCH("local",C2117)),"LOCAL","")))</f>
        <v/>
      </c>
      <c r="I2117" s="272" t="s">
        <v>695</v>
      </c>
      <c r="J2117" s="261" t="s">
        <v>624</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491</v>
      </c>
      <c r="C2118" s="217"/>
      <c r="D2118" s="260" t="s">
        <v>677</v>
      </c>
      <c r="E2118" s="238"/>
      <c r="F2118" s="217"/>
      <c r="G2118" s="217"/>
      <c r="H2118" s="245"/>
      <c r="I2118" s="273" t="s">
        <v>695</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367</v>
      </c>
      <c r="N2118" s="83" t="str">
        <f>N2095</f>
        <v>kilometres of cabling required throughout this project</v>
      </c>
      <c r="O2118" s="185" t="s">
        <v>438</v>
      </c>
      <c r="P2118" s="202" t="e">
        <f>P2116/(M2095*1000)</f>
        <v>#DIV/0!</v>
      </c>
      <c r="Q2118" s="196"/>
      <c r="R2118" s="188"/>
      <c r="S2118" s="83"/>
      <c r="T2118" s="84"/>
      <c r="U2118" s="571"/>
      <c r="V2118" s="571"/>
      <c r="W2118" s="85"/>
      <c r="X2118" s="86"/>
      <c r="Y2118" s="570"/>
      <c r="Z2118" s="570"/>
      <c r="AA2118" s="87"/>
      <c r="AB2118" s="84"/>
      <c r="AC2118" s="84"/>
      <c r="AD2118" s="84"/>
      <c r="AE2118" s="84"/>
      <c r="AF2118" s="570" t="s">
        <v>365</v>
      </c>
      <c r="AG2118" s="570"/>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hidden="1" x14ac:dyDescent="0.8">
      <c r="A2119" s="262">
        <f>ROW()</f>
        <v>2119</v>
      </c>
      <c r="B2119" s="268" t="s">
        <v>681</v>
      </c>
      <c r="C2119" s="266" t="s">
        <v>683</v>
      </c>
      <c r="D2119" s="260" t="s">
        <v>677</v>
      </c>
      <c r="E2119" s="266"/>
      <c r="F2119" s="266"/>
      <c r="G2119" s="266"/>
      <c r="H2119" s="266"/>
      <c r="I2119" s="271">
        <f>'Job Summary'!H1</f>
        <v>0</v>
      </c>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hidden="1" x14ac:dyDescent="0.8">
      <c r="A2120" s="262">
        <f>ROW()</f>
        <v>2120</v>
      </c>
      <c r="B2120" s="268" t="s">
        <v>681</v>
      </c>
      <c r="C2120" s="266" t="s">
        <v>682</v>
      </c>
      <c r="D2120" s="260" t="s">
        <v>677</v>
      </c>
      <c r="E2120" s="266"/>
      <c r="F2120" s="266"/>
      <c r="G2120" s="266"/>
      <c r="H2120" s="266"/>
      <c r="I2120" s="271">
        <f>'Job Summary'!H2</f>
        <v>0</v>
      </c>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filterColumn colId="8">
      <filters>
        <filter val="-"/>
        <filter val="QTY"/>
      </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857" priority="403">
      <formula>RIGHT(O213,2)="  "</formula>
    </cfRule>
    <cfRule type="expression" dxfId="856" priority="404">
      <formula>RIGHT(O213,1)=" "</formula>
    </cfRule>
  </conditionalFormatting>
  <conditionalFormatting sqref="O261:O280">
    <cfRule type="expression" dxfId="855" priority="401">
      <formula>RIGHT(O261,2)="  "</formula>
    </cfRule>
    <cfRule type="expression" dxfId="854" priority="402">
      <formula>RIGHT(O261,1)=" "</formula>
    </cfRule>
  </conditionalFormatting>
  <conditionalFormatting sqref="O309:O328">
    <cfRule type="expression" dxfId="853" priority="399">
      <formula>RIGHT(O309,2)="  "</formula>
    </cfRule>
    <cfRule type="expression" dxfId="852" priority="400">
      <formula>RIGHT(O309,1)=" "</formula>
    </cfRule>
  </conditionalFormatting>
  <conditionalFormatting sqref="O549:O568">
    <cfRule type="expression" dxfId="851" priority="397">
      <formula>RIGHT(O549,2)="  "</formula>
    </cfRule>
    <cfRule type="expression" dxfId="850" priority="398">
      <formula>RIGHT(O549,1)=" "</formula>
    </cfRule>
  </conditionalFormatting>
  <conditionalFormatting sqref="O765:O784">
    <cfRule type="expression" dxfId="849" priority="395">
      <formula>RIGHT(O765,2)="  "</formula>
    </cfRule>
    <cfRule type="expression" dxfId="848" priority="396">
      <formula>RIGHT(O765,1)=" "</formula>
    </cfRule>
  </conditionalFormatting>
  <conditionalFormatting sqref="O933:O952">
    <cfRule type="expression" dxfId="847" priority="393">
      <formula>RIGHT(O933,2)="  "</formula>
    </cfRule>
    <cfRule type="expression" dxfId="846" priority="394">
      <formula>RIGHT(O933,1)=" "</formula>
    </cfRule>
  </conditionalFormatting>
  <conditionalFormatting sqref="O958:O977">
    <cfRule type="expression" dxfId="845" priority="391">
      <formula>RIGHT(O958,2)="  "</formula>
    </cfRule>
    <cfRule type="expression" dxfId="844" priority="392">
      <formula>RIGHT(O958,1)=" "</formula>
    </cfRule>
  </conditionalFormatting>
  <conditionalFormatting sqref="O1078:O1080 O1082:O1097">
    <cfRule type="expression" dxfId="843" priority="389">
      <formula>RIGHT(O1078,2)="  "</formula>
    </cfRule>
    <cfRule type="expression" dxfId="842" priority="390">
      <formula>RIGHT(O1078,1)=" "</formula>
    </cfRule>
  </conditionalFormatting>
  <conditionalFormatting sqref="O1102:O1104 O1106:O1121">
    <cfRule type="expression" dxfId="841" priority="387">
      <formula>RIGHT(O1102,2)="  "</formula>
    </cfRule>
    <cfRule type="expression" dxfId="840" priority="388">
      <formula>RIGHT(O1102,1)=" "</formula>
    </cfRule>
  </conditionalFormatting>
  <conditionalFormatting sqref="O1150:O1169">
    <cfRule type="expression" dxfId="839" priority="385">
      <formula>RIGHT(O1150,2)="  "</formula>
    </cfRule>
    <cfRule type="expression" dxfId="838" priority="386">
      <formula>RIGHT(O1150,1)=" "</formula>
    </cfRule>
  </conditionalFormatting>
  <conditionalFormatting sqref="O1175:O1194">
    <cfRule type="expression" dxfId="837" priority="383">
      <formula>RIGHT(O1175,2)="  "</formula>
    </cfRule>
    <cfRule type="expression" dxfId="836" priority="384">
      <formula>RIGHT(O1175,1)=" "</formula>
    </cfRule>
  </conditionalFormatting>
  <conditionalFormatting sqref="O1223:O1242">
    <cfRule type="expression" dxfId="835" priority="381">
      <formula>RIGHT(O1223,2)="  "</formula>
    </cfRule>
    <cfRule type="expression" dxfId="834" priority="382">
      <formula>RIGHT(O1223,1)=" "</formula>
    </cfRule>
  </conditionalFormatting>
  <conditionalFormatting sqref="O1439:O1458">
    <cfRule type="expression" dxfId="833" priority="379">
      <formula>RIGHT(O1439,2)="  "</formula>
    </cfRule>
    <cfRule type="expression" dxfId="832" priority="380">
      <formula>RIGHT(O1439,1)=" "</formula>
    </cfRule>
  </conditionalFormatting>
  <conditionalFormatting sqref="O1511:O1530">
    <cfRule type="expression" dxfId="831" priority="377">
      <formula>RIGHT(O1511,2)="  "</formula>
    </cfRule>
    <cfRule type="expression" dxfId="830" priority="378">
      <formula>RIGHT(O1511,1)=" "</formula>
    </cfRule>
  </conditionalFormatting>
  <conditionalFormatting sqref="O1535:O1554">
    <cfRule type="expression" dxfId="829" priority="375">
      <formula>RIGHT(O1535,2)="  "</formula>
    </cfRule>
    <cfRule type="expression" dxfId="828" priority="376">
      <formula>RIGHT(O1535,1)=" "</formula>
    </cfRule>
  </conditionalFormatting>
  <conditionalFormatting sqref="O1609:O1628">
    <cfRule type="expression" dxfId="827" priority="373">
      <formula>RIGHT(O1609,2)="  "</formula>
    </cfRule>
    <cfRule type="expression" dxfId="826" priority="374">
      <formula>RIGHT(O1609,1)=" "</formula>
    </cfRule>
  </conditionalFormatting>
  <conditionalFormatting sqref="O1754:O1773">
    <cfRule type="expression" dxfId="825" priority="371">
      <formula>RIGHT(O1754,2)="  "</formula>
    </cfRule>
    <cfRule type="expression" dxfId="824" priority="372">
      <formula>RIGHT(O1754,1)=" "</formula>
    </cfRule>
  </conditionalFormatting>
  <conditionalFormatting sqref="O1803:O1822">
    <cfRule type="expression" dxfId="823" priority="369">
      <formula>RIGHT(O1803,2)="  "</formula>
    </cfRule>
    <cfRule type="expression" dxfId="822" priority="370">
      <formula>RIGHT(O1803,1)=" "</formula>
    </cfRule>
  </conditionalFormatting>
  <conditionalFormatting sqref="O1827:O1846">
    <cfRule type="expression" dxfId="821" priority="367">
      <formula>RIGHT(O1827,2)="  "</formula>
    </cfRule>
    <cfRule type="expression" dxfId="820" priority="368">
      <formula>RIGHT(O1827,1)=" "</formula>
    </cfRule>
  </conditionalFormatting>
  <conditionalFormatting sqref="O1851:O1870">
    <cfRule type="expression" dxfId="819" priority="365">
      <formula>RIGHT(O1851,2)="  "</formula>
    </cfRule>
    <cfRule type="expression" dxfId="818" priority="366">
      <formula>RIGHT(O1851,1)=" "</formula>
    </cfRule>
  </conditionalFormatting>
  <conditionalFormatting sqref="Q958:Q977">
    <cfRule type="expression" dxfId="817" priority="335">
      <formula>RIGHT(Q958,2)="  "</formula>
    </cfRule>
    <cfRule type="expression" dxfId="816" priority="336">
      <formula>RIGHT(Q958,1)=" "</formula>
    </cfRule>
  </conditionalFormatting>
  <conditionalFormatting sqref="O1875:O1894">
    <cfRule type="expression" dxfId="815" priority="363">
      <formula>RIGHT(O1875,2)="  "</formula>
    </cfRule>
    <cfRule type="expression" dxfId="814" priority="364">
      <formula>RIGHT(O1875,1)=" "</formula>
    </cfRule>
  </conditionalFormatting>
  <conditionalFormatting sqref="O140:O159">
    <cfRule type="expression" dxfId="813" priority="361">
      <formula>RIGHT(O140,2)="  "</formula>
    </cfRule>
    <cfRule type="expression" dxfId="812" priority="362">
      <formula>RIGHT(O140,1)=" "</formula>
    </cfRule>
  </conditionalFormatting>
  <conditionalFormatting sqref="O164:O183">
    <cfRule type="expression" dxfId="811" priority="359">
      <formula>RIGHT(O164,2)="  "</formula>
    </cfRule>
    <cfRule type="expression" dxfId="810" priority="360">
      <formula>RIGHT(O164,1)=" "</formula>
    </cfRule>
  </conditionalFormatting>
  <conditionalFormatting sqref="O188:O207">
    <cfRule type="expression" dxfId="809" priority="357">
      <formula>RIGHT(O188,2)="  "</formula>
    </cfRule>
    <cfRule type="expression" dxfId="808" priority="358">
      <formula>RIGHT(O188,1)=" "</formula>
    </cfRule>
  </conditionalFormatting>
  <conditionalFormatting sqref="O1925:O1944">
    <cfRule type="expression" dxfId="807" priority="355">
      <formula>RIGHT(O1925,2)="  "</formula>
    </cfRule>
    <cfRule type="expression" dxfId="806" priority="356">
      <formula>RIGHT(O1925,1)=" "</formula>
    </cfRule>
  </conditionalFormatting>
  <conditionalFormatting sqref="Q933:Q952">
    <cfRule type="expression" dxfId="805" priority="337">
      <formula>RIGHT(Q933,2)="  "</formula>
    </cfRule>
    <cfRule type="expression" dxfId="804" priority="338">
      <formula>RIGHT(Q933,1)=" "</formula>
    </cfRule>
  </conditionalFormatting>
  <conditionalFormatting sqref="O1973:O1992">
    <cfRule type="expression" dxfId="803" priority="351">
      <formula>RIGHT(O1973,2)="  "</formula>
    </cfRule>
    <cfRule type="expression" dxfId="802" priority="352">
      <formula>RIGHT(O1973,1)=" "</formula>
    </cfRule>
  </conditionalFormatting>
  <conditionalFormatting sqref="O1949:O1968">
    <cfRule type="expression" dxfId="801" priority="349">
      <formula>RIGHT(O1949,2)="  "</formula>
    </cfRule>
    <cfRule type="expression" dxfId="800" priority="350">
      <formula>RIGHT(O1949,1)=" "</formula>
    </cfRule>
  </conditionalFormatting>
  <conditionalFormatting sqref="O45:O63">
    <cfRule type="expression" dxfId="799" priority="333">
      <formula>RIGHT(O45,2)="  "</formula>
    </cfRule>
    <cfRule type="expression" dxfId="798" priority="334">
      <formula>RIGHT(O45,1)=" "</formula>
    </cfRule>
  </conditionalFormatting>
  <conditionalFormatting sqref="O20:O28 O30:O39">
    <cfRule type="expression" dxfId="797" priority="331">
      <formula>RIGHT(O20,2)="  "</formula>
    </cfRule>
    <cfRule type="expression" dxfId="796" priority="332">
      <formula>RIGHT(O20,1)=" "</formula>
    </cfRule>
  </conditionalFormatting>
  <conditionalFormatting sqref="Q213:Q232">
    <cfRule type="expression" dxfId="795" priority="347">
      <formula>RIGHT(Q213,2)="  "</formula>
    </cfRule>
    <cfRule type="expression" dxfId="794" priority="348">
      <formula>RIGHT(Q213,1)=" "</formula>
    </cfRule>
  </conditionalFormatting>
  <conditionalFormatting sqref="Q261:Q280">
    <cfRule type="expression" dxfId="793" priority="345">
      <formula>RIGHT(Q261,2)="  "</formula>
    </cfRule>
    <cfRule type="expression" dxfId="792" priority="346">
      <formula>RIGHT(Q261,1)=" "</formula>
    </cfRule>
  </conditionalFormatting>
  <conditionalFormatting sqref="Q309:Q328">
    <cfRule type="expression" dxfId="791" priority="343">
      <formula>RIGHT(Q309,2)="  "</formula>
    </cfRule>
    <cfRule type="expression" dxfId="790" priority="344">
      <formula>RIGHT(Q309,1)=" "</formula>
    </cfRule>
  </conditionalFormatting>
  <conditionalFormatting sqref="Q549:Q568">
    <cfRule type="expression" dxfId="789" priority="341">
      <formula>RIGHT(Q549,2)="  "</formula>
    </cfRule>
    <cfRule type="expression" dxfId="788" priority="342">
      <formula>RIGHT(Q549,1)=" "</formula>
    </cfRule>
  </conditionalFormatting>
  <conditionalFormatting sqref="Q765:Q784">
    <cfRule type="expression" dxfId="787" priority="339">
      <formula>RIGHT(Q765,2)="  "</formula>
    </cfRule>
    <cfRule type="expression" dxfId="786" priority="340">
      <formula>RIGHT(Q765,1)=" "</formula>
    </cfRule>
  </conditionalFormatting>
  <conditionalFormatting sqref="O117:O135">
    <cfRule type="expression" dxfId="785" priority="329">
      <formula>RIGHT(O117,2)="  "</formula>
    </cfRule>
    <cfRule type="expression" dxfId="784" priority="330">
      <formula>RIGHT(O117,1)=" "</formula>
    </cfRule>
  </conditionalFormatting>
  <conditionalFormatting sqref="O1682:O1701">
    <cfRule type="expression" dxfId="783" priority="327">
      <formula>RIGHT(O1682,2)="  "</formula>
    </cfRule>
    <cfRule type="expression" dxfId="782" priority="328">
      <formula>RIGHT(O1682,1)=" "</formula>
    </cfRule>
  </conditionalFormatting>
  <conditionalFormatting sqref="O29">
    <cfRule type="expression" dxfId="781" priority="325">
      <formula>RIGHT(O29,2)="  "</formula>
    </cfRule>
    <cfRule type="expression" dxfId="780" priority="326">
      <formula>RIGHT(O29,1)=" "</formula>
    </cfRule>
  </conditionalFormatting>
  <conditionalFormatting sqref="O44">
    <cfRule type="expression" dxfId="779" priority="323">
      <formula>RIGHT(O44,2)="  "</formula>
    </cfRule>
    <cfRule type="expression" dxfId="778" priority="324">
      <formula>RIGHT(O44,1)=" "</formula>
    </cfRule>
  </conditionalFormatting>
  <conditionalFormatting sqref="O116">
    <cfRule type="expression" dxfId="777" priority="321">
      <formula>RIGHT(O116,2)="  "</formula>
    </cfRule>
    <cfRule type="expression" dxfId="776" priority="322">
      <formula>RIGHT(O116,1)=" "</formula>
    </cfRule>
  </conditionalFormatting>
  <conditionalFormatting sqref="O621:O640">
    <cfRule type="expression" dxfId="775" priority="319">
      <formula>RIGHT(O621,2)="  "</formula>
    </cfRule>
    <cfRule type="expression" dxfId="774" priority="320">
      <formula>RIGHT(O621,1)=" "</formula>
    </cfRule>
  </conditionalFormatting>
  <conditionalFormatting sqref="Q621:Q640">
    <cfRule type="expression" dxfId="773" priority="317">
      <formula>RIGHT(Q621,2)="  "</formula>
    </cfRule>
    <cfRule type="expression" dxfId="772" priority="318">
      <formula>RIGHT(Q621,1)=" "</formula>
    </cfRule>
  </conditionalFormatting>
  <conditionalFormatting sqref="O525:O544">
    <cfRule type="expression" dxfId="771" priority="315">
      <formula>RIGHT(O525,2)="  "</formula>
    </cfRule>
    <cfRule type="expression" dxfId="770" priority="316">
      <formula>RIGHT(O525,1)=" "</formula>
    </cfRule>
  </conditionalFormatting>
  <conditionalFormatting sqref="Q525:Q544">
    <cfRule type="expression" dxfId="769" priority="313">
      <formula>RIGHT(Q525,2)="  "</formula>
    </cfRule>
    <cfRule type="expression" dxfId="768" priority="314">
      <formula>RIGHT(Q525,1)=" "</formula>
    </cfRule>
  </conditionalFormatting>
  <conditionalFormatting sqref="O837:O856">
    <cfRule type="expression" dxfId="767" priority="311">
      <formula>RIGHT(O837,2)="  "</formula>
    </cfRule>
    <cfRule type="expression" dxfId="766" priority="312">
      <formula>RIGHT(O837,1)=" "</formula>
    </cfRule>
  </conditionalFormatting>
  <conditionalFormatting sqref="Q837:Q856">
    <cfRule type="expression" dxfId="765" priority="309">
      <formula>RIGHT(Q837,2)="  "</formula>
    </cfRule>
    <cfRule type="expression" dxfId="764" priority="310">
      <formula>RIGHT(Q837,1)=" "</formula>
    </cfRule>
  </conditionalFormatting>
  <conditionalFormatting sqref="O1054:O1056 O1058:O1073">
    <cfRule type="expression" dxfId="763" priority="307">
      <formula>RIGHT(O1054,2)="  "</formula>
    </cfRule>
    <cfRule type="expression" dxfId="762" priority="308">
      <formula>RIGHT(O1054,1)=" "</formula>
    </cfRule>
  </conditionalFormatting>
  <conditionalFormatting sqref="O1030:O1049">
    <cfRule type="expression" dxfId="761" priority="305">
      <formula>RIGHT(O1030,2)="  "</formula>
    </cfRule>
    <cfRule type="expression" dxfId="760" priority="306">
      <formula>RIGHT(O1030,1)=" "</formula>
    </cfRule>
  </conditionalFormatting>
  <conditionalFormatting sqref="O982:O1001">
    <cfRule type="expression" dxfId="759" priority="303">
      <formula>RIGHT(O982,2)="  "</formula>
    </cfRule>
    <cfRule type="expression" dxfId="758" priority="304">
      <formula>RIGHT(O982,1)=" "</formula>
    </cfRule>
  </conditionalFormatting>
  <conditionalFormatting sqref="O1057">
    <cfRule type="expression" dxfId="757" priority="301">
      <formula>RIGHT(O1057,2)="  "</formula>
    </cfRule>
    <cfRule type="expression" dxfId="756" priority="302">
      <formula>RIGHT(O1057,1)=" "</formula>
    </cfRule>
  </conditionalFormatting>
  <conditionalFormatting sqref="O1081">
    <cfRule type="expression" dxfId="755" priority="299">
      <formula>RIGHT(O1081,2)="  "</formula>
    </cfRule>
    <cfRule type="expression" dxfId="754" priority="300">
      <formula>RIGHT(O1081,1)=" "</formula>
    </cfRule>
  </conditionalFormatting>
  <conditionalFormatting sqref="O1105">
    <cfRule type="expression" dxfId="753" priority="297">
      <formula>RIGHT(O1105,2)="  "</formula>
    </cfRule>
    <cfRule type="expression" dxfId="752" priority="298">
      <formula>RIGHT(O1105,1)=" "</formula>
    </cfRule>
  </conditionalFormatting>
  <conditionalFormatting sqref="O1706:O1725">
    <cfRule type="expression" dxfId="751" priority="295">
      <formula>RIGHT(O1706,2)="  "</formula>
    </cfRule>
    <cfRule type="expression" dxfId="750" priority="296">
      <formula>RIGHT(O1706,1)=" "</formula>
    </cfRule>
  </conditionalFormatting>
  <conditionalFormatting sqref="O1730:O1749">
    <cfRule type="expression" dxfId="749" priority="293">
      <formula>RIGHT(O1730,2)="  "</formula>
    </cfRule>
    <cfRule type="expression" dxfId="748" priority="294">
      <formula>RIGHT(O1730,1)=" "</formula>
    </cfRule>
  </conditionalFormatting>
  <conditionalFormatting sqref="O1634:O1653">
    <cfRule type="expression" dxfId="747" priority="291">
      <formula>RIGHT(O1634,2)="  "</formula>
    </cfRule>
    <cfRule type="expression" dxfId="746" priority="292">
      <formula>RIGHT(O1634,1)=" "</formula>
    </cfRule>
  </conditionalFormatting>
  <conditionalFormatting sqref="O1126:O1145">
    <cfRule type="expression" dxfId="745" priority="289">
      <formula>RIGHT(O1126,2)="  "</formula>
    </cfRule>
    <cfRule type="expression" dxfId="744" priority="290">
      <formula>RIGHT(O1126,1)=" "</formula>
    </cfRule>
  </conditionalFormatting>
  <conditionalFormatting sqref="O69:O87">
    <cfRule type="expression" dxfId="743" priority="287">
      <formula>RIGHT(O69,2)="  "</formula>
    </cfRule>
    <cfRule type="expression" dxfId="742" priority="288">
      <formula>RIGHT(O69,1)=" "</formula>
    </cfRule>
  </conditionalFormatting>
  <conditionalFormatting sqref="O68">
    <cfRule type="expression" dxfId="741" priority="285">
      <formula>RIGHT(O68,2)="  "</formula>
    </cfRule>
    <cfRule type="expression" dxfId="740" priority="286">
      <formula>RIGHT(O68,1)=" "</formula>
    </cfRule>
  </conditionalFormatting>
  <conditionalFormatting sqref="O1561 O1563:O1564 O1571:O1580 O1568">
    <cfRule type="expression" dxfId="739" priority="283">
      <formula>RIGHT(O1561,2)="  "</formula>
    </cfRule>
    <cfRule type="expression" dxfId="738" priority="284">
      <formula>RIGHT(O1561,1)=" "</formula>
    </cfRule>
  </conditionalFormatting>
  <conditionalFormatting sqref="O1415:O1434">
    <cfRule type="expression" dxfId="737" priority="281">
      <formula>RIGHT(O1415,2)="  "</formula>
    </cfRule>
    <cfRule type="expression" dxfId="736" priority="282">
      <formula>RIGHT(O1415,1)=" "</formula>
    </cfRule>
  </conditionalFormatting>
  <conditionalFormatting sqref="O1779:O1798">
    <cfRule type="expression" dxfId="735" priority="279">
      <formula>RIGHT(O1779,2)="  "</formula>
    </cfRule>
    <cfRule type="expression" dxfId="734" priority="280">
      <formula>RIGHT(O1779,1)=" "</formula>
    </cfRule>
  </conditionalFormatting>
  <conditionalFormatting sqref="O885:O904">
    <cfRule type="expression" dxfId="733" priority="277">
      <formula>RIGHT(O885,2)="  "</formula>
    </cfRule>
    <cfRule type="expression" dxfId="732" priority="278">
      <formula>RIGHT(O885,1)=" "</formula>
    </cfRule>
  </conditionalFormatting>
  <conditionalFormatting sqref="Q885:Q904">
    <cfRule type="expression" dxfId="731" priority="275">
      <formula>RIGHT(Q885,2)="  "</formula>
    </cfRule>
    <cfRule type="expression" dxfId="730" priority="276">
      <formula>RIGHT(Q885,1)=" "</formula>
    </cfRule>
  </conditionalFormatting>
  <conditionalFormatting sqref="O285:O304">
    <cfRule type="expression" dxfId="729" priority="273">
      <formula>RIGHT(O285,2)="  "</formula>
    </cfRule>
    <cfRule type="expression" dxfId="728" priority="274">
      <formula>RIGHT(O285,1)=" "</formula>
    </cfRule>
  </conditionalFormatting>
  <conditionalFormatting sqref="O909:O928">
    <cfRule type="expression" dxfId="727" priority="271">
      <formula>RIGHT(O909,2)="  "</formula>
    </cfRule>
    <cfRule type="expression" dxfId="726" priority="272">
      <formula>RIGHT(O909,1)=" "</formula>
    </cfRule>
  </conditionalFormatting>
  <conditionalFormatting sqref="Q909:Q928">
    <cfRule type="expression" dxfId="725" priority="269">
      <formula>RIGHT(Q909,2)="  "</formula>
    </cfRule>
    <cfRule type="expression" dxfId="724" priority="270">
      <formula>RIGHT(Q909,1)=" "</formula>
    </cfRule>
  </conditionalFormatting>
  <conditionalFormatting sqref="O861:O880">
    <cfRule type="expression" dxfId="723" priority="267">
      <formula>RIGHT(O861,2)="  "</formula>
    </cfRule>
    <cfRule type="expression" dxfId="722" priority="268">
      <formula>RIGHT(O861,1)=" "</formula>
    </cfRule>
  </conditionalFormatting>
  <conditionalFormatting sqref="Q861:Q880">
    <cfRule type="expression" dxfId="721" priority="265">
      <formula>RIGHT(Q861,2)="  "</formula>
    </cfRule>
    <cfRule type="expression" dxfId="720" priority="266">
      <formula>RIGHT(Q861,1)=" "</formula>
    </cfRule>
  </conditionalFormatting>
  <conditionalFormatting sqref="O1199:O1218">
    <cfRule type="expression" dxfId="719" priority="263">
      <formula>RIGHT(O1199,2)="  "</formula>
    </cfRule>
    <cfRule type="expression" dxfId="718" priority="264">
      <formula>RIGHT(O1199,1)=" "</formula>
    </cfRule>
  </conditionalFormatting>
  <conditionalFormatting sqref="O789:O808">
    <cfRule type="expression" dxfId="717" priority="261">
      <formula>RIGHT(O789,2)="  "</formula>
    </cfRule>
    <cfRule type="expression" dxfId="716" priority="262">
      <formula>RIGHT(O789,1)=" "</formula>
    </cfRule>
  </conditionalFormatting>
  <conditionalFormatting sqref="Q789:Q808">
    <cfRule type="expression" dxfId="715" priority="259">
      <formula>RIGHT(Q789,2)="  "</formula>
    </cfRule>
    <cfRule type="expression" dxfId="714" priority="260">
      <formula>RIGHT(Q789,1)=" "</formula>
    </cfRule>
  </conditionalFormatting>
  <conditionalFormatting sqref="O1006:O1025">
    <cfRule type="expression" dxfId="713" priority="257">
      <formula>RIGHT(O1006,2)="  "</formula>
    </cfRule>
    <cfRule type="expression" dxfId="712" priority="258">
      <formula>RIGHT(O1006,1)=" "</formula>
    </cfRule>
  </conditionalFormatting>
  <conditionalFormatting sqref="O1319:O1338">
    <cfRule type="expression" dxfId="711" priority="255">
      <formula>RIGHT(O1319,2)="  "</formula>
    </cfRule>
    <cfRule type="expression" dxfId="710" priority="256">
      <formula>RIGHT(O1319,1)=" "</formula>
    </cfRule>
  </conditionalFormatting>
  <conditionalFormatting sqref="O693:O712">
    <cfRule type="expression" dxfId="709" priority="253">
      <formula>RIGHT(O693,2)="  "</formula>
    </cfRule>
    <cfRule type="expression" dxfId="708" priority="254">
      <formula>RIGHT(O693,1)=" "</formula>
    </cfRule>
  </conditionalFormatting>
  <conditionalFormatting sqref="Q693:Q712">
    <cfRule type="expression" dxfId="707" priority="251">
      <formula>RIGHT(Q693,2)="  "</formula>
    </cfRule>
    <cfRule type="expression" dxfId="706" priority="252">
      <formula>RIGHT(Q693,1)=" "</formula>
    </cfRule>
  </conditionalFormatting>
  <conditionalFormatting sqref="O429:O448">
    <cfRule type="expression" dxfId="705" priority="249">
      <formula>RIGHT(O429,2)="  "</formula>
    </cfRule>
    <cfRule type="expression" dxfId="704" priority="250">
      <formula>RIGHT(O429,1)=" "</formula>
    </cfRule>
  </conditionalFormatting>
  <conditionalFormatting sqref="Q429:Q448">
    <cfRule type="expression" dxfId="703" priority="247">
      <formula>RIGHT(Q429,2)="  "</formula>
    </cfRule>
    <cfRule type="expression" dxfId="702" priority="248">
      <formula>RIGHT(Q429,1)=" "</formula>
    </cfRule>
  </conditionalFormatting>
  <conditionalFormatting sqref="O1271:O1290">
    <cfRule type="expression" dxfId="701" priority="245">
      <formula>RIGHT(O1271,2)="  "</formula>
    </cfRule>
    <cfRule type="expression" dxfId="700" priority="246">
      <formula>RIGHT(O1271,1)=" "</formula>
    </cfRule>
  </conditionalFormatting>
  <conditionalFormatting sqref="Q1271">
    <cfRule type="expression" dxfId="699" priority="243">
      <formula>RIGHT(Q1271,2)="  "</formula>
    </cfRule>
    <cfRule type="expression" dxfId="698" priority="244">
      <formula>RIGHT(Q1271,1)=" "</formula>
    </cfRule>
  </conditionalFormatting>
  <conditionalFormatting sqref="Q1272">
    <cfRule type="expression" dxfId="697" priority="241">
      <formula>RIGHT(Q1272,2)="  "</formula>
    </cfRule>
    <cfRule type="expression" dxfId="696" priority="242">
      <formula>RIGHT(Q1272,1)=" "</formula>
    </cfRule>
  </conditionalFormatting>
  <conditionalFormatting sqref="Q1273">
    <cfRule type="expression" dxfId="695" priority="239">
      <formula>RIGHT(Q1273,2)="  "</formula>
    </cfRule>
    <cfRule type="expression" dxfId="694" priority="240">
      <formula>RIGHT(Q1273,1)=" "</formula>
    </cfRule>
  </conditionalFormatting>
  <conditionalFormatting sqref="O453:O456 O460:O472">
    <cfRule type="expression" dxfId="693" priority="237">
      <formula>RIGHT(O453,2)="  "</formula>
    </cfRule>
    <cfRule type="expression" dxfId="692" priority="238">
      <formula>RIGHT(O453,1)=" "</formula>
    </cfRule>
  </conditionalFormatting>
  <conditionalFormatting sqref="O457:O459">
    <cfRule type="expression" dxfId="691" priority="227">
      <formula>RIGHT(O457,2)="  "</formula>
    </cfRule>
    <cfRule type="expression" dxfId="690" priority="228">
      <formula>RIGHT(O457,1)=" "</formula>
    </cfRule>
  </conditionalFormatting>
  <conditionalFormatting sqref="Q453">
    <cfRule type="expression" dxfId="689" priority="233">
      <formula>RIGHT(Q453,2)="  "</formula>
    </cfRule>
    <cfRule type="expression" dxfId="688" priority="234">
      <formula>RIGHT(Q453,1)=" "</formula>
    </cfRule>
  </conditionalFormatting>
  <conditionalFormatting sqref="Q455">
    <cfRule type="expression" dxfId="687" priority="229">
      <formula>RIGHT(Q455,2)="  "</formula>
    </cfRule>
    <cfRule type="expression" dxfId="686" priority="230">
      <formula>RIGHT(Q455,1)=" "</formula>
    </cfRule>
  </conditionalFormatting>
  <conditionalFormatting sqref="Q719">
    <cfRule type="expression" dxfId="685" priority="217">
      <formula>RIGHT(Q719,2)="  "</formula>
    </cfRule>
    <cfRule type="expression" dxfId="684" priority="218">
      <formula>RIGHT(Q719,1)=" "</formula>
    </cfRule>
  </conditionalFormatting>
  <conditionalFormatting sqref="O719:O721">
    <cfRule type="expression" dxfId="683" priority="215">
      <formula>RIGHT(O719,2)="  "</formula>
    </cfRule>
    <cfRule type="expression" dxfId="682" priority="216">
      <formula>RIGHT(O719,1)=" "</formula>
    </cfRule>
  </conditionalFormatting>
  <conditionalFormatting sqref="O717:O718 O722:O736">
    <cfRule type="expression" dxfId="681" priority="225">
      <formula>RIGHT(O717,2)="  "</formula>
    </cfRule>
    <cfRule type="expression" dxfId="680" priority="226">
      <formula>RIGHT(O717,1)=" "</formula>
    </cfRule>
  </conditionalFormatting>
  <conditionalFormatting sqref="Q1249">
    <cfRule type="expression" dxfId="679" priority="207">
      <formula>RIGHT(Q1249,2)="  "</formula>
    </cfRule>
    <cfRule type="expression" dxfId="678" priority="208">
      <formula>RIGHT(Q1249,1)=" "</formula>
    </cfRule>
  </conditionalFormatting>
  <conditionalFormatting sqref="Q717">
    <cfRule type="expression" dxfId="677" priority="221">
      <formula>RIGHT(Q717,2)="  "</formula>
    </cfRule>
    <cfRule type="expression" dxfId="676" priority="222">
      <formula>RIGHT(Q717,1)=" "</formula>
    </cfRule>
  </conditionalFormatting>
  <conditionalFormatting sqref="Q1247">
    <cfRule type="expression" dxfId="675" priority="211">
      <formula>RIGHT(Q1247,2)="  "</formula>
    </cfRule>
    <cfRule type="expression" dxfId="674" priority="212">
      <formula>RIGHT(Q1247,1)=" "</formula>
    </cfRule>
  </conditionalFormatting>
  <conditionalFormatting sqref="Q1248">
    <cfRule type="expression" dxfId="673" priority="209">
      <formula>RIGHT(Q1248,2)="  "</formula>
    </cfRule>
    <cfRule type="expression" dxfId="672" priority="210">
      <formula>RIGHT(Q1248,1)=" "</formula>
    </cfRule>
  </conditionalFormatting>
  <conditionalFormatting sqref="Q1590">
    <cfRule type="expression" dxfId="671" priority="175">
      <formula>RIGHT(Q1590,2)="  "</formula>
    </cfRule>
    <cfRule type="expression" dxfId="670" priority="176">
      <formula>RIGHT(Q1590,1)=" "</formula>
    </cfRule>
  </conditionalFormatting>
  <conditionalFormatting sqref="O1247:O1266">
    <cfRule type="expression" dxfId="669" priority="213">
      <formula>RIGHT(O1247,2)="  "</formula>
    </cfRule>
    <cfRule type="expression" dxfId="668" priority="214">
      <formula>RIGHT(O1247,1)=" "</formula>
    </cfRule>
  </conditionalFormatting>
  <conditionalFormatting sqref="O1586">
    <cfRule type="expression" dxfId="667" priority="179">
      <formula>RIGHT(O1586,2)="  "</formula>
    </cfRule>
    <cfRule type="expression" dxfId="666" priority="180">
      <formula>RIGHT(O1586,1)=" "</formula>
    </cfRule>
  </conditionalFormatting>
  <conditionalFormatting sqref="Q2022:Q2028 Q2030:Q2041">
    <cfRule type="expression" dxfId="665" priority="171">
      <formula>RIGHT(Q2022,2)="  "</formula>
    </cfRule>
    <cfRule type="expression" dxfId="664" priority="172">
      <formula>RIGHT(Q2022,1)=" "</formula>
    </cfRule>
  </conditionalFormatting>
  <conditionalFormatting sqref="O1585 O1591:O1604 O1587">
    <cfRule type="expression" dxfId="663" priority="205">
      <formula>RIGHT(O1585,2)="  "</formula>
    </cfRule>
    <cfRule type="expression" dxfId="662" priority="206">
      <formula>RIGHT(O1585,1)=" "</formula>
    </cfRule>
  </conditionalFormatting>
  <conditionalFormatting sqref="Q1585">
    <cfRule type="expression" dxfId="661" priority="203">
      <formula>RIGHT(Q1585,2)="  "</formula>
    </cfRule>
    <cfRule type="expression" dxfId="660" priority="204">
      <formula>RIGHT(Q1585,1)=" "</formula>
    </cfRule>
  </conditionalFormatting>
  <conditionalFormatting sqref="Q1586">
    <cfRule type="expression" dxfId="659" priority="201">
      <formula>RIGHT(Q1586,2)="  "</formula>
    </cfRule>
    <cfRule type="expression" dxfId="658" priority="202">
      <formula>RIGHT(Q1586,1)=" "</formula>
    </cfRule>
  </conditionalFormatting>
  <conditionalFormatting sqref="Q1587">
    <cfRule type="expression" dxfId="657" priority="199">
      <formula>RIGHT(Q1587,2)="  "</formula>
    </cfRule>
    <cfRule type="expression" dxfId="656" priority="200">
      <formula>RIGHT(Q1587,1)=" "</formula>
    </cfRule>
  </conditionalFormatting>
  <conditionalFormatting sqref="O1588:O1590">
    <cfRule type="expression" dxfId="655" priority="197">
      <formula>RIGHT(O1588,2)="  "</formula>
    </cfRule>
    <cfRule type="expression" dxfId="654" priority="198">
      <formula>RIGHT(O1588,1)=" "</formula>
    </cfRule>
  </conditionalFormatting>
  <conditionalFormatting sqref="O1562">
    <cfRule type="expression" dxfId="653" priority="195">
      <formula>RIGHT(O1562,2)="  "</formula>
    </cfRule>
    <cfRule type="expression" dxfId="652" priority="196">
      <formula>RIGHT(O1562,1)=" "</formula>
    </cfRule>
  </conditionalFormatting>
  <conditionalFormatting sqref="O1570">
    <cfRule type="expression" dxfId="651" priority="193">
      <formula>RIGHT(O1570,2)="  "</formula>
    </cfRule>
    <cfRule type="expression" dxfId="650" priority="194">
      <formula>RIGHT(O1570,1)=" "</formula>
    </cfRule>
  </conditionalFormatting>
  <conditionalFormatting sqref="O1569">
    <cfRule type="expression" dxfId="649" priority="191">
      <formula>RIGHT(O1569,2)="  "</formula>
    </cfRule>
    <cfRule type="expression" dxfId="648" priority="192">
      <formula>RIGHT(O1569,1)=" "</formula>
    </cfRule>
  </conditionalFormatting>
  <conditionalFormatting sqref="Q1561">
    <cfRule type="expression" dxfId="647" priority="189">
      <formula>RIGHT(Q1561,2)="  "</formula>
    </cfRule>
    <cfRule type="expression" dxfId="646" priority="190">
      <formula>RIGHT(Q1561,1)=" "</formula>
    </cfRule>
  </conditionalFormatting>
  <conditionalFormatting sqref="Q1562">
    <cfRule type="expression" dxfId="645" priority="187">
      <formula>RIGHT(Q1562,2)="  "</formula>
    </cfRule>
    <cfRule type="expression" dxfId="644" priority="188">
      <formula>RIGHT(Q1562,1)=" "</formula>
    </cfRule>
  </conditionalFormatting>
  <conditionalFormatting sqref="Q1563">
    <cfRule type="expression" dxfId="643" priority="185">
      <formula>RIGHT(Q1563,2)="  "</formula>
    </cfRule>
    <cfRule type="expression" dxfId="642" priority="186">
      <formula>RIGHT(Q1563,1)=" "</formula>
    </cfRule>
  </conditionalFormatting>
  <conditionalFormatting sqref="O1565:O1567">
    <cfRule type="expression" dxfId="641" priority="183">
      <formula>RIGHT(O1565,2)="  "</formula>
    </cfRule>
    <cfRule type="expression" dxfId="640" priority="184">
      <formula>RIGHT(O1565,1)=" "</formula>
    </cfRule>
  </conditionalFormatting>
  <conditionalFormatting sqref="O2022:O2023 O2025:O2038">
    <cfRule type="expression" dxfId="639" priority="173">
      <formula>RIGHT(O2022,2)="  "</formula>
    </cfRule>
    <cfRule type="expression" dxfId="638" priority="174">
      <formula>RIGHT(O2022,1)=" "</formula>
    </cfRule>
  </conditionalFormatting>
  <conditionalFormatting sqref="Q2029">
    <cfRule type="expression" dxfId="637" priority="167">
      <formula>RIGHT(Q2029,2)="  "</formula>
    </cfRule>
    <cfRule type="expression" dxfId="636" priority="168">
      <formula>RIGHT(Q2029,1)=" "</formula>
    </cfRule>
  </conditionalFormatting>
  <conditionalFormatting sqref="O2016:O2017 O2000">
    <cfRule type="expression" dxfId="635" priority="165">
      <formula>RIGHT(O2000,2)="  "</formula>
    </cfRule>
    <cfRule type="expression" dxfId="634" priority="166">
      <formula>RIGHT(O2000,1)=" "</formula>
    </cfRule>
  </conditionalFormatting>
  <conditionalFormatting sqref="Q1998:Q2004 Q2006:Q2017">
    <cfRule type="expression" dxfId="633" priority="161">
      <formula>RIGHT(Q1998,2)="  "</formula>
    </cfRule>
    <cfRule type="expression" dxfId="632" priority="162">
      <formula>RIGHT(Q1998,1)=" "</formula>
    </cfRule>
  </conditionalFormatting>
  <conditionalFormatting sqref="O1998:O1999 O2001:O2014">
    <cfRule type="expression" dxfId="631" priority="163">
      <formula>RIGHT(O1998,2)="  "</formula>
    </cfRule>
    <cfRule type="expression" dxfId="630" priority="164">
      <formula>RIGHT(O1998,1)=" "</formula>
    </cfRule>
  </conditionalFormatting>
  <conditionalFormatting sqref="Q2005">
    <cfRule type="expression" dxfId="629" priority="159">
      <formula>RIGHT(Q2005,2)="  "</formula>
    </cfRule>
    <cfRule type="expression" dxfId="628" priority="160">
      <formula>RIGHT(Q2005,1)=" "</formula>
    </cfRule>
  </conditionalFormatting>
  <conditionalFormatting sqref="O237:O256">
    <cfRule type="expression" dxfId="627" priority="157">
      <formula>RIGHT(O237,2)="  "</formula>
    </cfRule>
    <cfRule type="expression" dxfId="626" priority="158">
      <formula>RIGHT(O237,1)=" "</formula>
    </cfRule>
  </conditionalFormatting>
  <conditionalFormatting sqref="Q237:Q256">
    <cfRule type="expression" dxfId="625" priority="155">
      <formula>RIGHT(Q237,2)="  "</formula>
    </cfRule>
    <cfRule type="expression" dxfId="624" priority="156">
      <formula>RIGHT(Q237,1)=" "</formula>
    </cfRule>
  </conditionalFormatting>
  <conditionalFormatting sqref="O1658:O1677">
    <cfRule type="expression" dxfId="623" priority="153">
      <formula>RIGHT(O1658,2)="  "</formula>
    </cfRule>
    <cfRule type="expression" dxfId="622" priority="154">
      <formula>RIGHT(O1658,1)=" "</formula>
    </cfRule>
  </conditionalFormatting>
  <conditionalFormatting sqref="O1295:O1314">
    <cfRule type="expression" dxfId="621" priority="151">
      <formula>RIGHT(O1295,2)="  "</formula>
    </cfRule>
    <cfRule type="expression" dxfId="620" priority="152">
      <formula>RIGHT(O1295,1)=" "</formula>
    </cfRule>
  </conditionalFormatting>
  <conditionalFormatting sqref="O1487:O1506">
    <cfRule type="expression" dxfId="619" priority="147">
      <formula>RIGHT(O1487,2)="  "</formula>
    </cfRule>
    <cfRule type="expression" dxfId="618" priority="148">
      <formula>RIGHT(O1487,1)=" "</formula>
    </cfRule>
  </conditionalFormatting>
  <conditionalFormatting sqref="O1463:O1482">
    <cfRule type="expression" dxfId="617" priority="145">
      <formula>RIGHT(O1463,2)="  "</formula>
    </cfRule>
    <cfRule type="expression" dxfId="616" priority="146">
      <formula>RIGHT(O1463,1)=" "</formula>
    </cfRule>
  </conditionalFormatting>
  <conditionalFormatting sqref="O597:O616">
    <cfRule type="expression" dxfId="615" priority="143">
      <formula>RIGHT(O597,2)="  "</formula>
    </cfRule>
    <cfRule type="expression" dxfId="614" priority="144">
      <formula>RIGHT(O597,1)=" "</formula>
    </cfRule>
  </conditionalFormatting>
  <conditionalFormatting sqref="Q597:Q616">
    <cfRule type="expression" dxfId="613" priority="141">
      <formula>RIGHT(Q597,2)="  "</formula>
    </cfRule>
    <cfRule type="expression" dxfId="612" priority="142">
      <formula>RIGHT(Q597,1)=" "</formula>
    </cfRule>
  </conditionalFormatting>
  <conditionalFormatting sqref="O501:O520">
    <cfRule type="expression" dxfId="611" priority="139">
      <formula>RIGHT(O501,2)="  "</formula>
    </cfRule>
    <cfRule type="expression" dxfId="610" priority="140">
      <formula>RIGHT(O501,1)=" "</formula>
    </cfRule>
  </conditionalFormatting>
  <conditionalFormatting sqref="Q501:Q520">
    <cfRule type="expression" dxfId="609" priority="137">
      <formula>RIGHT(Q501,2)="  "</formula>
    </cfRule>
    <cfRule type="expression" dxfId="608" priority="138">
      <formula>RIGHT(Q501,1)=" "</formula>
    </cfRule>
  </conditionalFormatting>
  <conditionalFormatting sqref="O741:O760">
    <cfRule type="expression" dxfId="607" priority="135">
      <formula>RIGHT(O741,2)="  "</formula>
    </cfRule>
    <cfRule type="expression" dxfId="606" priority="136">
      <formula>RIGHT(O741,1)=" "</formula>
    </cfRule>
  </conditionalFormatting>
  <conditionalFormatting sqref="Q741:Q760">
    <cfRule type="expression" dxfId="605" priority="133">
      <formula>RIGHT(Q741,2)="  "</formula>
    </cfRule>
    <cfRule type="expression" dxfId="604" priority="134">
      <formula>RIGHT(Q741,1)=" "</formula>
    </cfRule>
  </conditionalFormatting>
  <conditionalFormatting sqref="O669:O688">
    <cfRule type="expression" dxfId="603" priority="130">
      <formula>RIGHT(O669,2)="  "</formula>
    </cfRule>
    <cfRule type="expression" dxfId="602" priority="131">
      <formula>RIGHT(O669,1)=" "</formula>
    </cfRule>
  </conditionalFormatting>
  <conditionalFormatting sqref="Q669:Q688">
    <cfRule type="expression" dxfId="601" priority="128">
      <formula>RIGHT(Q669,2)="  "</formula>
    </cfRule>
    <cfRule type="expression" dxfId="600" priority="129">
      <formula>RIGHT(Q669,1)=" "</formula>
    </cfRule>
  </conditionalFormatting>
  <conditionalFormatting sqref="O333:O352">
    <cfRule type="expression" dxfId="599" priority="125">
      <formula>RIGHT(O333,2)="  "</formula>
    </cfRule>
    <cfRule type="expression" dxfId="598" priority="126">
      <formula>RIGHT(O333,1)=" "</formula>
    </cfRule>
  </conditionalFormatting>
  <conditionalFormatting sqref="Q333:Q352">
    <cfRule type="expression" dxfId="597" priority="123">
      <formula>RIGHT(Q333,2)="  "</formula>
    </cfRule>
    <cfRule type="expression" dxfId="596" priority="124">
      <formula>RIGHT(Q333,1)=" "</formula>
    </cfRule>
  </conditionalFormatting>
  <conditionalFormatting sqref="O357:O376">
    <cfRule type="expression" dxfId="595" priority="120">
      <formula>RIGHT(O357,2)="  "</formula>
    </cfRule>
    <cfRule type="expression" dxfId="594" priority="121">
      <formula>RIGHT(O357,1)=" "</formula>
    </cfRule>
  </conditionalFormatting>
  <conditionalFormatting sqref="Q357:Q376">
    <cfRule type="expression" dxfId="593" priority="118">
      <formula>RIGHT(Q357,2)="  "</formula>
    </cfRule>
    <cfRule type="expression" dxfId="592" priority="119">
      <formula>RIGHT(Q357,1)=" "</formula>
    </cfRule>
  </conditionalFormatting>
  <conditionalFormatting sqref="O405:O424">
    <cfRule type="expression" dxfId="591" priority="115">
      <formula>RIGHT(O405,2)="  "</formula>
    </cfRule>
    <cfRule type="expression" dxfId="590" priority="116">
      <formula>RIGHT(O405,1)=" "</formula>
    </cfRule>
  </conditionalFormatting>
  <conditionalFormatting sqref="Q405:Q424">
    <cfRule type="expression" dxfId="589" priority="113">
      <formula>RIGHT(Q405,2)="  "</formula>
    </cfRule>
    <cfRule type="expression" dxfId="588" priority="114">
      <formula>RIGHT(Q405,1)=" "</formula>
    </cfRule>
  </conditionalFormatting>
  <conditionalFormatting sqref="O2070:O2089">
    <cfRule type="expression" dxfId="587" priority="110">
      <formula>RIGHT(O2070,2)="  "</formula>
    </cfRule>
    <cfRule type="expression" dxfId="586"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AU2068:XFD2601 AU1923:XFD2043 AU667:XFD1898 J2602:XFD1048576 J17:XFD18 B2:H8 J2:XFD14 AP2118:AT2601 AU25:XFD474 AO15 J19:AO474 AV19:XFD24 A16:H16 AW15:XFD16 J16:AO16 B10:H11 B9:C9 E9:H9 J1:AO1 AR1:XFD1 J2068:AO2601">
    <cfRule type="expression" dxfId="585" priority="108">
      <formula>IF(ROW() = ROW(), TRUE, FALSE)</formula>
    </cfRule>
  </conditionalFormatting>
  <conditionalFormatting sqref="O813:O832">
    <cfRule type="expression" dxfId="584" priority="106">
      <formula>RIGHT(O813,2)="  "</formula>
    </cfRule>
    <cfRule type="expression" dxfId="583" priority="107">
      <formula>RIGHT(O813,1)=" "</formula>
    </cfRule>
  </conditionalFormatting>
  <conditionalFormatting sqref="Q813:Q832">
    <cfRule type="expression" dxfId="582" priority="104">
      <formula>RIGHT(Q813,2)="  "</formula>
    </cfRule>
    <cfRule type="expression" dxfId="581" priority="105">
      <formula>RIGHT(Q813,1)=" "</formula>
    </cfRule>
  </conditionalFormatting>
  <conditionalFormatting sqref="D499:D570 D595:D642 D2068:D1048576 D667:D1898 D1923:D2043 D1:D8 D13:D474 D10:D11">
    <cfRule type="cellIs" dxfId="580" priority="101" operator="equal">
      <formula>"EITHER"</formula>
    </cfRule>
    <cfRule type="cellIs" dxfId="579" priority="102" operator="equal">
      <formula>"MSSB"</formula>
    </cfRule>
    <cfRule type="cellIs" dxfId="578" priority="103" operator="equal">
      <formula>"LOCAL"</formula>
    </cfRule>
  </conditionalFormatting>
  <conditionalFormatting sqref="D8 D10:D11">
    <cfRule type="cellIs" dxfId="577" priority="75" operator="notEqual">
      <formula>0</formula>
    </cfRule>
  </conditionalFormatting>
  <conditionalFormatting sqref="D475:D498">
    <cfRule type="cellIs" dxfId="576" priority="67" operator="equal">
      <formula>"EITHER"</formula>
    </cfRule>
    <cfRule type="cellIs" dxfId="575" priority="68" operator="equal">
      <formula>"MSSB"</formula>
    </cfRule>
    <cfRule type="cellIs" dxfId="574" priority="69" operator="equal">
      <formula>"LOCAL"</formula>
    </cfRule>
  </conditionalFormatting>
  <conditionalFormatting sqref="D571:D594">
    <cfRule type="cellIs" dxfId="573" priority="56" operator="equal">
      <formula>"EITHER"</formula>
    </cfRule>
    <cfRule type="cellIs" dxfId="572" priority="57" operator="equal">
      <formula>"MSSB"</formula>
    </cfRule>
    <cfRule type="cellIs" dxfId="571" priority="58" operator="equal">
      <formula>"LOCAL"</formula>
    </cfRule>
  </conditionalFormatting>
  <conditionalFormatting sqref="D2044:D2067">
    <cfRule type="cellIs" dxfId="570" priority="49" operator="equal">
      <formula>"EITHER"</formula>
    </cfRule>
    <cfRule type="cellIs" dxfId="569" priority="50" operator="equal">
      <formula>"MSSB"</formula>
    </cfRule>
    <cfRule type="cellIs" dxfId="568" priority="51" operator="equal">
      <formula>"LOCAL"</formula>
    </cfRule>
  </conditionalFormatting>
  <conditionalFormatting sqref="D643:D666">
    <cfRule type="cellIs" dxfId="567" priority="40" operator="equal">
      <formula>"EITHER"</formula>
    </cfRule>
    <cfRule type="cellIs" dxfId="566" priority="41" operator="equal">
      <formula>"MSSB"</formula>
    </cfRule>
    <cfRule type="cellIs" dxfId="565" priority="42" operator="equal">
      <formula>"LOCAL"</formula>
    </cfRule>
  </conditionalFormatting>
  <conditionalFormatting sqref="O1901:O1920">
    <cfRule type="expression" dxfId="564" priority="37">
      <formula>RIGHT(O1901,2)="  "</formula>
    </cfRule>
    <cfRule type="expression" dxfId="563" priority="38">
      <formula>RIGHT(O1901,1)=" "</formula>
    </cfRule>
  </conditionalFormatting>
  <conditionalFormatting sqref="A1899:H1922 J1899:AO1922 AU1899:XFD1922">
    <cfRule type="expression" dxfId="562" priority="36">
      <formula>IF(ROW() = ROW(), TRUE, FALSE)</formula>
    </cfRule>
  </conditionalFormatting>
  <conditionalFormatting sqref="D1899:D1922">
    <cfRule type="cellIs" dxfId="561" priority="33" operator="equal">
      <formula>"EITHER"</formula>
    </cfRule>
    <cfRule type="cellIs" dxfId="560" priority="34" operator="equal">
      <formula>"MSSB"</formula>
    </cfRule>
    <cfRule type="cellIs" dxfId="559" priority="35" operator="equal">
      <formula>"LOCAL"</formula>
    </cfRule>
  </conditionalFormatting>
  <conditionalFormatting sqref="AP19:AU19 AU20:AU24 AP20:AT2117">
    <cfRule type="expression" dxfId="558" priority="30">
      <formula>IF(ROW() = ROW(), TRUE, FALSE)</formula>
    </cfRule>
  </conditionalFormatting>
  <conditionalFormatting sqref="AP16:AV16 AP15:AS15 AU15:AV15">
    <cfRule type="expression" dxfId="557" priority="29">
      <formula>IF(ROW() = ROW(), TRUE, FALSE)</formula>
    </cfRule>
  </conditionalFormatting>
  <conditionalFormatting sqref="D9">
    <cfRule type="expression" dxfId="556" priority="18">
      <formula>IF(ROW() = ROW(), TRUE, FALSE)</formula>
    </cfRule>
  </conditionalFormatting>
  <conditionalFormatting sqref="D9">
    <cfRule type="cellIs" dxfId="555" priority="15" operator="equal">
      <formula>"EITHER"</formula>
    </cfRule>
    <cfRule type="cellIs" dxfId="554" priority="16" operator="equal">
      <formula>"MSSB"</formula>
    </cfRule>
    <cfRule type="cellIs" dxfId="553" priority="17" operator="equal">
      <formula>"LOCAL"</formula>
    </cfRule>
  </conditionalFormatting>
  <conditionalFormatting sqref="D9">
    <cfRule type="cellIs" dxfId="552" priority="14" operator="notEqual">
      <formula>0</formula>
    </cfRule>
  </conditionalFormatting>
  <conditionalFormatting sqref="AT15">
    <cfRule type="expression" dxfId="551" priority="12">
      <formula>IF(ROW() = ROW(), TRUE, FALSE)</formula>
    </cfRule>
  </conditionalFormatting>
  <conditionalFormatting sqref="I11">
    <cfRule type="expression" dxfId="550" priority="11">
      <formula>IF(ROW() = ROW(), TRUE, FALSE)</formula>
    </cfRule>
  </conditionalFormatting>
  <conditionalFormatting sqref="I11">
    <cfRule type="cellIs" dxfId="549" priority="8" operator="equal">
      <formula>"EITHER"</formula>
    </cfRule>
    <cfRule type="cellIs" dxfId="548" priority="9" operator="equal">
      <formula>"MSSB"</formula>
    </cfRule>
    <cfRule type="cellIs" dxfId="547" priority="10" operator="equal">
      <formula>"LOCAL"</formula>
    </cfRule>
  </conditionalFormatting>
  <conditionalFormatting sqref="I499:I570 I595:I642 I1:I7 I667:I1898 I1923:I2043 I11:I474 I2068:I1048576">
    <cfRule type="cellIs" dxfId="546" priority="7" operator="notEqual">
      <formula>0</formula>
    </cfRule>
  </conditionalFormatting>
  <conditionalFormatting sqref="I475:I498">
    <cfRule type="cellIs" dxfId="545" priority="6" operator="notEqual">
      <formula>0</formula>
    </cfRule>
  </conditionalFormatting>
  <conditionalFormatting sqref="I571:I594">
    <cfRule type="cellIs" dxfId="544" priority="5" operator="notEqual">
      <formula>0</formula>
    </cfRule>
  </conditionalFormatting>
  <conditionalFormatting sqref="I2044:I2067">
    <cfRule type="cellIs" dxfId="543" priority="4" operator="notEqual">
      <formula>0</formula>
    </cfRule>
  </conditionalFormatting>
  <conditionalFormatting sqref="I643:I666">
    <cfRule type="cellIs" dxfId="542" priority="3" operator="notEqual">
      <formula>0</formula>
    </cfRule>
  </conditionalFormatting>
  <conditionalFormatting sqref="I1899:I1922">
    <cfRule type="cellIs" dxfId="541" priority="2" operator="notEqual">
      <formula>0</formula>
    </cfRule>
  </conditionalFormatting>
  <conditionalFormatting sqref="AP1:AQ1">
    <cfRule type="expression" dxfId="540" priority="1">
      <formula>IF(ROW() = ROW(), TRUE, FALSE)</formula>
    </cfRule>
  </conditionalFormatting>
  <dataValidations disablePrompts="1"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42"/>
  <sheetViews>
    <sheetView workbookViewId="0"/>
  </sheetViews>
  <sheetFormatPr defaultRowHeight="14.6" x14ac:dyDescent="0.4"/>
  <cols>
    <col min="2" max="2" width="27.53515625" customWidth="1"/>
    <col min="18" max="18" width="24.69140625" customWidth="1"/>
    <col min="19" max="19" width="10.074218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879</v>
      </c>
    </row>
    <row r="3" spans="1:22" x14ac:dyDescent="0.4">
      <c r="A3" s="114"/>
      <c r="B3" s="316" t="s">
        <v>844</v>
      </c>
      <c r="C3" s="316" t="s">
        <v>843</v>
      </c>
      <c r="D3" s="316" t="s">
        <v>842</v>
      </c>
      <c r="E3" s="316" t="s">
        <v>841</v>
      </c>
      <c r="F3" s="316" t="s">
        <v>840</v>
      </c>
      <c r="G3" s="114" t="s">
        <v>368</v>
      </c>
      <c r="I3" s="114"/>
      <c r="J3" s="316" t="s">
        <v>844</v>
      </c>
      <c r="K3" s="316" t="s">
        <v>843</v>
      </c>
      <c r="L3" s="316" t="s">
        <v>842</v>
      </c>
      <c r="M3" s="316" t="s">
        <v>841</v>
      </c>
      <c r="N3" s="316" t="s">
        <v>840</v>
      </c>
      <c r="O3" s="114" t="s">
        <v>864</v>
      </c>
      <c r="Q3" s="114"/>
      <c r="R3" s="114" t="str">
        <f t="shared" ref="R3" si="0">J3</f>
        <v>Part</v>
      </c>
      <c r="S3" s="114" t="str">
        <f t="shared" ref="S3" si="1">K3</f>
        <v>Qty</v>
      </c>
      <c r="T3" s="114" t="str">
        <f t="shared" ref="T3" si="2">L3</f>
        <v>Cost  ea</v>
      </c>
      <c r="U3" s="114"/>
      <c r="V3" s="114"/>
    </row>
    <row r="4" spans="1:22" x14ac:dyDescent="0.4">
      <c r="A4" s="114" t="s">
        <v>770</v>
      </c>
      <c r="B4" s="312" t="s">
        <v>839</v>
      </c>
      <c r="C4" s="312">
        <v>0</v>
      </c>
      <c r="D4" s="312">
        <v>714</v>
      </c>
      <c r="E4" s="312">
        <f t="shared" ref="E4:E31" si="3">SUM(D4*C4)</f>
        <v>0</v>
      </c>
      <c r="F4" s="311">
        <v>0</v>
      </c>
      <c r="G4" s="114">
        <f t="shared" ref="G4:G31" si="4">SUM(E4+(E4*F4))</f>
        <v>0</v>
      </c>
      <c r="I4" s="114" t="s">
        <v>770</v>
      </c>
      <c r="J4" s="326" t="s">
        <v>839</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833</v>
      </c>
      <c r="B5" s="312" t="s">
        <v>838</v>
      </c>
      <c r="C5" s="312">
        <v>0</v>
      </c>
      <c r="D5" s="312">
        <v>100</v>
      </c>
      <c r="E5" s="312">
        <f t="shared" si="3"/>
        <v>0</v>
      </c>
      <c r="F5" s="311">
        <v>0</v>
      </c>
      <c r="G5" s="114">
        <f t="shared" si="4"/>
        <v>0</v>
      </c>
      <c r="I5" s="114" t="s">
        <v>833</v>
      </c>
      <c r="J5" s="326" t="s">
        <v>838</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770</v>
      </c>
      <c r="B6" s="312" t="s">
        <v>837</v>
      </c>
      <c r="C6" s="312">
        <v>0</v>
      </c>
      <c r="D6" s="312">
        <v>28</v>
      </c>
      <c r="E6" s="312">
        <f t="shared" si="3"/>
        <v>0</v>
      </c>
      <c r="F6" s="311">
        <v>0</v>
      </c>
      <c r="G6" s="114">
        <f t="shared" si="4"/>
        <v>0</v>
      </c>
      <c r="I6" s="114" t="s">
        <v>770</v>
      </c>
      <c r="J6" s="326" t="s">
        <v>837</v>
      </c>
      <c r="K6" s="326">
        <v>0</v>
      </c>
      <c r="L6" s="326">
        <v>28</v>
      </c>
      <c r="M6" s="326">
        <f t="shared" si="5"/>
        <v>0</v>
      </c>
      <c r="N6" s="311">
        <v>0</v>
      </c>
      <c r="O6" s="114">
        <f t="shared" si="6"/>
        <v>0</v>
      </c>
      <c r="Q6" s="114"/>
      <c r="R6" s="114"/>
      <c r="S6" s="114"/>
      <c r="T6" s="114"/>
    </row>
    <row r="7" spans="1:22" x14ac:dyDescent="0.4">
      <c r="A7" s="114" t="s">
        <v>770</v>
      </c>
      <c r="B7" s="312" t="s">
        <v>836</v>
      </c>
      <c r="C7" s="312">
        <v>0</v>
      </c>
      <c r="D7" s="312">
        <v>14</v>
      </c>
      <c r="E7" s="312">
        <f t="shared" si="3"/>
        <v>0</v>
      </c>
      <c r="F7" s="311">
        <v>0</v>
      </c>
      <c r="G7" s="114">
        <f t="shared" si="4"/>
        <v>0</v>
      </c>
      <c r="I7" s="114" t="s">
        <v>770</v>
      </c>
      <c r="J7" s="326" t="s">
        <v>836</v>
      </c>
      <c r="K7" s="326">
        <v>0</v>
      </c>
      <c r="L7" s="326">
        <v>14</v>
      </c>
      <c r="M7" s="326">
        <f t="shared" si="5"/>
        <v>0</v>
      </c>
      <c r="N7" s="311">
        <v>0</v>
      </c>
      <c r="O7" s="114">
        <f t="shared" si="6"/>
        <v>0</v>
      </c>
      <c r="Q7" s="114"/>
      <c r="R7" s="114"/>
      <c r="S7" s="114"/>
      <c r="T7" s="114"/>
    </row>
    <row r="8" spans="1:22" x14ac:dyDescent="0.4">
      <c r="A8" s="114" t="s">
        <v>833</v>
      </c>
      <c r="B8" s="312" t="s">
        <v>835</v>
      </c>
      <c r="C8" s="312">
        <v>0</v>
      </c>
      <c r="D8" s="312">
        <v>50</v>
      </c>
      <c r="E8" s="312">
        <f t="shared" si="3"/>
        <v>0</v>
      </c>
      <c r="F8" s="311">
        <v>0</v>
      </c>
      <c r="G8" s="114">
        <f t="shared" si="4"/>
        <v>0</v>
      </c>
      <c r="I8" s="114" t="s">
        <v>833</v>
      </c>
      <c r="J8" s="326" t="s">
        <v>835</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833</v>
      </c>
      <c r="B9" s="326" t="s">
        <v>854</v>
      </c>
      <c r="C9" s="326">
        <v>0</v>
      </c>
      <c r="D9" s="326">
        <v>40</v>
      </c>
      <c r="E9" s="326">
        <f t="shared" si="3"/>
        <v>0</v>
      </c>
      <c r="F9" s="311">
        <v>0</v>
      </c>
      <c r="G9" s="114">
        <f t="shared" ref="G9" si="12">SUM(E9+(E9*F9))</f>
        <v>0</v>
      </c>
      <c r="I9" s="114" t="s">
        <v>833</v>
      </c>
      <c r="J9" s="326" t="s">
        <v>854</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770</v>
      </c>
      <c r="B10" s="312" t="s">
        <v>834</v>
      </c>
      <c r="C10" s="312">
        <v>0</v>
      </c>
      <c r="D10" s="312">
        <v>67</v>
      </c>
      <c r="E10" s="312">
        <f t="shared" si="3"/>
        <v>0</v>
      </c>
      <c r="F10" s="311">
        <v>0</v>
      </c>
      <c r="G10" s="114">
        <f t="shared" si="4"/>
        <v>0</v>
      </c>
      <c r="I10" s="114" t="s">
        <v>770</v>
      </c>
      <c r="J10" s="326" t="s">
        <v>834</v>
      </c>
      <c r="K10" s="326">
        <v>0</v>
      </c>
      <c r="L10" s="326">
        <v>67</v>
      </c>
      <c r="M10" s="326">
        <f t="shared" si="5"/>
        <v>0</v>
      </c>
      <c r="N10" s="311">
        <v>0</v>
      </c>
      <c r="O10" s="114">
        <f t="shared" si="6"/>
        <v>0</v>
      </c>
      <c r="Q10" s="114"/>
      <c r="R10" s="114"/>
      <c r="S10" s="114"/>
      <c r="T10" s="114"/>
    </row>
    <row r="11" spans="1:22" s="114" customFormat="1" x14ac:dyDescent="0.4">
      <c r="A11" s="327" t="s">
        <v>855</v>
      </c>
      <c r="B11" s="326" t="s">
        <v>856</v>
      </c>
      <c r="C11" s="326">
        <v>0</v>
      </c>
      <c r="D11" s="326">
        <v>500</v>
      </c>
      <c r="E11" s="326">
        <f t="shared" si="3"/>
        <v>0</v>
      </c>
      <c r="F11" s="311">
        <v>0</v>
      </c>
      <c r="G11" s="114">
        <f t="shared" ref="G11:G12" si="13">SUM(E11+(E11*F11))</f>
        <v>0</v>
      </c>
      <c r="I11" s="327" t="s">
        <v>855</v>
      </c>
      <c r="J11" s="326" t="s">
        <v>856</v>
      </c>
      <c r="K11" s="326">
        <v>0</v>
      </c>
      <c r="L11" s="326">
        <v>500</v>
      </c>
      <c r="M11" s="326">
        <f t="shared" si="5"/>
        <v>0</v>
      </c>
      <c r="N11" s="311">
        <v>0</v>
      </c>
      <c r="O11" s="114">
        <f t="shared" si="6"/>
        <v>0</v>
      </c>
    </row>
    <row r="12" spans="1:22" s="114" customFormat="1" x14ac:dyDescent="0.4">
      <c r="A12" s="327" t="s">
        <v>857</v>
      </c>
      <c r="B12" s="326" t="s">
        <v>858</v>
      </c>
      <c r="C12" s="326">
        <v>0</v>
      </c>
      <c r="D12" s="326">
        <v>360</v>
      </c>
      <c r="E12" s="326">
        <f t="shared" si="3"/>
        <v>0</v>
      </c>
      <c r="F12" s="311">
        <v>0</v>
      </c>
      <c r="G12" s="114">
        <f t="shared" si="13"/>
        <v>0</v>
      </c>
      <c r="I12" s="327" t="s">
        <v>857</v>
      </c>
      <c r="J12" s="326" t="s">
        <v>858</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833</v>
      </c>
      <c r="B13" s="312" t="s">
        <v>832</v>
      </c>
      <c r="C13" s="312">
        <v>0</v>
      </c>
      <c r="D13" s="312">
        <v>173.5</v>
      </c>
      <c r="E13" s="312">
        <f t="shared" si="3"/>
        <v>0</v>
      </c>
      <c r="F13" s="311">
        <v>0</v>
      </c>
      <c r="G13" s="114">
        <f t="shared" si="4"/>
        <v>0</v>
      </c>
      <c r="I13" s="114" t="s">
        <v>833</v>
      </c>
      <c r="J13" s="326" t="s">
        <v>832</v>
      </c>
      <c r="K13" s="326">
        <v>0</v>
      </c>
      <c r="L13" s="326">
        <v>173.5</v>
      </c>
      <c r="M13" s="326">
        <f t="shared" si="5"/>
        <v>0</v>
      </c>
      <c r="N13" s="311">
        <v>0</v>
      </c>
      <c r="O13" s="114">
        <f t="shared" si="6"/>
        <v>0</v>
      </c>
      <c r="Q13" s="114"/>
      <c r="R13" s="114"/>
      <c r="S13" s="114"/>
      <c r="T13" s="114"/>
    </row>
    <row r="14" spans="1:22" x14ac:dyDescent="0.4">
      <c r="A14" s="114" t="s">
        <v>770</v>
      </c>
      <c r="B14" s="312" t="s">
        <v>831</v>
      </c>
      <c r="C14" s="312">
        <v>0</v>
      </c>
      <c r="D14" s="312">
        <v>40</v>
      </c>
      <c r="E14" s="312">
        <f t="shared" si="3"/>
        <v>0</v>
      </c>
      <c r="F14" s="311">
        <v>0</v>
      </c>
      <c r="G14" s="114">
        <f t="shared" si="4"/>
        <v>0</v>
      </c>
      <c r="I14" s="114" t="s">
        <v>770</v>
      </c>
      <c r="J14" s="326" t="s">
        <v>831</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814</v>
      </c>
      <c r="B15" s="326" t="s">
        <v>859</v>
      </c>
      <c r="C15" s="326">
        <v>0</v>
      </c>
      <c r="D15" s="326">
        <v>120</v>
      </c>
      <c r="E15" s="326">
        <f t="shared" si="3"/>
        <v>0</v>
      </c>
      <c r="F15" s="311">
        <v>0</v>
      </c>
      <c r="G15" s="114">
        <f t="shared" ref="G15:G17" si="14">SUM(E15+(E15*F15))</f>
        <v>0</v>
      </c>
      <c r="I15" s="114" t="s">
        <v>814</v>
      </c>
      <c r="J15" s="326" t="s">
        <v>859</v>
      </c>
      <c r="K15" s="326">
        <v>0</v>
      </c>
      <c r="L15" s="326">
        <v>120</v>
      </c>
      <c r="M15" s="326">
        <f t="shared" si="5"/>
        <v>0</v>
      </c>
      <c r="N15" s="311">
        <v>0</v>
      </c>
      <c r="O15" s="114">
        <f t="shared" si="6"/>
        <v>0</v>
      </c>
    </row>
    <row r="16" spans="1:22" s="114" customFormat="1" x14ac:dyDescent="0.4">
      <c r="A16" s="114" t="s">
        <v>833</v>
      </c>
      <c r="B16" s="326" t="s">
        <v>860</v>
      </c>
      <c r="C16" s="326">
        <v>0</v>
      </c>
      <c r="D16" s="326">
        <v>500</v>
      </c>
      <c r="E16" s="326">
        <f t="shared" si="3"/>
        <v>0</v>
      </c>
      <c r="F16" s="311">
        <v>0</v>
      </c>
      <c r="G16" s="114">
        <f t="shared" si="14"/>
        <v>0</v>
      </c>
      <c r="I16" s="114" t="s">
        <v>833</v>
      </c>
      <c r="J16" s="326" t="s">
        <v>860</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833</v>
      </c>
      <c r="B17" s="326" t="s">
        <v>861</v>
      </c>
      <c r="C17" s="326">
        <v>0</v>
      </c>
      <c r="D17" s="326">
        <v>155</v>
      </c>
      <c r="E17" s="326">
        <f t="shared" si="3"/>
        <v>0</v>
      </c>
      <c r="F17" s="311">
        <v>0</v>
      </c>
      <c r="G17" s="114">
        <f t="shared" si="14"/>
        <v>0</v>
      </c>
      <c r="I17" s="114" t="s">
        <v>833</v>
      </c>
      <c r="J17" s="326" t="s">
        <v>861</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830</v>
      </c>
      <c r="B18" s="314" t="s">
        <v>829</v>
      </c>
      <c r="C18" s="314">
        <v>0</v>
      </c>
      <c r="D18" s="314">
        <v>110</v>
      </c>
      <c r="E18" s="312">
        <f t="shared" si="3"/>
        <v>0</v>
      </c>
      <c r="F18" s="311">
        <v>0</v>
      </c>
      <c r="G18" s="114">
        <f t="shared" si="4"/>
        <v>0</v>
      </c>
      <c r="I18" s="114" t="s">
        <v>830</v>
      </c>
      <c r="J18" s="314" t="s">
        <v>829</v>
      </c>
      <c r="K18" s="314">
        <v>0</v>
      </c>
      <c r="L18" s="314">
        <v>110</v>
      </c>
      <c r="M18" s="314">
        <f t="shared" si="5"/>
        <v>0</v>
      </c>
      <c r="N18" s="311">
        <v>0</v>
      </c>
      <c r="O18" s="114">
        <f t="shared" si="6"/>
        <v>0</v>
      </c>
      <c r="Q18" s="114"/>
      <c r="R18" s="114"/>
      <c r="S18" s="114"/>
      <c r="T18" s="114"/>
    </row>
    <row r="19" spans="1:20" x14ac:dyDescent="0.4">
      <c r="A19" s="114" t="s">
        <v>827</v>
      </c>
      <c r="B19" s="314" t="s">
        <v>828</v>
      </c>
      <c r="C19" s="314">
        <v>0</v>
      </c>
      <c r="D19" s="314">
        <v>110</v>
      </c>
      <c r="E19" s="312">
        <f t="shared" si="3"/>
        <v>0</v>
      </c>
      <c r="F19" s="311">
        <v>0</v>
      </c>
      <c r="G19" s="114">
        <f t="shared" si="4"/>
        <v>0</v>
      </c>
      <c r="I19" s="114" t="s">
        <v>827</v>
      </c>
      <c r="J19" s="314" t="s">
        <v>828</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827</v>
      </c>
      <c r="B20" s="314" t="s">
        <v>826</v>
      </c>
      <c r="C20" s="314">
        <v>0</v>
      </c>
      <c r="D20" s="314">
        <v>110</v>
      </c>
      <c r="E20" s="312">
        <f t="shared" si="3"/>
        <v>0</v>
      </c>
      <c r="F20" s="311">
        <v>0</v>
      </c>
      <c r="G20" s="114">
        <f t="shared" si="4"/>
        <v>0</v>
      </c>
      <c r="I20" s="114" t="s">
        <v>865</v>
      </c>
      <c r="J20" s="314" t="s">
        <v>825</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824</v>
      </c>
      <c r="B21" s="314" t="s">
        <v>825</v>
      </c>
      <c r="C21" s="314">
        <v>0</v>
      </c>
      <c r="D21" s="314">
        <v>85</v>
      </c>
      <c r="E21" s="312">
        <f t="shared" si="3"/>
        <v>0</v>
      </c>
      <c r="F21" s="311">
        <v>0</v>
      </c>
      <c r="G21" s="114">
        <f t="shared" si="4"/>
        <v>0</v>
      </c>
      <c r="I21" s="114" t="s">
        <v>824</v>
      </c>
      <c r="J21" s="314" t="s">
        <v>823</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824</v>
      </c>
      <c r="B22" s="314" t="s">
        <v>823</v>
      </c>
      <c r="C22" s="314">
        <v>0</v>
      </c>
      <c r="D22" s="314">
        <v>85</v>
      </c>
      <c r="E22" s="312">
        <f t="shared" si="3"/>
        <v>0</v>
      </c>
      <c r="F22" s="311">
        <v>0</v>
      </c>
      <c r="G22" s="114">
        <f t="shared" si="4"/>
        <v>0</v>
      </c>
      <c r="I22" s="114" t="s">
        <v>866</v>
      </c>
      <c r="J22" s="314" t="s">
        <v>867</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822</v>
      </c>
      <c r="B23" s="315" t="s">
        <v>821</v>
      </c>
      <c r="C23" s="315">
        <v>0</v>
      </c>
      <c r="D23" s="315">
        <v>110</v>
      </c>
      <c r="E23" s="312">
        <f t="shared" si="3"/>
        <v>0</v>
      </c>
      <c r="F23" s="311">
        <v>0</v>
      </c>
      <c r="G23" s="114">
        <f t="shared" si="4"/>
        <v>0</v>
      </c>
      <c r="I23" s="114" t="s">
        <v>868</v>
      </c>
      <c r="J23" s="314" t="s">
        <v>869</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820</v>
      </c>
      <c r="B24" s="315" t="s">
        <v>802</v>
      </c>
      <c r="C24" s="315">
        <v>0</v>
      </c>
      <c r="D24" s="315">
        <v>110</v>
      </c>
      <c r="E24" s="312">
        <f t="shared" si="3"/>
        <v>0</v>
      </c>
      <c r="F24" s="311">
        <v>0</v>
      </c>
      <c r="G24" s="114">
        <f t="shared" si="4"/>
        <v>0</v>
      </c>
      <c r="I24" s="114" t="s">
        <v>870</v>
      </c>
      <c r="J24" s="314" t="s">
        <v>716</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819</v>
      </c>
      <c r="B25" s="315" t="s">
        <v>818</v>
      </c>
      <c r="C25" s="315">
        <v>0</v>
      </c>
      <c r="D25" s="315">
        <v>110</v>
      </c>
      <c r="E25" s="312">
        <f t="shared" si="3"/>
        <v>0</v>
      </c>
      <c r="F25" s="311">
        <v>0</v>
      </c>
      <c r="G25" s="114">
        <f t="shared" si="4"/>
        <v>0</v>
      </c>
      <c r="I25" s="114" t="s">
        <v>814</v>
      </c>
      <c r="J25" s="314" t="s">
        <v>813</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816</v>
      </c>
      <c r="B26" s="315" t="s">
        <v>817</v>
      </c>
      <c r="C26" s="315">
        <v>0</v>
      </c>
      <c r="D26" s="315">
        <v>55</v>
      </c>
      <c r="E26" s="312">
        <f t="shared" si="3"/>
        <v>0</v>
      </c>
      <c r="F26" s="311">
        <v>0</v>
      </c>
      <c r="G26" s="114">
        <f t="shared" si="4"/>
        <v>0</v>
      </c>
      <c r="I26" s="114" t="s">
        <v>833</v>
      </c>
      <c r="J26" s="331" t="s">
        <v>871</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816</v>
      </c>
      <c r="B27" s="315" t="s">
        <v>815</v>
      </c>
      <c r="C27" s="315">
        <v>0</v>
      </c>
      <c r="D27" s="315">
        <v>55</v>
      </c>
      <c r="E27" s="312">
        <f t="shared" si="3"/>
        <v>0</v>
      </c>
      <c r="F27" s="311">
        <v>0</v>
      </c>
      <c r="G27" s="114">
        <f t="shared" si="4"/>
        <v>0</v>
      </c>
      <c r="I27" s="114" t="s">
        <v>872</v>
      </c>
      <c r="J27" s="331" t="s">
        <v>873</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814</v>
      </c>
      <c r="B28" s="314" t="s">
        <v>813</v>
      </c>
      <c r="C28" s="314">
        <v>0</v>
      </c>
      <c r="D28" s="314">
        <v>200</v>
      </c>
      <c r="E28" s="312">
        <f t="shared" si="3"/>
        <v>0</v>
      </c>
      <c r="F28" s="311">
        <v>0</v>
      </c>
      <c r="G28" s="114">
        <f t="shared" si="4"/>
        <v>0</v>
      </c>
      <c r="I28" s="114" t="s">
        <v>874</v>
      </c>
      <c r="J28" s="331" t="s">
        <v>875</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810</v>
      </c>
      <c r="B29" s="313" t="s">
        <v>812</v>
      </c>
      <c r="C29" s="313">
        <v>0</v>
      </c>
      <c r="D29" s="313">
        <v>600</v>
      </c>
      <c r="E29" s="312">
        <f t="shared" si="3"/>
        <v>0</v>
      </c>
      <c r="F29" s="311">
        <v>0</v>
      </c>
      <c r="G29" s="114">
        <f t="shared" si="4"/>
        <v>0</v>
      </c>
      <c r="I29" s="114" t="s">
        <v>810</v>
      </c>
      <c r="J29" s="313" t="s">
        <v>812</v>
      </c>
      <c r="K29" s="313">
        <v>0</v>
      </c>
      <c r="L29" s="313">
        <v>600</v>
      </c>
      <c r="M29" s="313">
        <f t="shared" si="5"/>
        <v>0</v>
      </c>
      <c r="N29" s="311">
        <v>0</v>
      </c>
      <c r="O29" s="114">
        <f t="shared" si="6"/>
        <v>0</v>
      </c>
      <c r="Q29" s="114"/>
      <c r="R29" s="114"/>
      <c r="S29" s="114"/>
      <c r="T29" s="114"/>
    </row>
    <row r="30" spans="1:20" x14ac:dyDescent="0.4">
      <c r="A30" s="114" t="s">
        <v>810</v>
      </c>
      <c r="B30" s="313" t="s">
        <v>811</v>
      </c>
      <c r="C30" s="313">
        <v>0</v>
      </c>
      <c r="D30" s="313">
        <v>100</v>
      </c>
      <c r="E30" s="312">
        <f t="shared" si="3"/>
        <v>0</v>
      </c>
      <c r="F30" s="311">
        <v>0</v>
      </c>
      <c r="G30" s="114">
        <f t="shared" si="4"/>
        <v>0</v>
      </c>
      <c r="I30" s="114" t="s">
        <v>810</v>
      </c>
      <c r="J30" s="313" t="s">
        <v>811</v>
      </c>
      <c r="K30" s="313">
        <v>0</v>
      </c>
      <c r="L30" s="313">
        <v>100</v>
      </c>
      <c r="M30" s="313">
        <f t="shared" si="5"/>
        <v>0</v>
      </c>
      <c r="N30" s="311">
        <v>0</v>
      </c>
      <c r="O30" s="114">
        <f t="shared" si="6"/>
        <v>0</v>
      </c>
      <c r="Q30" s="114"/>
      <c r="R30" s="114"/>
      <c r="S30" s="114"/>
      <c r="T30" s="114"/>
    </row>
    <row r="31" spans="1:20" x14ac:dyDescent="0.4">
      <c r="A31" s="114" t="s">
        <v>810</v>
      </c>
      <c r="B31" s="313" t="s">
        <v>809</v>
      </c>
      <c r="C31" s="313">
        <v>0</v>
      </c>
      <c r="D31" s="313">
        <v>200</v>
      </c>
      <c r="E31" s="312">
        <f t="shared" si="3"/>
        <v>0</v>
      </c>
      <c r="F31" s="311">
        <v>0</v>
      </c>
      <c r="G31" s="114">
        <f t="shared" si="4"/>
        <v>0</v>
      </c>
      <c r="I31" s="114" t="s">
        <v>810</v>
      </c>
      <c r="J31" s="313" t="s">
        <v>809</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876</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877</v>
      </c>
      <c r="J33" s="314" t="s">
        <v>878</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912</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803</v>
      </c>
      <c r="C37" s="324"/>
      <c r="D37" s="324"/>
      <c r="E37" s="324"/>
      <c r="F37" s="324"/>
      <c r="G37" s="325"/>
    </row>
    <row r="38" spans="1:20" x14ac:dyDescent="0.4">
      <c r="A38" s="114"/>
      <c r="B38" s="317" t="s">
        <v>808</v>
      </c>
      <c r="C38" s="318"/>
      <c r="D38" s="318"/>
      <c r="E38" s="318"/>
      <c r="F38" s="318"/>
      <c r="G38" s="319"/>
    </row>
    <row r="39" spans="1:20" x14ac:dyDescent="0.4">
      <c r="A39" s="114"/>
      <c r="B39" s="317" t="s">
        <v>807</v>
      </c>
      <c r="C39" s="318"/>
      <c r="D39" s="318"/>
      <c r="E39" s="318"/>
      <c r="F39" s="318"/>
      <c r="G39" s="319">
        <f>SUM(G4:G36)</f>
        <v>0</v>
      </c>
    </row>
    <row r="40" spans="1:20" x14ac:dyDescent="0.4">
      <c r="A40" s="114"/>
      <c r="B40" s="317" t="s">
        <v>806</v>
      </c>
      <c r="C40" s="318"/>
      <c r="D40" s="318"/>
      <c r="E40" s="318"/>
      <c r="F40" s="318"/>
      <c r="G40" s="319"/>
    </row>
    <row r="41" spans="1:20" x14ac:dyDescent="0.4">
      <c r="A41" s="114"/>
      <c r="B41" s="317" t="s">
        <v>805</v>
      </c>
      <c r="C41" s="318"/>
      <c r="D41" s="318"/>
      <c r="E41" s="318"/>
      <c r="F41" s="318"/>
      <c r="G41" s="319"/>
    </row>
    <row r="42" spans="1:20" ht="15" thickBot="1" x14ac:dyDescent="0.45">
      <c r="A42" s="114"/>
      <c r="B42" s="320" t="s">
        <v>804</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heetViews>
  <sheetFormatPr defaultRowHeight="14.6" x14ac:dyDescent="0.4"/>
  <cols>
    <col min="3" max="3" width="15.69140625" customWidth="1"/>
    <col min="4" max="4" width="22.3046875" customWidth="1"/>
  </cols>
  <sheetData>
    <row r="8" spans="3:4" x14ac:dyDescent="0.4">
      <c r="C8" s="121" t="s">
        <v>593</v>
      </c>
      <c r="D8" s="66" t="s">
        <v>426</v>
      </c>
    </row>
    <row r="9" spans="3:4" x14ac:dyDescent="0.4">
      <c r="C9" s="121"/>
      <c r="D9" s="66"/>
    </row>
    <row r="10" spans="3:4" x14ac:dyDescent="0.4">
      <c r="C10" s="121" t="s">
        <v>593</v>
      </c>
      <c r="D10" s="66" t="s">
        <v>413</v>
      </c>
    </row>
    <row r="11" spans="3:4" x14ac:dyDescent="0.4">
      <c r="C11" s="121" t="s">
        <v>593</v>
      </c>
      <c r="D11" s="121" t="s">
        <v>594</v>
      </c>
    </row>
    <row r="12" spans="3:4" x14ac:dyDescent="0.4">
      <c r="C12" s="121"/>
      <c r="D12" s="121"/>
    </row>
    <row r="13" spans="3:4" x14ac:dyDescent="0.4">
      <c r="C13" s="121" t="s">
        <v>593</v>
      </c>
      <c r="D13" s="121" t="s">
        <v>603</v>
      </c>
    </row>
    <row r="14" spans="3:4" x14ac:dyDescent="0.4">
      <c r="C14" s="121" t="s">
        <v>593</v>
      </c>
      <c r="D14" s="121" t="s">
        <v>602</v>
      </c>
    </row>
    <row r="15" spans="3:4" x14ac:dyDescent="0.4">
      <c r="C15" s="121" t="s">
        <v>447</v>
      </c>
      <c r="D15" s="121" t="s">
        <v>601</v>
      </c>
    </row>
    <row r="16" spans="3:4" x14ac:dyDescent="0.4">
      <c r="C16" s="121"/>
      <c r="D16" s="121"/>
    </row>
    <row r="17" spans="3:9" x14ac:dyDescent="0.4">
      <c r="C17" s="121"/>
      <c r="D17" s="121"/>
    </row>
    <row r="18" spans="3:9" x14ac:dyDescent="0.4">
      <c r="C18" s="121"/>
      <c r="D18" s="121"/>
    </row>
    <row r="19" spans="3:9" x14ac:dyDescent="0.4">
      <c r="C19" s="121" t="s">
        <v>593</v>
      </c>
      <c r="D19" s="121" t="s">
        <v>599</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595</v>
      </c>
    </row>
    <row r="26" spans="3:9" x14ac:dyDescent="0.4">
      <c r="C26" s="121"/>
      <c r="D26" s="121"/>
      <c r="I26" s="66" t="s">
        <v>596</v>
      </c>
    </row>
    <row r="27" spans="3:9" x14ac:dyDescent="0.4">
      <c r="C27" s="121"/>
      <c r="D27" s="121"/>
      <c r="I27" s="66" t="s">
        <v>597</v>
      </c>
    </row>
  </sheetData>
  <conditionalFormatting sqref="D8">
    <cfRule type="expression" dxfId="539" priority="7">
      <formula>RIGHT(D8,2)="  "</formula>
    </cfRule>
    <cfRule type="expression" dxfId="538" priority="8">
      <formula>RIGHT(D8,1)=" "</formula>
    </cfRule>
  </conditionalFormatting>
  <conditionalFormatting sqref="D9">
    <cfRule type="expression" dxfId="537" priority="5">
      <formula>RIGHT(D9,2)="  "</formula>
    </cfRule>
    <cfRule type="expression" dxfId="536" priority="6">
      <formula>RIGHT(D9,1)=" "</formula>
    </cfRule>
  </conditionalFormatting>
  <conditionalFormatting sqref="D10">
    <cfRule type="expression" dxfId="535" priority="3">
      <formula>RIGHT(D10,2)="  "</formula>
    </cfRule>
    <cfRule type="expression" dxfId="534" priority="4">
      <formula>RIGHT(D10,1)=" "</formula>
    </cfRule>
  </conditionalFormatting>
  <conditionalFormatting sqref="I25:I27">
    <cfRule type="expression" dxfId="533" priority="1">
      <formula>RIGHT(I25,2)="  "</formula>
    </cfRule>
    <cfRule type="expression" dxfId="532"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24"/>
  <sheetViews>
    <sheetView workbookViewId="0">
      <selection activeCell="J2" sqref="J2"/>
    </sheetView>
  </sheetViews>
  <sheetFormatPr defaultColWidth="9.23046875" defaultRowHeight="14.6" x14ac:dyDescent="0.4"/>
  <cols>
    <col min="1" max="1" width="7.69140625" style="422" bestFit="1" customWidth="1"/>
    <col min="2" max="2" width="7.3046875" style="114" bestFit="1" customWidth="1"/>
    <col min="3" max="3" width="13.69140625" style="423" bestFit="1" customWidth="1"/>
    <col min="4" max="4" width="6.23046875" style="114" bestFit="1" customWidth="1"/>
    <col min="5" max="5" width="4.07421875" style="114" bestFit="1" customWidth="1"/>
    <col min="6" max="6" width="8.765625" style="114" bestFit="1" customWidth="1"/>
    <col min="7" max="7" width="8.84375" style="114" bestFit="1" customWidth="1"/>
    <col min="8" max="8" width="9.69140625" style="114" bestFit="1" customWidth="1"/>
    <col min="9" max="9" width="18.765625" style="114" customWidth="1"/>
    <col min="10" max="10" width="5.074218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046875" style="114" customWidth="1"/>
    <col min="17" max="17" width="9.23046875" style="114" hidden="1" customWidth="1"/>
    <col min="18" max="18" width="17.07421875" style="286" hidden="1" customWidth="1"/>
    <col min="19" max="19" width="4.07421875" style="286" hidden="1" customWidth="1"/>
    <col min="20" max="20" width="5.074218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046875" style="114" hidden="1" customWidth="1"/>
    <col min="29" max="29" width="63.3046875" style="424" hidden="1" customWidth="1"/>
    <col min="30" max="39" width="9.23046875" style="114" hidden="1" customWidth="1"/>
    <col min="40" max="53" width="9.23046875" style="114" customWidth="1"/>
    <col min="54" max="16384" width="9.23046875" style="114"/>
  </cols>
  <sheetData>
    <row r="1" spans="1:30" s="299" customFormat="1" ht="29.15" x14ac:dyDescent="0.4">
      <c r="A1" s="416" t="s">
        <v>930</v>
      </c>
      <c r="B1" s="416" t="s">
        <v>931</v>
      </c>
      <c r="C1" s="417" t="s">
        <v>932</v>
      </c>
      <c r="D1" s="416" t="s">
        <v>933</v>
      </c>
      <c r="E1" s="416" t="s">
        <v>843</v>
      </c>
      <c r="F1" s="416" t="s">
        <v>934</v>
      </c>
      <c r="G1" s="416" t="s">
        <v>935</v>
      </c>
      <c r="H1" s="416" t="s">
        <v>936</v>
      </c>
      <c r="I1" s="418" t="s">
        <v>937</v>
      </c>
      <c r="J1" s="416" t="s">
        <v>938</v>
      </c>
      <c r="K1" s="416" t="s">
        <v>939</v>
      </c>
      <c r="L1" s="416" t="s">
        <v>940</v>
      </c>
      <c r="M1" s="416" t="s">
        <v>941</v>
      </c>
      <c r="N1" s="416" t="s">
        <v>942</v>
      </c>
      <c r="O1" s="418" t="s">
        <v>943</v>
      </c>
      <c r="P1" s="416" t="s">
        <v>929</v>
      </c>
      <c r="R1" s="419" t="s">
        <v>937</v>
      </c>
      <c r="S1" s="419" t="s">
        <v>843</v>
      </c>
      <c r="T1" s="420" t="str">
        <f>J1</f>
        <v>Form</v>
      </c>
      <c r="U1" s="420" t="str">
        <f>K1</f>
        <v>IP Rating</v>
      </c>
      <c r="V1" s="420" t="str">
        <f>L1</f>
        <v>Colour</v>
      </c>
      <c r="W1" s="420" t="s">
        <v>944</v>
      </c>
      <c r="X1" s="420" t="str">
        <f>N1</f>
        <v>Poles / Dim</v>
      </c>
      <c r="Y1" s="420" t="str">
        <f>O1</f>
        <v>Non-Auto/
MCCB</v>
      </c>
      <c r="AC1" s="421" t="s">
        <v>945</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 t="shared" ref="AB2:AB22" si="0">_xlfn.CONCAT(REPT(" ", 8),AD2,".1 - This includes supply and install of Main switch (",IF(W2="MS3100","100 Amp",_xlfn.CONCAT(W2," Amp")),_xlfn.CONCAT("), contactors, circuit breakers, busbar, wiring, Traffolyte labelling miscellaneous items, testing, escutcheon plate (to retain IP rating for mounting"," of lights and switches), and powder coated enclosure.
",REPT(" ", 8),AD2,".2 - Please note: MSSB includes other components listed under each system type."))</f>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 s="424" t="str">
        <f t="shared" ref="AC2:AC22" si="1">IF(AD2=AD1,"",_xlfn.CONCAT(AA2,AB2,"
"))</f>
        <v/>
      </c>
      <c r="AD2" s="114">
        <f xml:space="preserve"> IF(T2&gt;0,AD1+1,AD1)</f>
        <v>0</v>
      </c>
    </row>
    <row r="3" spans="1:30" x14ac:dyDescent="0.4">
      <c r="A3" s="422" t="str">
        <f t="shared" ref="A3:A22" si="2">IF(NOT(I3="N/A"),IF(COUNTBLANK(J3:N3)=0,"VALID","INVALID"),"INVALID")</f>
        <v>INVALID</v>
      </c>
      <c r="B3" s="114" t="str">
        <f t="shared" ref="B3:B22" si="3">_xlfn.CONCAT("MSSB ", (ROW()-1))</f>
        <v>MSSB 2</v>
      </c>
      <c r="C3" s="423">
        <f t="shared" ref="C3:C22" si="4">IFERROR(E3*G3,0)</f>
        <v>0</v>
      </c>
      <c r="D3" s="114">
        <f t="shared" ref="D3:D22" si="5">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6">IF(A3="VALID",_xlfn.CONCAT(AA3:AB3),"")</f>
        <v/>
      </c>
      <c r="R3" s="286">
        <f t="shared" ref="R3:R22" si="7">I3</f>
        <v>0</v>
      </c>
      <c r="S3" s="286">
        <f t="shared" ref="S3:S22" si="8">E3</f>
        <v>0</v>
      </c>
      <c r="T3" s="286">
        <f>IF(COUNTIF(_MSSB!$E$2:$E$6,'@MSSB'!N3) = 1,1,J3)</f>
        <v>0</v>
      </c>
      <c r="U3" s="286">
        <f>IF(COUNTIF(_MSSB!$E$2:$E$6,'@MSSB'!N3) = 1,"IP65",K3)</f>
        <v>0</v>
      </c>
      <c r="V3" s="286">
        <f t="shared" ref="V3:V22" si="9">L3</f>
        <v>0</v>
      </c>
      <c r="W3" s="286">
        <f>IF(COUNTIF(_MSSB!$E$2:$E$6,'@MSSB'!N3) = 1,"MS3100",M3)</f>
        <v>0</v>
      </c>
      <c r="X3" s="286">
        <f t="shared" ref="X3:X22" si="10">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3" s="424" t="str">
        <f t="shared" si="1"/>
        <v/>
      </c>
      <c r="AD3" s="114">
        <f xml:space="preserve"> IF(T3&gt;0,AD2+1,AD2)</f>
        <v>0</v>
      </c>
    </row>
    <row r="4" spans="1:30" x14ac:dyDescent="0.4">
      <c r="A4" s="422" t="str">
        <f t="shared" si="2"/>
        <v>INVALID</v>
      </c>
      <c r="B4" s="114" t="str">
        <f t="shared" si="3"/>
        <v>MSSB 3</v>
      </c>
      <c r="C4" s="423">
        <f t="shared" si="4"/>
        <v>0</v>
      </c>
      <c r="D4" s="114">
        <f t="shared" si="5"/>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6"/>
        <v/>
      </c>
      <c r="R4" s="286">
        <f t="shared" si="7"/>
        <v>0</v>
      </c>
      <c r="S4" s="286">
        <f t="shared" si="8"/>
        <v>0</v>
      </c>
      <c r="T4" s="286">
        <f>IF(COUNTIF(_MSSB!$E$2:$E$6,'@MSSB'!N4) = 1,1,J4)</f>
        <v>0</v>
      </c>
      <c r="U4" s="286">
        <f>IF(COUNTIF(_MSSB!$E$2:$E$6,'@MSSB'!N4) = 1,"IP65",K4)</f>
        <v>0</v>
      </c>
      <c r="V4" s="286">
        <f t="shared" si="9"/>
        <v>0</v>
      </c>
      <c r="W4" s="286">
        <f>IF(COUNTIF(_MSSB!$E$2:$E$6,'@MSSB'!N4) = 1,"MS3100",M4)</f>
        <v>0</v>
      </c>
      <c r="X4" s="286">
        <f t="shared" si="10"/>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4" s="424" t="str">
        <f t="shared" si="1"/>
        <v/>
      </c>
      <c r="AD4" s="114">
        <f t="shared" ref="AD4:AD22" si="11" xml:space="preserve"> IF(T4&gt;0,AD3+1,AD3)</f>
        <v>0</v>
      </c>
    </row>
    <row r="5" spans="1:30" x14ac:dyDescent="0.4">
      <c r="A5" s="422" t="str">
        <f t="shared" si="2"/>
        <v>INVALID</v>
      </c>
      <c r="B5" s="114" t="str">
        <f t="shared" si="3"/>
        <v>MSSB 4</v>
      </c>
      <c r="C5" s="423">
        <f t="shared" si="4"/>
        <v>0</v>
      </c>
      <c r="D5" s="114">
        <f t="shared" si="5"/>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6"/>
        <v/>
      </c>
      <c r="R5" s="286">
        <f t="shared" si="7"/>
        <v>0</v>
      </c>
      <c r="S5" s="286">
        <f t="shared" si="8"/>
        <v>0</v>
      </c>
      <c r="T5" s="286">
        <f>IF(COUNTIF(_MSSB!$E$2:$E$6,'@MSSB'!N5) = 1,1,J5)</f>
        <v>0</v>
      </c>
      <c r="U5" s="286">
        <f>IF(COUNTIF(_MSSB!$E$2:$E$6,'@MSSB'!N5) = 1,"IP65",K5)</f>
        <v>0</v>
      </c>
      <c r="V5" s="286">
        <f t="shared" si="9"/>
        <v>0</v>
      </c>
      <c r="W5" s="286">
        <f>IF(COUNTIF(_MSSB!$E$2:$E$6,'@MSSB'!N5) = 1,"MS3100",M5)</f>
        <v>0</v>
      </c>
      <c r="X5" s="286">
        <f t="shared" si="10"/>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5" s="424" t="str">
        <f t="shared" si="1"/>
        <v/>
      </c>
      <c r="AD5" s="114">
        <f t="shared" si="11"/>
        <v>0</v>
      </c>
    </row>
    <row r="6" spans="1:30" x14ac:dyDescent="0.4">
      <c r="A6" s="422" t="str">
        <f t="shared" si="2"/>
        <v>INVALID</v>
      </c>
      <c r="B6" s="114" t="str">
        <f t="shared" si="3"/>
        <v>MSSB 5</v>
      </c>
      <c r="C6" s="423">
        <f t="shared" si="4"/>
        <v>0</v>
      </c>
      <c r="D6" s="114">
        <f t="shared" si="5"/>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6"/>
        <v/>
      </c>
      <c r="R6" s="286">
        <f t="shared" si="7"/>
        <v>0</v>
      </c>
      <c r="S6" s="286">
        <f t="shared" si="8"/>
        <v>0</v>
      </c>
      <c r="T6" s="286">
        <f>IF(COUNTIF(_MSSB!$E$2:$E$6,'@MSSB'!N6) = 1,1,J6)</f>
        <v>0</v>
      </c>
      <c r="U6" s="286">
        <f>IF(COUNTIF(_MSSB!$E$2:$E$6,'@MSSB'!N6) = 1,"IP65",K6)</f>
        <v>0</v>
      </c>
      <c r="V6" s="286">
        <f t="shared" si="9"/>
        <v>0</v>
      </c>
      <c r="W6" s="286">
        <f>IF(COUNTIF(_MSSB!$E$2:$E$6,'@MSSB'!N6) = 1,"MS3100",M6)</f>
        <v>0</v>
      </c>
      <c r="X6" s="286">
        <f t="shared" si="10"/>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6" s="424" t="str">
        <f t="shared" si="1"/>
        <v/>
      </c>
      <c r="AD6" s="114">
        <f t="shared" si="11"/>
        <v>0</v>
      </c>
    </row>
    <row r="7" spans="1:30" x14ac:dyDescent="0.4">
      <c r="A7" s="422" t="str">
        <f t="shared" si="2"/>
        <v>INVALID</v>
      </c>
      <c r="B7" s="114" t="str">
        <f t="shared" si="3"/>
        <v>MSSB 6</v>
      </c>
      <c r="C7" s="423">
        <f t="shared" si="4"/>
        <v>0</v>
      </c>
      <c r="D7" s="114">
        <f t="shared" si="5"/>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6"/>
        <v/>
      </c>
      <c r="R7" s="286">
        <f t="shared" si="7"/>
        <v>0</v>
      </c>
      <c r="S7" s="286">
        <f t="shared" si="8"/>
        <v>0</v>
      </c>
      <c r="T7" s="286">
        <f>IF(COUNTIF(_MSSB!$E$2:$E$6,'@MSSB'!N7) = 1,1,J7)</f>
        <v>0</v>
      </c>
      <c r="U7" s="286">
        <f>IF(COUNTIF(_MSSB!$E$2:$E$6,'@MSSB'!N7) = 1,"IP65",K7)</f>
        <v>0</v>
      </c>
      <c r="V7" s="286">
        <f t="shared" si="9"/>
        <v>0</v>
      </c>
      <c r="W7" s="286">
        <f>IF(COUNTIF(_MSSB!$E$2:$E$6,'@MSSB'!N7) = 1,"MS3100",M7)</f>
        <v>0</v>
      </c>
      <c r="X7" s="286">
        <f t="shared" si="10"/>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7" s="424" t="str">
        <f t="shared" si="1"/>
        <v/>
      </c>
      <c r="AD7" s="114">
        <f t="shared" si="11"/>
        <v>0</v>
      </c>
    </row>
    <row r="8" spans="1:30" x14ac:dyDescent="0.4">
      <c r="A8" s="422" t="str">
        <f t="shared" si="2"/>
        <v>INVALID</v>
      </c>
      <c r="B8" s="114" t="str">
        <f t="shared" si="3"/>
        <v>MSSB 7</v>
      </c>
      <c r="C8" s="423">
        <f t="shared" si="4"/>
        <v>0</v>
      </c>
      <c r="D8" s="114">
        <f t="shared" si="5"/>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6"/>
        <v/>
      </c>
      <c r="R8" s="286">
        <f t="shared" si="7"/>
        <v>0</v>
      </c>
      <c r="S8" s="286">
        <f t="shared" si="8"/>
        <v>0</v>
      </c>
      <c r="T8" s="286">
        <f>IF(COUNTIF(_MSSB!$E$2:$E$6,'@MSSB'!N8) = 1,1,J8)</f>
        <v>0</v>
      </c>
      <c r="U8" s="286">
        <f>IF(COUNTIF(_MSSB!$E$2:$E$6,'@MSSB'!N8) = 1,"IP65",K8)</f>
        <v>0</v>
      </c>
      <c r="V8" s="286">
        <f t="shared" si="9"/>
        <v>0</v>
      </c>
      <c r="W8" s="286">
        <f>IF(COUNTIF(_MSSB!$E$2:$E$6,'@MSSB'!N8) = 1,"MS3100",M8)</f>
        <v>0</v>
      </c>
      <c r="X8" s="286">
        <f t="shared" si="10"/>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8" s="424" t="str">
        <f t="shared" si="1"/>
        <v/>
      </c>
      <c r="AD8" s="114">
        <f t="shared" si="11"/>
        <v>0</v>
      </c>
    </row>
    <row r="9" spans="1:30" x14ac:dyDescent="0.4">
      <c r="A9" s="422" t="str">
        <f t="shared" si="2"/>
        <v>INVALID</v>
      </c>
      <c r="B9" s="114" t="str">
        <f t="shared" si="3"/>
        <v>MSSB 8</v>
      </c>
      <c r="C9" s="423">
        <f t="shared" si="4"/>
        <v>0</v>
      </c>
      <c r="D9" s="114">
        <f t="shared" si="5"/>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6"/>
        <v/>
      </c>
      <c r="R9" s="286">
        <f t="shared" si="7"/>
        <v>0</v>
      </c>
      <c r="S9" s="286">
        <f t="shared" si="8"/>
        <v>0</v>
      </c>
      <c r="T9" s="286">
        <f>IF(COUNTIF(_MSSB!$E$2:$E$6,'@MSSB'!N9) = 1,1,J9)</f>
        <v>0</v>
      </c>
      <c r="U9" s="286">
        <f>IF(COUNTIF(_MSSB!$E$2:$E$6,'@MSSB'!N9) = 1,"IP65",K9)</f>
        <v>0</v>
      </c>
      <c r="V9" s="286">
        <f t="shared" si="9"/>
        <v>0</v>
      </c>
      <c r="W9" s="286">
        <f>IF(COUNTIF(_MSSB!$E$2:$E$6,'@MSSB'!N9) = 1,"MS3100",M9)</f>
        <v>0</v>
      </c>
      <c r="X9" s="286">
        <f t="shared" si="10"/>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9" s="424" t="str">
        <f t="shared" si="1"/>
        <v/>
      </c>
      <c r="AD9" s="114">
        <f t="shared" si="11"/>
        <v>0</v>
      </c>
    </row>
    <row r="10" spans="1:30" x14ac:dyDescent="0.4">
      <c r="A10" s="422" t="str">
        <f t="shared" si="2"/>
        <v>INVALID</v>
      </c>
      <c r="B10" s="114" t="str">
        <f t="shared" si="3"/>
        <v>MSSB 9</v>
      </c>
      <c r="C10" s="423">
        <f t="shared" si="4"/>
        <v>0</v>
      </c>
      <c r="D10" s="114">
        <f t="shared" si="5"/>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6"/>
        <v/>
      </c>
      <c r="R10" s="286">
        <f t="shared" si="7"/>
        <v>0</v>
      </c>
      <c r="S10" s="286">
        <f t="shared" si="8"/>
        <v>0</v>
      </c>
      <c r="T10" s="286">
        <f>IF(COUNTIF(_MSSB!$E$2:$E$6,'@MSSB'!N10) = 1,1,J10)</f>
        <v>0</v>
      </c>
      <c r="U10" s="286">
        <f>IF(COUNTIF(_MSSB!$E$2:$E$6,'@MSSB'!N10) = 1,"IP65",K10)</f>
        <v>0</v>
      </c>
      <c r="V10" s="286">
        <f t="shared" si="9"/>
        <v>0</v>
      </c>
      <c r="W10" s="286">
        <f>IF(COUNTIF(_MSSB!$E$2:$E$6,'@MSSB'!N10) = 1,"MS3100",M10)</f>
        <v>0</v>
      </c>
      <c r="X10" s="286">
        <f t="shared" si="10"/>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0" s="424" t="str">
        <f t="shared" si="1"/>
        <v/>
      </c>
      <c r="AD10" s="114">
        <f t="shared" si="11"/>
        <v>0</v>
      </c>
    </row>
    <row r="11" spans="1:30" x14ac:dyDescent="0.4">
      <c r="A11" s="422" t="str">
        <f t="shared" si="2"/>
        <v>INVALID</v>
      </c>
      <c r="B11" s="114" t="str">
        <f t="shared" si="3"/>
        <v>MSSB 10</v>
      </c>
      <c r="C11" s="423">
        <f t="shared" si="4"/>
        <v>0</v>
      </c>
      <c r="D11" s="114">
        <f t="shared" si="5"/>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6"/>
        <v/>
      </c>
      <c r="R11" s="286">
        <f t="shared" si="7"/>
        <v>0</v>
      </c>
      <c r="S11" s="286">
        <f t="shared" si="8"/>
        <v>0</v>
      </c>
      <c r="T11" s="286">
        <f>IF(COUNTIF(_MSSB!$E$2:$E$6,'@MSSB'!N11) = 1,1,J11)</f>
        <v>0</v>
      </c>
      <c r="U11" s="286">
        <f>IF(COUNTIF(_MSSB!$E$2:$E$6,'@MSSB'!N11) = 1,"IP65",K11)</f>
        <v>0</v>
      </c>
      <c r="V11" s="286">
        <f t="shared" si="9"/>
        <v>0</v>
      </c>
      <c r="W11" s="286">
        <f>IF(COUNTIF(_MSSB!$E$2:$E$6,'@MSSB'!N11) = 1,"MS3100",M11)</f>
        <v>0</v>
      </c>
      <c r="X11" s="286">
        <f t="shared" si="10"/>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1" s="424" t="str">
        <f t="shared" si="1"/>
        <v/>
      </c>
      <c r="AD11" s="114">
        <f t="shared" si="11"/>
        <v>0</v>
      </c>
    </row>
    <row r="12" spans="1:30" x14ac:dyDescent="0.4">
      <c r="A12" s="422" t="str">
        <f t="shared" si="2"/>
        <v>INVALID</v>
      </c>
      <c r="B12" s="114" t="str">
        <f t="shared" si="3"/>
        <v>MSSB 11</v>
      </c>
      <c r="C12" s="423">
        <f t="shared" si="4"/>
        <v>0</v>
      </c>
      <c r="D12" s="114">
        <f t="shared" si="5"/>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6"/>
        <v/>
      </c>
      <c r="R12" s="286">
        <f t="shared" si="7"/>
        <v>0</v>
      </c>
      <c r="S12" s="286">
        <f t="shared" si="8"/>
        <v>0</v>
      </c>
      <c r="T12" s="286">
        <f>IF(COUNTIF(_MSSB!$E$2:$E$6,'@MSSB'!N12) = 1,1,J12)</f>
        <v>0</v>
      </c>
      <c r="U12" s="286">
        <f>IF(COUNTIF(_MSSB!$E$2:$E$6,'@MSSB'!N12) = 1,"IP65",K12)</f>
        <v>0</v>
      </c>
      <c r="V12" s="286">
        <f t="shared" si="9"/>
        <v>0</v>
      </c>
      <c r="W12" s="286">
        <f>IF(COUNTIF(_MSSB!$E$2:$E$6,'@MSSB'!N12) = 1,"MS3100",M12)</f>
        <v>0</v>
      </c>
      <c r="X12" s="286">
        <f t="shared" si="10"/>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2" s="424" t="str">
        <f t="shared" si="1"/>
        <v/>
      </c>
      <c r="AD12" s="114">
        <f t="shared" si="11"/>
        <v>0</v>
      </c>
    </row>
    <row r="13" spans="1:30" x14ac:dyDescent="0.4">
      <c r="A13" s="422" t="str">
        <f t="shared" si="2"/>
        <v>INVALID</v>
      </c>
      <c r="B13" s="114" t="str">
        <f t="shared" si="3"/>
        <v>MSSB 12</v>
      </c>
      <c r="C13" s="423">
        <f t="shared" si="4"/>
        <v>0</v>
      </c>
      <c r="D13" s="114">
        <f t="shared" si="5"/>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6"/>
        <v/>
      </c>
      <c r="R13" s="286">
        <f t="shared" si="7"/>
        <v>0</v>
      </c>
      <c r="S13" s="286">
        <f t="shared" si="8"/>
        <v>0</v>
      </c>
      <c r="T13" s="286">
        <f>IF(COUNTIF(_MSSB!$E$2:$E$6,'@MSSB'!N13) = 1,1,J13)</f>
        <v>0</v>
      </c>
      <c r="U13" s="286">
        <f>IF(COUNTIF(_MSSB!$E$2:$E$6,'@MSSB'!N13) = 1,"IP65",K13)</f>
        <v>0</v>
      </c>
      <c r="V13" s="286">
        <f t="shared" si="9"/>
        <v>0</v>
      </c>
      <c r="W13" s="286">
        <f>IF(COUNTIF(_MSSB!$E$2:$E$6,'@MSSB'!N13) = 1,"MS3100",M13)</f>
        <v>0</v>
      </c>
      <c r="X13" s="286">
        <f t="shared" si="10"/>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3" s="424" t="str">
        <f t="shared" si="1"/>
        <v/>
      </c>
      <c r="AD13" s="114">
        <f t="shared" si="11"/>
        <v>0</v>
      </c>
    </row>
    <row r="14" spans="1:30" x14ac:dyDescent="0.4">
      <c r="A14" s="422" t="str">
        <f t="shared" si="2"/>
        <v>INVALID</v>
      </c>
      <c r="B14" s="114" t="str">
        <f t="shared" si="3"/>
        <v>MSSB 13</v>
      </c>
      <c r="C14" s="423">
        <f t="shared" si="4"/>
        <v>0</v>
      </c>
      <c r="D14" s="114">
        <f t="shared" si="5"/>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6"/>
        <v/>
      </c>
      <c r="R14" s="286">
        <f t="shared" si="7"/>
        <v>0</v>
      </c>
      <c r="S14" s="286">
        <f t="shared" si="8"/>
        <v>0</v>
      </c>
      <c r="T14" s="286">
        <f>IF(COUNTIF(_MSSB!$E$2:$E$6,'@MSSB'!N14) = 1,1,J14)</f>
        <v>0</v>
      </c>
      <c r="U14" s="286">
        <f>IF(COUNTIF(_MSSB!$E$2:$E$6,'@MSSB'!N14) = 1,"IP65",K14)</f>
        <v>0</v>
      </c>
      <c r="V14" s="286">
        <f t="shared" si="9"/>
        <v>0</v>
      </c>
      <c r="W14" s="286">
        <f>IF(COUNTIF(_MSSB!$E$2:$E$6,'@MSSB'!N14) = 1,"MS3100",M14)</f>
        <v>0</v>
      </c>
      <c r="X14" s="286">
        <f t="shared" si="10"/>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4" s="424" t="str">
        <f t="shared" si="1"/>
        <v/>
      </c>
      <c r="AD14" s="114">
        <f t="shared" si="11"/>
        <v>0</v>
      </c>
    </row>
    <row r="15" spans="1:30" x14ac:dyDescent="0.4">
      <c r="A15" s="422" t="str">
        <f t="shared" si="2"/>
        <v>INVALID</v>
      </c>
      <c r="B15" s="114" t="str">
        <f t="shared" si="3"/>
        <v>MSSB 14</v>
      </c>
      <c r="C15" s="423">
        <f t="shared" si="4"/>
        <v>0</v>
      </c>
      <c r="D15" s="114">
        <f t="shared" si="5"/>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6"/>
        <v/>
      </c>
      <c r="R15" s="286">
        <f t="shared" si="7"/>
        <v>0</v>
      </c>
      <c r="S15" s="286">
        <f t="shared" si="8"/>
        <v>0</v>
      </c>
      <c r="T15" s="286">
        <f>IF(COUNTIF(_MSSB!$E$2:$E$6,'@MSSB'!N15) = 1,1,J15)</f>
        <v>0</v>
      </c>
      <c r="U15" s="286">
        <f>IF(COUNTIF(_MSSB!$E$2:$E$6,'@MSSB'!N15) = 1,"IP65",K15)</f>
        <v>0</v>
      </c>
      <c r="V15" s="286">
        <f t="shared" si="9"/>
        <v>0</v>
      </c>
      <c r="W15" s="286">
        <f>IF(COUNTIF(_MSSB!$E$2:$E$6,'@MSSB'!N15) = 1,"MS3100",M15)</f>
        <v>0</v>
      </c>
      <c r="X15" s="286">
        <f t="shared" si="10"/>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5" s="424" t="str">
        <f t="shared" si="1"/>
        <v/>
      </c>
      <c r="AD15" s="114">
        <f t="shared" si="11"/>
        <v>0</v>
      </c>
    </row>
    <row r="16" spans="1:30" x14ac:dyDescent="0.4">
      <c r="A16" s="422" t="str">
        <f t="shared" si="2"/>
        <v>INVALID</v>
      </c>
      <c r="B16" s="114" t="str">
        <f t="shared" si="3"/>
        <v>MSSB 15</v>
      </c>
      <c r="C16" s="423">
        <f t="shared" si="4"/>
        <v>0</v>
      </c>
      <c r="D16" s="114">
        <f t="shared" si="5"/>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6"/>
        <v/>
      </c>
      <c r="R16" s="286">
        <f t="shared" si="7"/>
        <v>0</v>
      </c>
      <c r="S16" s="286">
        <f t="shared" si="8"/>
        <v>0</v>
      </c>
      <c r="T16" s="286">
        <f>IF(COUNTIF(_MSSB!$E$2:$E$6,'@MSSB'!N16) = 1,1,J16)</f>
        <v>0</v>
      </c>
      <c r="U16" s="286">
        <f>IF(COUNTIF(_MSSB!$E$2:$E$6,'@MSSB'!N16) = 1,"IP65",K16)</f>
        <v>0</v>
      </c>
      <c r="V16" s="286">
        <f t="shared" si="9"/>
        <v>0</v>
      </c>
      <c r="W16" s="286">
        <f>IF(COUNTIF(_MSSB!$E$2:$E$6,'@MSSB'!N16) = 1,"MS3100",M16)</f>
        <v>0</v>
      </c>
      <c r="X16" s="286">
        <f t="shared" si="10"/>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6" s="424" t="str">
        <f t="shared" si="1"/>
        <v/>
      </c>
      <c r="AD16" s="114">
        <f t="shared" si="11"/>
        <v>0</v>
      </c>
    </row>
    <row r="17" spans="1:30" x14ac:dyDescent="0.4">
      <c r="A17" s="422" t="str">
        <f t="shared" si="2"/>
        <v>INVALID</v>
      </c>
      <c r="B17" s="114" t="str">
        <f t="shared" si="3"/>
        <v>MSSB 16</v>
      </c>
      <c r="C17" s="423">
        <f t="shared" si="4"/>
        <v>0</v>
      </c>
      <c r="D17" s="114">
        <f t="shared" si="5"/>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6"/>
        <v/>
      </c>
      <c r="R17" s="286">
        <f t="shared" si="7"/>
        <v>0</v>
      </c>
      <c r="S17" s="286">
        <f t="shared" si="8"/>
        <v>0</v>
      </c>
      <c r="T17" s="286">
        <f>IF(COUNTIF(_MSSB!$E$2:$E$6,'@MSSB'!N17) = 1,1,J17)</f>
        <v>0</v>
      </c>
      <c r="U17" s="286">
        <f>IF(COUNTIF(_MSSB!$E$2:$E$6,'@MSSB'!N17) = 1,"IP65",K17)</f>
        <v>0</v>
      </c>
      <c r="V17" s="286">
        <f t="shared" si="9"/>
        <v>0</v>
      </c>
      <c r="W17" s="286">
        <f>IF(COUNTIF(_MSSB!$E$2:$E$6,'@MSSB'!N17) = 1,"MS3100",M17)</f>
        <v>0</v>
      </c>
      <c r="X17" s="286">
        <f t="shared" si="10"/>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7" s="424" t="str">
        <f t="shared" si="1"/>
        <v/>
      </c>
      <c r="AD17" s="114">
        <f t="shared" si="11"/>
        <v>0</v>
      </c>
    </row>
    <row r="18" spans="1:30" x14ac:dyDescent="0.4">
      <c r="A18" s="422" t="str">
        <f t="shared" si="2"/>
        <v>INVALID</v>
      </c>
      <c r="B18" s="114" t="str">
        <f t="shared" si="3"/>
        <v>MSSB 17</v>
      </c>
      <c r="C18" s="423">
        <f t="shared" si="4"/>
        <v>0</v>
      </c>
      <c r="D18" s="114">
        <f t="shared" si="5"/>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6"/>
        <v/>
      </c>
      <c r="R18" s="286">
        <f t="shared" si="7"/>
        <v>0</v>
      </c>
      <c r="S18" s="286">
        <f t="shared" si="8"/>
        <v>0</v>
      </c>
      <c r="T18" s="286">
        <f>IF(COUNTIF(_MSSB!$E$2:$E$6,'@MSSB'!N18) = 1,1,J18)</f>
        <v>0</v>
      </c>
      <c r="U18" s="286">
        <f>IF(COUNTIF(_MSSB!$E$2:$E$6,'@MSSB'!N18) = 1,"IP65",K18)</f>
        <v>0</v>
      </c>
      <c r="V18" s="286">
        <f t="shared" si="9"/>
        <v>0</v>
      </c>
      <c r="W18" s="286">
        <f>IF(COUNTIF(_MSSB!$E$2:$E$6,'@MSSB'!N18) = 1,"MS3100",M18)</f>
        <v>0</v>
      </c>
      <c r="X18" s="286">
        <f t="shared" si="10"/>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8" s="424" t="str">
        <f t="shared" si="1"/>
        <v/>
      </c>
      <c r="AD18" s="114">
        <f t="shared" si="11"/>
        <v>0</v>
      </c>
    </row>
    <row r="19" spans="1:30" x14ac:dyDescent="0.4">
      <c r="A19" s="422" t="str">
        <f t="shared" si="2"/>
        <v>INVALID</v>
      </c>
      <c r="B19" s="114" t="str">
        <f t="shared" si="3"/>
        <v>MSSB 18</v>
      </c>
      <c r="C19" s="423">
        <f t="shared" si="4"/>
        <v>0</v>
      </c>
      <c r="D19" s="114">
        <f t="shared" si="5"/>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6"/>
        <v/>
      </c>
      <c r="R19" s="286">
        <f t="shared" si="7"/>
        <v>0</v>
      </c>
      <c r="S19" s="286">
        <f t="shared" si="8"/>
        <v>0</v>
      </c>
      <c r="T19" s="286">
        <f>IF(COUNTIF(_MSSB!$E$2:$E$6,'@MSSB'!N19) = 1,1,J19)</f>
        <v>0</v>
      </c>
      <c r="U19" s="286">
        <f>IF(COUNTIF(_MSSB!$E$2:$E$6,'@MSSB'!N19) = 1,"IP65",K19)</f>
        <v>0</v>
      </c>
      <c r="V19" s="286">
        <f t="shared" si="9"/>
        <v>0</v>
      </c>
      <c r="W19" s="286">
        <f>IF(COUNTIF(_MSSB!$E$2:$E$6,'@MSSB'!N19) = 1,"MS3100",M19)</f>
        <v>0</v>
      </c>
      <c r="X19" s="286">
        <f t="shared" si="10"/>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9" s="424" t="str">
        <f t="shared" si="1"/>
        <v/>
      </c>
      <c r="AD19" s="114">
        <f t="shared" si="11"/>
        <v>0</v>
      </c>
    </row>
    <row r="20" spans="1:30" x14ac:dyDescent="0.4">
      <c r="A20" s="422" t="str">
        <f t="shared" si="2"/>
        <v>INVALID</v>
      </c>
      <c r="B20" s="114" t="str">
        <f t="shared" si="3"/>
        <v>MSSB 19</v>
      </c>
      <c r="C20" s="423">
        <f t="shared" si="4"/>
        <v>0</v>
      </c>
      <c r="D20" s="114">
        <f t="shared" si="5"/>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6"/>
        <v/>
      </c>
      <c r="R20" s="286">
        <f t="shared" si="7"/>
        <v>0</v>
      </c>
      <c r="S20" s="286">
        <f t="shared" si="8"/>
        <v>0</v>
      </c>
      <c r="T20" s="286">
        <f>IF(COUNTIF(_MSSB!$E$2:$E$6,'@MSSB'!N20) = 1,1,J20)</f>
        <v>0</v>
      </c>
      <c r="U20" s="286">
        <f>IF(COUNTIF(_MSSB!$E$2:$E$6,'@MSSB'!N20) = 1,"IP65",K20)</f>
        <v>0</v>
      </c>
      <c r="V20" s="286">
        <f t="shared" si="9"/>
        <v>0</v>
      </c>
      <c r="W20" s="286">
        <f>IF(COUNTIF(_MSSB!$E$2:$E$6,'@MSSB'!N20) = 1,"MS3100",M20)</f>
        <v>0</v>
      </c>
      <c r="X20" s="286">
        <f t="shared" si="10"/>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0" s="424" t="str">
        <f t="shared" si="1"/>
        <v/>
      </c>
      <c r="AD20" s="114">
        <f t="shared" si="11"/>
        <v>0</v>
      </c>
    </row>
    <row r="21" spans="1:30" x14ac:dyDescent="0.4">
      <c r="A21" s="422" t="str">
        <f t="shared" si="2"/>
        <v>INVALID</v>
      </c>
      <c r="B21" s="114" t="str">
        <f t="shared" si="3"/>
        <v>MSSB 20</v>
      </c>
      <c r="C21" s="423">
        <f t="shared" si="4"/>
        <v>0</v>
      </c>
      <c r="D21" s="114">
        <f t="shared" si="5"/>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6"/>
        <v/>
      </c>
      <c r="R21" s="286">
        <f t="shared" si="7"/>
        <v>0</v>
      </c>
      <c r="S21" s="286">
        <f t="shared" si="8"/>
        <v>0</v>
      </c>
      <c r="T21" s="286">
        <f>IF(COUNTIF(_MSSB!$E$2:$E$6,'@MSSB'!N21) = 1,1,J21)</f>
        <v>0</v>
      </c>
      <c r="U21" s="286">
        <f>IF(COUNTIF(_MSSB!$E$2:$E$6,'@MSSB'!N21) = 1,"IP65",K21)</f>
        <v>0</v>
      </c>
      <c r="V21" s="286">
        <f t="shared" si="9"/>
        <v>0</v>
      </c>
      <c r="W21" s="286">
        <f>IF(COUNTIF(_MSSB!$E$2:$E$6,'@MSSB'!N21) = 1,"MS3100",M21)</f>
        <v>0</v>
      </c>
      <c r="X21" s="286">
        <f t="shared" si="10"/>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1" s="424" t="str">
        <f t="shared" si="1"/>
        <v/>
      </c>
      <c r="AD21" s="114">
        <f t="shared" si="11"/>
        <v>0</v>
      </c>
    </row>
    <row r="22" spans="1:30" x14ac:dyDescent="0.4">
      <c r="A22" s="422" t="str">
        <f t="shared" si="2"/>
        <v>INVALID</v>
      </c>
      <c r="B22" s="114" t="str">
        <f t="shared" si="3"/>
        <v>MSSB 21</v>
      </c>
      <c r="C22" s="423">
        <f t="shared" si="4"/>
        <v>0</v>
      </c>
      <c r="D22" s="114">
        <f t="shared" si="5"/>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6"/>
        <v/>
      </c>
      <c r="R22" s="286">
        <f t="shared" si="7"/>
        <v>0</v>
      </c>
      <c r="S22" s="286">
        <f t="shared" si="8"/>
        <v>0</v>
      </c>
      <c r="T22" s="286">
        <f>IF(COUNTIF(_MSSB!$E$2:$E$6,'@MSSB'!N22) = 1,1,J22)</f>
        <v>0</v>
      </c>
      <c r="U22" s="286">
        <f>IF(COUNTIF(_MSSB!$E$2:$E$6,'@MSSB'!N22) = 1,"IP65",K22)</f>
        <v>0</v>
      </c>
      <c r="V22" s="286">
        <f t="shared" si="9"/>
        <v>0</v>
      </c>
      <c r="W22" s="286">
        <f>IF(COUNTIF(_MSSB!$E$2:$E$6,'@MSSB'!N22) = 1,"MS3100",M22)</f>
        <v>0</v>
      </c>
      <c r="X22" s="286">
        <f t="shared" si="10"/>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2" s="424" t="str">
        <f t="shared" si="1"/>
        <v/>
      </c>
      <c r="AD22" s="114">
        <f t="shared" si="11"/>
        <v>0</v>
      </c>
    </row>
    <row r="23" spans="1:30" x14ac:dyDescent="0.4">
      <c r="Q23" s="114" t="str">
        <f t="shared" si="6"/>
        <v/>
      </c>
      <c r="Y23" s="286"/>
    </row>
    <row r="24" spans="1:30" x14ac:dyDescent="0.4">
      <c r="Y24" s="286"/>
    </row>
  </sheetData>
  <conditionalFormatting sqref="A2:A22">
    <cfRule type="cellIs" dxfId="531" priority="4" operator="equal">
      <formula>"INVALID"</formula>
    </cfRule>
    <cfRule type="cellIs" dxfId="530" priority="5" operator="equal">
      <formula>"VALID"</formula>
    </cfRule>
  </conditionalFormatting>
  <conditionalFormatting sqref="J3:O22 Q2:Q23">
    <cfRule type="cellIs" dxfId="529" priority="3" operator="equal">
      <formula>$ZU$2</formula>
    </cfRule>
  </conditionalFormatting>
  <conditionalFormatting sqref="J2:O2">
    <cfRule type="cellIs" dxfId="528"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0000000-0002-0000-06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promptTitle="Poles or Dimensions" prompt="For MSSB/Distribution boards specify the number of poles_x000a_For enclosures specify the dimesions" xr:uid="{00000000-0002-0000-0600-000001000000}">
          <x14:formula1>
            <xm:f>_MSSB!$E$2:$E$11</xm:f>
          </x14:formula1>
          <xm:sqref>N3:N22</xm:sqref>
        </x14:dataValidation>
        <x14:dataValidation type="list" allowBlank="1" showInputMessage="1" showErrorMessage="1" promptTitle="IP Rating" xr:uid="{00000000-0002-0000-0600-000002000000}">
          <x14:formula1>
            <xm:f>_MSSB!$B$2:$B$4</xm:f>
          </x14:formula1>
          <xm:sqref>K3:K22</xm:sqref>
        </x14:dataValidation>
        <x14:dataValidation type="list" allowBlank="1" showInputMessage="1" showErrorMessage="1" promptTitle="Non-Auto/MCCB" prompt="For enclosures: N/A_x000a_For standard mech elec: Non-Auto_x000a_MCCB: For motor control (QIE, not IAC)" xr:uid="{00000000-0002-0000-0600-000003000000}">
          <x14:formula1>
            <xm:f>_MSSB!$F$2:$F$3</xm:f>
          </x14:formula1>
          <xm:sqref>O3:O22</xm:sqref>
        </x14:dataValidation>
        <x14:dataValidation type="list" allowBlank="1" showInputMessage="1" showErrorMessage="1" promptTitle="250/400" xr:uid="{00000000-0002-0000-0600-000004000000}">
          <x14:formula1>
            <xm:f>_MSSB!$D$2:$D$3</xm:f>
          </x14:formula1>
          <xm:sqref>M3:M22</xm:sqref>
        </x14:dataValidation>
        <x14:dataValidation type="list" allowBlank="1" showInputMessage="1" showErrorMessage="1" promptTitle="Colour" xr:uid="{00000000-0002-0000-0600-000005000000}">
          <x14:formula1>
            <xm:f>_MSSB!$C$2:$C$3</xm:f>
          </x14:formula1>
          <xm:sqref>L3:L22</xm:sqref>
        </x14:dataValidation>
        <x14:dataValidation type="list" allowBlank="1" showInputMessage="1" showErrorMessage="1" promptTitle="Form" prompt="{1,2,3}" xr:uid="{00000000-0002-0000-0600-000006000000}">
          <x14:formula1>
            <xm:f>_MSSB!$A$2:$A$4</xm:f>
          </x14:formula1>
          <xm:sqref>J3:J22</xm:sqref>
        </x14:dataValidation>
        <x14:dataValidation type="list" allowBlank="1" showInputMessage="1" showErrorMessage="1" promptTitle="Form" prompt="{1,2,3}" xr:uid="{00000000-0002-0000-0600-000007000000}">
          <x14:formula1>
            <xm:f>'D:\Google Drive\3. Clients\2. Tenders\18-0266 - Beenliegh Aquatic Center\Section 0 - Tender Documentation\Tender Markup\[18-0266 - Beenleigh Aquatic Center - MechElec - 2.3r1.xlsx]_MSSB'!#REF!</xm:f>
          </x14:formula1>
          <xm:sqref>J2</xm:sqref>
        </x14:dataValidation>
        <x14:dataValidation type="list" allowBlank="1" showInputMessage="1" showErrorMessage="1" promptTitle="Colour" xr:uid="{00000000-0002-0000-0600-000008000000}">
          <x14:formula1>
            <xm:f>'D:\Google Drive\3. Clients\2. Tenders\18-0266 - Beenliegh Aquatic Center\Section 0 - Tender Documentation\Tender Markup\[18-0266 - Beenleigh Aquatic Center - MechElec - 2.3r1.xlsx]_MSSB'!#REF!</xm:f>
          </x14:formula1>
          <xm:sqref>L2</xm:sqref>
        </x14:dataValidation>
        <x14:dataValidation type="list" allowBlank="1" showInputMessage="1" showErrorMessage="1" promptTitle="250/400" xr:uid="{00000000-0002-0000-0600-000009000000}">
          <x14:formula1>
            <xm:f>'D:\Google Drive\3. Clients\2. Tenders\18-0266 - Beenliegh Aquatic Center\Section 0 - Tender Documentation\Tender Markup\[18-0266 - Beenleigh Aquatic Center - MechElec - 2.3r1.xlsx]_MSSB'!#REF!</xm:f>
          </x14:formula1>
          <xm:sqref>M2</xm:sqref>
        </x14:dataValidation>
        <x14:dataValidation type="list" allowBlank="1" showInputMessage="1" showErrorMessage="1" promptTitle="Non-Auto/MCCB" prompt="For enclosures: N/A_x000a_For standard mech elec: Non-Auto_x000a_MCCB: For motor control (QIE, not IAC)" xr:uid="{00000000-0002-0000-0600-00000A000000}">
          <x14:formula1>
            <xm:f>'D:\Google Drive\3. Clients\2. Tenders\18-0266 - Beenliegh Aquatic Center\Section 0 - Tender Documentation\Tender Markup\[18-0266 - Beenleigh Aquatic Center - MechElec - 2.3r1.xlsx]_MSSB'!#REF!</xm:f>
          </x14:formula1>
          <xm:sqref>O2</xm:sqref>
        </x14:dataValidation>
        <x14:dataValidation type="list" allowBlank="1" showInputMessage="1" showErrorMessage="1" promptTitle="IP Rating" xr:uid="{00000000-0002-0000-0600-00000B000000}">
          <x14:formula1>
            <xm:f>'D:\Google Drive\3. Clients\2. Tenders\18-0266 - Beenliegh Aquatic Center\Section 0 - Tender Documentation\Tender Markup\[18-0266 - Beenleigh Aquatic Center - MechElec - 2.3r1.xlsx]_MSSB'!#REF!</xm:f>
          </x14:formula1>
          <xm:sqref>K2</xm:sqref>
        </x14:dataValidation>
        <x14:dataValidation type="list" allowBlank="1" showInputMessage="1" showErrorMessage="1" promptTitle="Poles or Dimensions" prompt="For MSSB/Distribution boards specify the number of poles_x000a_For enclosures specify the dimesions" xr:uid="{00000000-0002-0000-0600-00000C000000}">
          <x14:formula1>
            <xm:f>'D:\Google Drive\3. Clients\2. Tenders\18-0266 - Beenliegh Aquatic Center\Section 0 - Tender Documentation\Tender Markup\[18-0266 - Beenleigh Aquatic Center - MechElec - 2.3r1.xlsx]_MSSB'!#REF!</xm:f>
          </x14:formula1>
          <xm:sqref>N2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2"/>
  <sheetViews>
    <sheetView topLeftCell="A10" workbookViewId="0">
      <selection activeCell="J13" sqref="J13"/>
    </sheetView>
  </sheetViews>
  <sheetFormatPr defaultColWidth="9.23046875" defaultRowHeight="14.6" x14ac:dyDescent="0.4"/>
  <cols>
    <col min="1" max="10" width="9.23046875" style="114"/>
    <col min="11" max="11" width="9.23046875" style="415"/>
    <col min="12" max="12" width="9.23046875" style="114"/>
    <col min="13" max="13" width="30.3046875" style="114" customWidth="1"/>
    <col min="14" max="15" width="9.23046875" style="114"/>
    <col min="16" max="17" width="20.69140625" style="114" customWidth="1"/>
    <col min="18" max="16384" width="9.23046875" style="114"/>
  </cols>
  <sheetData>
    <row r="1" spans="1:17" ht="43.75" x14ac:dyDescent="0.4">
      <c r="A1" s="33" t="s">
        <v>938</v>
      </c>
      <c r="B1" s="33" t="s">
        <v>939</v>
      </c>
      <c r="C1" s="33" t="s">
        <v>940</v>
      </c>
      <c r="D1" s="33" t="s">
        <v>941</v>
      </c>
      <c r="E1" s="33" t="s">
        <v>952</v>
      </c>
      <c r="F1" s="418" t="s">
        <v>943</v>
      </c>
      <c r="G1" s="33" t="s">
        <v>953</v>
      </c>
      <c r="H1" s="114" t="str">
        <f>C1</f>
        <v>Colour</v>
      </c>
      <c r="I1" s="114" t="s">
        <v>954</v>
      </c>
      <c r="J1" s="33" t="s">
        <v>955</v>
      </c>
      <c r="K1" s="415" t="s">
        <v>956</v>
      </c>
      <c r="L1" s="33" t="s">
        <v>833</v>
      </c>
      <c r="P1" s="114" t="str">
        <f>J1</f>
        <v>IGOC</v>
      </c>
      <c r="Q1" s="114" t="str">
        <f>L1</f>
        <v>Dore</v>
      </c>
    </row>
    <row r="2" spans="1:17" x14ac:dyDescent="0.4">
      <c r="A2" s="114">
        <v>1</v>
      </c>
      <c r="B2" s="114" t="s">
        <v>957</v>
      </c>
      <c r="C2" s="114" t="s">
        <v>947</v>
      </c>
      <c r="D2" s="114">
        <v>250</v>
      </c>
      <c r="E2" s="114" t="s">
        <v>958</v>
      </c>
      <c r="F2" s="114" t="s">
        <v>951</v>
      </c>
      <c r="H2" s="114" t="s">
        <v>947</v>
      </c>
      <c r="I2" s="114" t="s">
        <v>958</v>
      </c>
      <c r="J2" s="327" t="str">
        <f>_xlfn.CONCAT("EN",IF(I2=$E$2,46,IF(I2=$E$3,66,IF(I2=$E$4,68,IF(I2=$E$5,88,810)))),IF(H2="Orange","-O","-G"))</f>
        <v>EN46-O</v>
      </c>
      <c r="K2" s="415" t="s">
        <v>959</v>
      </c>
      <c r="L2" s="114" t="s">
        <v>960</v>
      </c>
      <c r="P2" s="114" t="str">
        <f t="shared" ref="P2:P11" si="0">J2</f>
        <v>EN46-O</v>
      </c>
      <c r="Q2" s="114" t="str">
        <f t="shared" ref="Q2:Q11" si="1">L2</f>
        <v>MBO4620</v>
      </c>
    </row>
    <row r="3" spans="1:17" x14ac:dyDescent="0.4">
      <c r="A3" s="114">
        <v>2</v>
      </c>
      <c r="B3" s="114" t="s">
        <v>961</v>
      </c>
      <c r="C3" s="114" t="s">
        <v>950</v>
      </c>
      <c r="D3" s="114">
        <v>400</v>
      </c>
      <c r="E3" s="114" t="s">
        <v>962</v>
      </c>
      <c r="F3" s="114" t="s">
        <v>949</v>
      </c>
      <c r="H3" s="114" t="s">
        <v>947</v>
      </c>
      <c r="I3" s="114" t="s">
        <v>962</v>
      </c>
      <c r="J3" s="327" t="str">
        <f t="shared" ref="J3:J11" si="2">_xlfn.CONCAT("EN",IF(I3=$E$2,46,IF(I3=$E$3,66,IF(I3=$E$4,68,IF(I3=$E$5,88,810)))),IF(H3="Orange","-O","-G"))</f>
        <v>EN66-O</v>
      </c>
      <c r="K3" s="415" t="s">
        <v>959</v>
      </c>
      <c r="L3" s="114" t="s">
        <v>745</v>
      </c>
      <c r="P3" s="114" t="str">
        <f t="shared" si="0"/>
        <v>EN66-O</v>
      </c>
      <c r="Q3" s="114" t="str">
        <f t="shared" si="1"/>
        <v>MBO6620</v>
      </c>
    </row>
    <row r="4" spans="1:17" x14ac:dyDescent="0.4">
      <c r="A4" s="114">
        <v>3</v>
      </c>
      <c r="B4" s="114" t="s">
        <v>946</v>
      </c>
      <c r="E4" s="114" t="s">
        <v>948</v>
      </c>
      <c r="H4" s="114" t="s">
        <v>947</v>
      </c>
      <c r="I4" s="114" t="s">
        <v>948</v>
      </c>
      <c r="J4" s="327" t="str">
        <f t="shared" si="2"/>
        <v>EN68-O</v>
      </c>
      <c r="K4" s="415" t="s">
        <v>959</v>
      </c>
      <c r="L4" s="114" t="s">
        <v>963</v>
      </c>
      <c r="P4" s="114" t="str">
        <f t="shared" si="0"/>
        <v>EN68-O</v>
      </c>
      <c r="Q4" s="114" t="str">
        <f t="shared" si="1"/>
        <v>MBO6825</v>
      </c>
    </row>
    <row r="5" spans="1:17" x14ac:dyDescent="0.4">
      <c r="A5" s="114" t="s">
        <v>964</v>
      </c>
      <c r="E5" s="114" t="s">
        <v>965</v>
      </c>
      <c r="H5" s="114" t="s">
        <v>947</v>
      </c>
      <c r="I5" s="114" t="s">
        <v>965</v>
      </c>
      <c r="J5" s="327" t="str">
        <f t="shared" si="2"/>
        <v>EN88-O</v>
      </c>
      <c r="K5" s="415" t="s">
        <v>966</v>
      </c>
      <c r="L5" s="114" t="s">
        <v>967</v>
      </c>
      <c r="P5" s="114" t="str">
        <f t="shared" si="0"/>
        <v>EN88-O</v>
      </c>
      <c r="Q5" s="114" t="str">
        <f t="shared" si="1"/>
        <v>N/A</v>
      </c>
    </row>
    <row r="6" spans="1:17" x14ac:dyDescent="0.4">
      <c r="E6" s="114" t="s">
        <v>968</v>
      </c>
      <c r="H6" s="114" t="s">
        <v>947</v>
      </c>
      <c r="I6" s="114" t="s">
        <v>968</v>
      </c>
      <c r="J6" s="327" t="str">
        <f t="shared" si="2"/>
        <v>EN810-O</v>
      </c>
      <c r="K6" s="415" t="s">
        <v>959</v>
      </c>
      <c r="L6" s="114" t="s">
        <v>969</v>
      </c>
      <c r="P6" s="114" t="str">
        <f t="shared" si="0"/>
        <v>EN810-O</v>
      </c>
      <c r="Q6" s="114" t="str">
        <f t="shared" si="1"/>
        <v>MB81030</v>
      </c>
    </row>
    <row r="7" spans="1:17" x14ac:dyDescent="0.4">
      <c r="E7" s="114">
        <v>24</v>
      </c>
      <c r="H7" s="114" t="s">
        <v>950</v>
      </c>
      <c r="I7" s="114" t="s">
        <v>958</v>
      </c>
      <c r="J7" s="327" t="str">
        <f t="shared" si="2"/>
        <v>EN46-G</v>
      </c>
      <c r="K7" s="415" t="s">
        <v>959</v>
      </c>
      <c r="L7" s="114" t="s">
        <v>970</v>
      </c>
      <c r="P7" s="114" t="str">
        <f t="shared" si="0"/>
        <v>EN46-G</v>
      </c>
      <c r="Q7" s="114" t="str">
        <f t="shared" si="1"/>
        <v>MB4620</v>
      </c>
    </row>
    <row r="8" spans="1:17" x14ac:dyDescent="0.4">
      <c r="E8" s="114">
        <v>36</v>
      </c>
      <c r="H8" s="114" t="s">
        <v>950</v>
      </c>
      <c r="I8" s="114" t="s">
        <v>962</v>
      </c>
      <c r="J8" s="327" t="str">
        <f t="shared" si="2"/>
        <v>EN66-G</v>
      </c>
      <c r="K8" s="415" t="s">
        <v>959</v>
      </c>
      <c r="L8" s="114" t="s">
        <v>971</v>
      </c>
      <c r="P8" s="114" t="str">
        <f t="shared" si="0"/>
        <v>EN66-G</v>
      </c>
      <c r="Q8" s="114" t="str">
        <f t="shared" si="1"/>
        <v>MB6630</v>
      </c>
    </row>
    <row r="9" spans="1:17" x14ac:dyDescent="0.4">
      <c r="E9" s="114">
        <v>48</v>
      </c>
      <c r="H9" s="114" t="s">
        <v>950</v>
      </c>
      <c r="I9" s="114" t="s">
        <v>948</v>
      </c>
      <c r="J9" s="327" t="str">
        <f t="shared" si="2"/>
        <v>EN68-G</v>
      </c>
      <c r="K9" s="415" t="s">
        <v>959</v>
      </c>
      <c r="L9" s="114" t="s">
        <v>972</v>
      </c>
      <c r="P9" s="114" t="str">
        <f t="shared" si="0"/>
        <v>EN68-G</v>
      </c>
      <c r="Q9" s="114" t="str">
        <f t="shared" si="1"/>
        <v>MB6830</v>
      </c>
    </row>
    <row r="10" spans="1:17" x14ac:dyDescent="0.4">
      <c r="E10" s="114">
        <v>60</v>
      </c>
      <c r="H10" s="114" t="s">
        <v>950</v>
      </c>
      <c r="I10" s="114" t="s">
        <v>965</v>
      </c>
      <c r="J10" s="327" t="str">
        <f t="shared" si="2"/>
        <v>EN88-G</v>
      </c>
      <c r="K10" s="415" t="s">
        <v>959</v>
      </c>
      <c r="L10" s="114" t="s">
        <v>973</v>
      </c>
      <c r="P10" s="114" t="str">
        <f t="shared" si="0"/>
        <v>EN88-G</v>
      </c>
      <c r="Q10" s="114" t="str">
        <f t="shared" si="1"/>
        <v>MB8830</v>
      </c>
    </row>
    <row r="11" spans="1:17" x14ac:dyDescent="0.4">
      <c r="E11" s="114">
        <v>72</v>
      </c>
      <c r="H11" s="114" t="s">
        <v>950</v>
      </c>
      <c r="I11" s="114" t="s">
        <v>968</v>
      </c>
      <c r="J11" s="327" t="str">
        <f t="shared" si="2"/>
        <v>EN810-G</v>
      </c>
      <c r="K11" s="415" t="s">
        <v>959</v>
      </c>
      <c r="L11" s="114" t="s">
        <v>969</v>
      </c>
      <c r="P11" s="114" t="str">
        <f t="shared" si="0"/>
        <v>EN810-G</v>
      </c>
      <c r="Q11" s="114" t="str">
        <f t="shared" si="1"/>
        <v>MB81030</v>
      </c>
    </row>
    <row r="12" spans="1:17" x14ac:dyDescent="0.4">
      <c r="M12" s="33"/>
      <c r="N12" s="33"/>
    </row>
    <row r="13" spans="1:17" x14ac:dyDescent="0.4">
      <c r="A13" s="33" t="s">
        <v>974</v>
      </c>
      <c r="G13" s="114" t="s">
        <v>975</v>
      </c>
      <c r="H13" s="114" t="s">
        <v>947</v>
      </c>
      <c r="I13" s="114">
        <f>D2</f>
        <v>250</v>
      </c>
      <c r="J13" s="114">
        <v>24</v>
      </c>
      <c r="K13" s="415" t="str">
        <f>F2</f>
        <v>Non-Auto</v>
      </c>
      <c r="L13" s="114" t="s">
        <v>961</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964</v>
      </c>
      <c r="B14" s="114" t="s">
        <v>976</v>
      </c>
      <c r="H14" s="114" t="s">
        <v>947</v>
      </c>
      <c r="I14" s="114">
        <f>D2</f>
        <v>250</v>
      </c>
      <c r="J14" s="114">
        <v>24</v>
      </c>
      <c r="K14" s="415" t="str">
        <f>F3</f>
        <v>MCCB</v>
      </c>
      <c r="L14" s="114" t="s">
        <v>961</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977</v>
      </c>
      <c r="B15" s="114" t="s">
        <v>978</v>
      </c>
      <c r="H15" s="114" t="s">
        <v>947</v>
      </c>
      <c r="I15" s="114">
        <f>D2</f>
        <v>250</v>
      </c>
      <c r="J15" s="114">
        <v>36</v>
      </c>
      <c r="K15" s="415" t="s">
        <v>951</v>
      </c>
      <c r="L15" s="114" t="s">
        <v>961</v>
      </c>
      <c r="M15" s="114" t="str">
        <f t="shared" si="4"/>
        <v>DB36-2-42-O</v>
      </c>
      <c r="N15" s="114" t="str">
        <f t="shared" si="5"/>
        <v>EUR-MDB36OR</v>
      </c>
      <c r="P15" s="114" t="str">
        <f t="shared" si="3"/>
        <v>DB36-2-42-O</v>
      </c>
      <c r="Q15" s="114" t="str">
        <f t="shared" si="3"/>
        <v>EUR-MDB36OR</v>
      </c>
    </row>
    <row r="16" spans="1:17" x14ac:dyDescent="0.4">
      <c r="H16" s="114" t="s">
        <v>947</v>
      </c>
      <c r="I16" s="114">
        <f>D2</f>
        <v>250</v>
      </c>
      <c r="J16" s="114">
        <v>36</v>
      </c>
      <c r="K16" s="415" t="s">
        <v>949</v>
      </c>
      <c r="L16" s="114" t="s">
        <v>961</v>
      </c>
      <c r="M16" s="114" t="str">
        <f t="shared" si="4"/>
        <v>DB36-2-42-O-M</v>
      </c>
      <c r="N16" s="114" t="str">
        <f t="shared" si="5"/>
        <v>EUR-MDB36O2MC</v>
      </c>
      <c r="P16" s="114" t="str">
        <f t="shared" si="3"/>
        <v>DB36-2-42-O-M</v>
      </c>
      <c r="Q16" s="114" t="str">
        <f t="shared" si="3"/>
        <v>EUR-MDB36O2MC</v>
      </c>
    </row>
    <row r="17" spans="8:17" x14ac:dyDescent="0.4">
      <c r="H17" s="114" t="s">
        <v>947</v>
      </c>
      <c r="I17" s="114">
        <f>D2</f>
        <v>250</v>
      </c>
      <c r="J17" s="114">
        <f>E9</f>
        <v>48</v>
      </c>
      <c r="K17" s="415" t="str">
        <f>K15</f>
        <v>Non-Auto</v>
      </c>
      <c r="L17" s="114" t="s">
        <v>961</v>
      </c>
      <c r="M17" s="114" t="str">
        <f t="shared" si="4"/>
        <v>DB48-2-42-O</v>
      </c>
      <c r="N17" s="114" t="str">
        <f t="shared" si="5"/>
        <v>EUR-MDB48OR</v>
      </c>
      <c r="P17" s="114" t="str">
        <f t="shared" si="3"/>
        <v>DB48-2-42-O</v>
      </c>
      <c r="Q17" s="114" t="str">
        <f t="shared" si="3"/>
        <v>EUR-MDB48OR</v>
      </c>
    </row>
    <row r="18" spans="8:17" x14ac:dyDescent="0.4">
      <c r="H18" s="114" t="s">
        <v>947</v>
      </c>
      <c r="I18" s="114">
        <f>D2</f>
        <v>250</v>
      </c>
      <c r="J18" s="114">
        <f>E9</f>
        <v>48</v>
      </c>
      <c r="K18" s="415" t="str">
        <f>K16</f>
        <v>MCCB</v>
      </c>
      <c r="L18" s="114" t="s">
        <v>961</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947</v>
      </c>
      <c r="I23" s="114">
        <v>250</v>
      </c>
      <c r="J23" s="114">
        <v>24</v>
      </c>
      <c r="K23" s="415" t="s">
        <v>951</v>
      </c>
      <c r="L23" s="114" t="s">
        <v>946</v>
      </c>
      <c r="M23" s="114" t="str">
        <f t="shared" si="4"/>
        <v>DB24-2-56-O</v>
      </c>
      <c r="N23" s="114" t="str">
        <f t="shared" si="5"/>
        <v>EUR-MDB24OR/WP</v>
      </c>
      <c r="P23" s="114" t="str">
        <f t="shared" si="3"/>
        <v>DB24-2-56-O</v>
      </c>
      <c r="Q23" s="114" t="str">
        <f t="shared" si="3"/>
        <v>EUR-MDB24OR/WP</v>
      </c>
    </row>
    <row r="24" spans="8:17" x14ac:dyDescent="0.4">
      <c r="H24" s="114" t="s">
        <v>947</v>
      </c>
      <c r="I24" s="114">
        <v>250</v>
      </c>
      <c r="J24" s="114">
        <v>24</v>
      </c>
      <c r="K24" s="415" t="s">
        <v>949</v>
      </c>
      <c r="L24" s="114" t="s">
        <v>946</v>
      </c>
      <c r="M24" s="114" t="str">
        <f t="shared" si="4"/>
        <v>DB24-2-56-O-M</v>
      </c>
      <c r="N24" s="114" t="str">
        <f t="shared" si="5"/>
        <v>EUR-MDB24O2MCWP</v>
      </c>
      <c r="P24" s="114" t="str">
        <f t="shared" si="3"/>
        <v>DB24-2-56-O-M</v>
      </c>
      <c r="Q24" s="114" t="str">
        <f t="shared" si="3"/>
        <v>EUR-MDB24O2MCWP</v>
      </c>
    </row>
    <row r="25" spans="8:17" x14ac:dyDescent="0.4">
      <c r="H25" s="114" t="s">
        <v>947</v>
      </c>
      <c r="I25" s="114">
        <v>250</v>
      </c>
      <c r="J25" s="114">
        <v>36</v>
      </c>
      <c r="K25" s="415" t="s">
        <v>951</v>
      </c>
      <c r="L25" s="114" t="s">
        <v>946</v>
      </c>
      <c r="M25" s="114" t="str">
        <f t="shared" si="4"/>
        <v>DB36-2-56-O</v>
      </c>
      <c r="N25" s="114" t="str">
        <f t="shared" si="5"/>
        <v>EUR-MDB36OR/WP</v>
      </c>
      <c r="P25" s="114" t="str">
        <f t="shared" si="3"/>
        <v>DB36-2-56-O</v>
      </c>
      <c r="Q25" s="114" t="str">
        <f t="shared" si="3"/>
        <v>EUR-MDB36OR/WP</v>
      </c>
    </row>
    <row r="26" spans="8:17" x14ac:dyDescent="0.4">
      <c r="H26" s="114" t="s">
        <v>947</v>
      </c>
      <c r="I26" s="114">
        <v>250</v>
      </c>
      <c r="J26" s="114">
        <v>36</v>
      </c>
      <c r="K26" s="415" t="s">
        <v>949</v>
      </c>
      <c r="L26" s="114" t="s">
        <v>946</v>
      </c>
      <c r="M26" s="114" t="str">
        <f t="shared" si="4"/>
        <v>DB36-2-56-O-M</v>
      </c>
      <c r="N26" s="114" t="str">
        <f t="shared" si="5"/>
        <v>EUR-MDB36O2MCWP</v>
      </c>
      <c r="P26" s="114" t="str">
        <f t="shared" si="3"/>
        <v>DB36-2-56-O-M</v>
      </c>
      <c r="Q26" s="114" t="str">
        <f t="shared" si="3"/>
        <v>EUR-MDB36O2MCWP</v>
      </c>
    </row>
    <row r="27" spans="8:17" x14ac:dyDescent="0.4">
      <c r="H27" s="114" t="s">
        <v>947</v>
      </c>
      <c r="I27" s="114">
        <v>250</v>
      </c>
      <c r="J27" s="114">
        <v>48</v>
      </c>
      <c r="K27" s="415" t="s">
        <v>951</v>
      </c>
      <c r="L27" s="114" t="s">
        <v>946</v>
      </c>
      <c r="M27" s="114" t="str">
        <f t="shared" si="4"/>
        <v>DB48-2-56-O</v>
      </c>
      <c r="N27" s="114" t="str">
        <f t="shared" si="5"/>
        <v>EUR-MDB48OR/WP</v>
      </c>
      <c r="P27" s="114" t="str">
        <f t="shared" si="3"/>
        <v>DB48-2-56-O</v>
      </c>
      <c r="Q27" s="114" t="str">
        <f t="shared" si="3"/>
        <v>EUR-MDB48OR/WP</v>
      </c>
    </row>
    <row r="28" spans="8:17" x14ac:dyDescent="0.4">
      <c r="H28" s="114" t="s">
        <v>947</v>
      </c>
      <c r="I28" s="114">
        <v>250</v>
      </c>
      <c r="J28" s="114">
        <v>48</v>
      </c>
      <c r="K28" s="415" t="s">
        <v>949</v>
      </c>
      <c r="L28" s="114" t="s">
        <v>946</v>
      </c>
      <c r="M28" s="114" t="str">
        <f t="shared" si="4"/>
        <v>DB48-2-56-O-M</v>
      </c>
      <c r="N28" s="114" t="str">
        <f t="shared" si="5"/>
        <v>EUR-MDB48O2MCWP</v>
      </c>
      <c r="P28" s="114" t="str">
        <f t="shared" si="3"/>
        <v>DB48-2-56-O-M</v>
      </c>
      <c r="Q28" s="114" t="str">
        <f t="shared" si="3"/>
        <v>EUR-MDB48O2MCWP</v>
      </c>
    </row>
    <row r="29" spans="8:17" x14ac:dyDescent="0.4">
      <c r="H29" s="114" t="s">
        <v>947</v>
      </c>
      <c r="I29" s="114">
        <v>250</v>
      </c>
      <c r="J29" s="114">
        <v>60</v>
      </c>
      <c r="K29" s="415" t="s">
        <v>951</v>
      </c>
      <c r="L29" s="114" t="s">
        <v>946</v>
      </c>
      <c r="M29" s="114" t="str">
        <f t="shared" si="4"/>
        <v>DB60-2-56-O</v>
      </c>
      <c r="N29" s="114" t="str">
        <f t="shared" si="5"/>
        <v>EUR-MDB60OR/WP</v>
      </c>
      <c r="P29" s="114" t="str">
        <f t="shared" si="3"/>
        <v>DB60-2-56-O</v>
      </c>
      <c r="Q29" s="114" t="str">
        <f t="shared" si="3"/>
        <v>EUR-MDB60OR/WP</v>
      </c>
    </row>
    <row r="30" spans="8:17" x14ac:dyDescent="0.4">
      <c r="H30" s="114" t="s">
        <v>947</v>
      </c>
      <c r="I30" s="114">
        <v>250</v>
      </c>
      <c r="J30" s="114">
        <v>60</v>
      </c>
      <c r="K30" s="415" t="s">
        <v>949</v>
      </c>
      <c r="L30" s="114" t="s">
        <v>946</v>
      </c>
      <c r="M30" s="114" t="str">
        <f t="shared" si="4"/>
        <v>DB60-2-56-O-M</v>
      </c>
      <c r="N30" s="114" t="str">
        <f t="shared" si="5"/>
        <v>EUR-MDB60O2MCWP</v>
      </c>
      <c r="P30" s="114" t="str">
        <f t="shared" si="3"/>
        <v>DB60-2-56-O-M</v>
      </c>
      <c r="Q30" s="114" t="str">
        <f t="shared" si="3"/>
        <v>EUR-MDB60O2MCWP</v>
      </c>
    </row>
    <row r="31" spans="8:17" x14ac:dyDescent="0.4">
      <c r="H31" s="114" t="s">
        <v>947</v>
      </c>
      <c r="I31" s="114">
        <v>250</v>
      </c>
      <c r="J31" s="114">
        <v>72</v>
      </c>
      <c r="K31" s="415" t="s">
        <v>951</v>
      </c>
      <c r="L31" s="114" t="s">
        <v>946</v>
      </c>
      <c r="M31" s="114" t="str">
        <f t="shared" si="4"/>
        <v>DB72-2-56-O</v>
      </c>
      <c r="N31" s="114" t="str">
        <f t="shared" si="5"/>
        <v>EUR-MDB72OR/WP</v>
      </c>
      <c r="P31" s="114" t="str">
        <f t="shared" si="3"/>
        <v>DB72-2-56-O</v>
      </c>
      <c r="Q31" s="114" t="str">
        <f t="shared" si="3"/>
        <v>EUR-MDB72OR/WP</v>
      </c>
    </row>
    <row r="32" spans="8:17" x14ac:dyDescent="0.4">
      <c r="H32" s="114" t="s">
        <v>947</v>
      </c>
      <c r="I32" s="114">
        <v>250</v>
      </c>
      <c r="J32" s="114">
        <v>72</v>
      </c>
      <c r="K32" s="415" t="s">
        <v>949</v>
      </c>
      <c r="L32" s="114" t="s">
        <v>946</v>
      </c>
      <c r="M32" s="114" t="str">
        <f t="shared" si="4"/>
        <v>DB72-2-56-O-M</v>
      </c>
      <c r="N32" s="114" t="str">
        <f t="shared" si="5"/>
        <v>EUR-MDB72O2MCWP</v>
      </c>
      <c r="P32" s="114" t="str">
        <f t="shared" si="3"/>
        <v>DB72-2-56-O-M</v>
      </c>
      <c r="Q32" s="114" t="str">
        <f t="shared" si="3"/>
        <v>EUR-MDB72O2MCWP</v>
      </c>
    </row>
    <row r="33" spans="8:17" x14ac:dyDescent="0.4">
      <c r="H33" s="114" t="s">
        <v>947</v>
      </c>
      <c r="I33" s="114">
        <v>400</v>
      </c>
      <c r="J33" s="114">
        <v>24</v>
      </c>
      <c r="K33" s="415" t="s">
        <v>951</v>
      </c>
      <c r="L33" s="114" t="s">
        <v>961</v>
      </c>
      <c r="M33" s="114" t="str">
        <f t="shared" si="4"/>
        <v>DB24-4-42-O</v>
      </c>
      <c r="N33" s="114" t="str">
        <f t="shared" si="5"/>
        <v>EUR-MDB24O4NA</v>
      </c>
      <c r="P33" s="114" t="str">
        <f t="shared" si="3"/>
        <v>DB24-4-42-O</v>
      </c>
      <c r="Q33" s="114" t="str">
        <f t="shared" si="3"/>
        <v>EUR-MDB24O4NA</v>
      </c>
    </row>
    <row r="34" spans="8:17" x14ac:dyDescent="0.4">
      <c r="H34" s="114" t="s">
        <v>947</v>
      </c>
      <c r="I34" s="114">
        <v>400</v>
      </c>
      <c r="J34" s="114">
        <v>24</v>
      </c>
      <c r="K34" s="415" t="s">
        <v>949</v>
      </c>
      <c r="L34" s="114" t="s">
        <v>961</v>
      </c>
      <c r="M34" s="114" t="str">
        <f t="shared" si="4"/>
        <v>DB24-4-42-O-M</v>
      </c>
      <c r="N34" s="114" t="str">
        <f t="shared" si="5"/>
        <v>EUR-MDB24O4MC</v>
      </c>
      <c r="P34" s="114" t="str">
        <f t="shared" si="3"/>
        <v>DB24-4-42-O-M</v>
      </c>
      <c r="Q34" s="114" t="str">
        <f t="shared" si="3"/>
        <v>EUR-MDB24O4MC</v>
      </c>
    </row>
    <row r="35" spans="8:17" x14ac:dyDescent="0.4">
      <c r="H35" s="114" t="s">
        <v>947</v>
      </c>
      <c r="I35" s="114">
        <v>400</v>
      </c>
      <c r="J35" s="114">
        <v>36</v>
      </c>
      <c r="K35" s="415" t="s">
        <v>951</v>
      </c>
      <c r="L35" s="114" t="s">
        <v>961</v>
      </c>
      <c r="M35" s="114" t="str">
        <f t="shared" si="4"/>
        <v>DB36-4-42-O</v>
      </c>
      <c r="N35" s="114" t="str">
        <f t="shared" si="5"/>
        <v>EUR-MDB36O4NA</v>
      </c>
      <c r="P35" s="114" t="str">
        <f t="shared" si="3"/>
        <v>DB36-4-42-O</v>
      </c>
      <c r="Q35" s="114" t="str">
        <f t="shared" si="3"/>
        <v>EUR-MDB36O4NA</v>
      </c>
    </row>
    <row r="36" spans="8:17" x14ac:dyDescent="0.4">
      <c r="H36" s="114" t="s">
        <v>947</v>
      </c>
      <c r="I36" s="114">
        <v>400</v>
      </c>
      <c r="J36" s="114">
        <v>36</v>
      </c>
      <c r="K36" s="415" t="s">
        <v>949</v>
      </c>
      <c r="L36" s="114" t="s">
        <v>961</v>
      </c>
      <c r="M36" s="114" t="str">
        <f t="shared" si="4"/>
        <v>DB36-4-42-O-M</v>
      </c>
      <c r="N36" s="114" t="str">
        <f t="shared" si="5"/>
        <v>EUR-MDB36O4MC</v>
      </c>
      <c r="P36" s="114" t="str">
        <f t="shared" si="3"/>
        <v>DB36-4-42-O-M</v>
      </c>
      <c r="Q36" s="114" t="str">
        <f t="shared" si="3"/>
        <v>EUR-MDB36O4MC</v>
      </c>
    </row>
    <row r="37" spans="8:17" x14ac:dyDescent="0.4">
      <c r="H37" s="114" t="s">
        <v>947</v>
      </c>
      <c r="I37" s="114">
        <v>400</v>
      </c>
      <c r="J37" s="114">
        <v>48</v>
      </c>
      <c r="K37" s="415" t="s">
        <v>951</v>
      </c>
      <c r="L37" s="114" t="s">
        <v>961</v>
      </c>
      <c r="M37" s="114" t="str">
        <f t="shared" si="4"/>
        <v>DB48-4-42-O</v>
      </c>
      <c r="N37" s="114" t="str">
        <f t="shared" si="5"/>
        <v>EUR-MDB48O4NA</v>
      </c>
      <c r="P37" s="114" t="str">
        <f t="shared" si="3"/>
        <v>DB48-4-42-O</v>
      </c>
      <c r="Q37" s="114" t="str">
        <f t="shared" si="3"/>
        <v>EUR-MDB48O4NA</v>
      </c>
    </row>
    <row r="38" spans="8:17" x14ac:dyDescent="0.4">
      <c r="H38" s="114" t="s">
        <v>947</v>
      </c>
      <c r="I38" s="114">
        <v>400</v>
      </c>
      <c r="J38" s="114">
        <v>48</v>
      </c>
      <c r="K38" s="415" t="s">
        <v>949</v>
      </c>
      <c r="L38" s="114" t="s">
        <v>961</v>
      </c>
      <c r="M38" s="114" t="str">
        <f t="shared" si="4"/>
        <v>DB48-4-42-O-M</v>
      </c>
      <c r="N38" s="114" t="str">
        <f t="shared" si="5"/>
        <v>EUR-MDB48O4MC</v>
      </c>
      <c r="P38" s="114" t="str">
        <f t="shared" si="3"/>
        <v>DB48-4-42-O-M</v>
      </c>
      <c r="Q38" s="114" t="str">
        <f t="shared" si="3"/>
        <v>EUR-MDB48O4MC</v>
      </c>
    </row>
    <row r="39" spans="8:17" x14ac:dyDescent="0.4">
      <c r="H39" s="114" t="s">
        <v>947</v>
      </c>
      <c r="I39" s="114">
        <v>400</v>
      </c>
      <c r="J39" s="114">
        <v>60</v>
      </c>
      <c r="K39" s="415" t="s">
        <v>951</v>
      </c>
      <c r="L39" s="114" t="s">
        <v>961</v>
      </c>
      <c r="M39" s="114" t="str">
        <f t="shared" si="4"/>
        <v>DB60-4-42-O</v>
      </c>
      <c r="N39" s="114" t="str">
        <f t="shared" si="5"/>
        <v>EUR-MDB60O4NA</v>
      </c>
      <c r="P39" s="114" t="str">
        <f t="shared" si="3"/>
        <v>DB60-4-42-O</v>
      </c>
      <c r="Q39" s="114" t="str">
        <f t="shared" si="3"/>
        <v>EUR-MDB60O4NA</v>
      </c>
    </row>
    <row r="40" spans="8:17" x14ac:dyDescent="0.4">
      <c r="H40" s="114" t="s">
        <v>947</v>
      </c>
      <c r="I40" s="114">
        <v>400</v>
      </c>
      <c r="J40" s="114">
        <v>60</v>
      </c>
      <c r="K40" s="415" t="s">
        <v>949</v>
      </c>
      <c r="L40" s="114" t="s">
        <v>961</v>
      </c>
      <c r="M40" s="114" t="str">
        <f t="shared" si="4"/>
        <v>DB60-4-42-O-M</v>
      </c>
      <c r="N40" s="114" t="str">
        <f t="shared" si="5"/>
        <v>EUR-MDB60O4MC</v>
      </c>
      <c r="P40" s="114" t="str">
        <f t="shared" si="3"/>
        <v>DB60-4-42-O-M</v>
      </c>
      <c r="Q40" s="114" t="str">
        <f t="shared" si="3"/>
        <v>EUR-MDB60O4MC</v>
      </c>
    </row>
    <row r="41" spans="8:17" x14ac:dyDescent="0.4">
      <c r="H41" s="114" t="s">
        <v>947</v>
      </c>
      <c r="I41" s="114">
        <v>400</v>
      </c>
      <c r="J41" s="114">
        <v>72</v>
      </c>
      <c r="K41" s="415" t="s">
        <v>951</v>
      </c>
      <c r="L41" s="114" t="s">
        <v>961</v>
      </c>
      <c r="M41" s="114" t="str">
        <f t="shared" si="4"/>
        <v>DB72-4-42-O</v>
      </c>
      <c r="N41" s="114" t="str">
        <f t="shared" si="5"/>
        <v>EUR-MDB72O4NA</v>
      </c>
      <c r="P41" s="114" t="str">
        <f t="shared" si="3"/>
        <v>DB72-4-42-O</v>
      </c>
      <c r="Q41" s="114" t="str">
        <f t="shared" si="3"/>
        <v>EUR-MDB72O4NA</v>
      </c>
    </row>
    <row r="42" spans="8:17" x14ac:dyDescent="0.4">
      <c r="H42" s="114" t="s">
        <v>947</v>
      </c>
      <c r="I42" s="114">
        <v>400</v>
      </c>
      <c r="J42" s="114">
        <v>72</v>
      </c>
      <c r="K42" s="415" t="s">
        <v>949</v>
      </c>
      <c r="L42" s="114" t="s">
        <v>961</v>
      </c>
      <c r="M42" s="114" t="str">
        <f t="shared" si="4"/>
        <v>DB72-4-42-O-M</v>
      </c>
      <c r="N42" s="114" t="str">
        <f t="shared" si="5"/>
        <v>EUR-MDB72O4MC</v>
      </c>
      <c r="P42" s="114" t="str">
        <f t="shared" si="3"/>
        <v>DB72-4-42-O-M</v>
      </c>
      <c r="Q42" s="114" t="str">
        <f t="shared" si="3"/>
        <v>EUR-MDB72O4MC</v>
      </c>
    </row>
    <row r="43" spans="8:17" x14ac:dyDescent="0.4">
      <c r="H43" s="114" t="s">
        <v>947</v>
      </c>
      <c r="I43" s="114">
        <v>400</v>
      </c>
      <c r="J43" s="114">
        <v>24</v>
      </c>
      <c r="K43" s="415" t="s">
        <v>951</v>
      </c>
      <c r="L43" s="114" t="s">
        <v>946</v>
      </c>
      <c r="M43" s="114" t="str">
        <f t="shared" si="4"/>
        <v>DB24-4-56-O</v>
      </c>
      <c r="N43" s="114" t="str">
        <f t="shared" si="5"/>
        <v>EUR-MDB24O4NAWP</v>
      </c>
      <c r="P43" s="114" t="str">
        <f t="shared" si="3"/>
        <v>DB24-4-56-O</v>
      </c>
      <c r="Q43" s="114" t="str">
        <f t="shared" si="3"/>
        <v>EUR-MDB24O4NAWP</v>
      </c>
    </row>
    <row r="44" spans="8:17" x14ac:dyDescent="0.4">
      <c r="H44" s="114" t="s">
        <v>947</v>
      </c>
      <c r="I44" s="114">
        <v>400</v>
      </c>
      <c r="J44" s="114">
        <v>24</v>
      </c>
      <c r="K44" s="415" t="s">
        <v>949</v>
      </c>
      <c r="L44" s="114" t="s">
        <v>946</v>
      </c>
      <c r="M44" s="114" t="str">
        <f t="shared" si="4"/>
        <v>DB24-4-56-O-M</v>
      </c>
      <c r="N44" s="114" t="str">
        <f t="shared" si="5"/>
        <v>EUR-MDB24O4MCWP</v>
      </c>
      <c r="P44" s="114" t="str">
        <f t="shared" si="3"/>
        <v>DB24-4-56-O-M</v>
      </c>
      <c r="Q44" s="114" t="str">
        <f t="shared" si="3"/>
        <v>EUR-MDB24O4MCWP</v>
      </c>
    </row>
    <row r="45" spans="8:17" x14ac:dyDescent="0.4">
      <c r="H45" s="114" t="s">
        <v>947</v>
      </c>
      <c r="I45" s="114">
        <v>400</v>
      </c>
      <c r="J45" s="114">
        <v>36</v>
      </c>
      <c r="K45" s="415" t="s">
        <v>951</v>
      </c>
      <c r="L45" s="114" t="s">
        <v>946</v>
      </c>
      <c r="M45" s="114" t="str">
        <f t="shared" si="4"/>
        <v>DB36-4-56-O</v>
      </c>
      <c r="N45" s="114" t="str">
        <f t="shared" si="5"/>
        <v>EUR-MDB36O4NAWP</v>
      </c>
      <c r="P45" s="114" t="str">
        <f t="shared" si="3"/>
        <v>DB36-4-56-O</v>
      </c>
      <c r="Q45" s="114" t="str">
        <f t="shared" si="3"/>
        <v>EUR-MDB36O4NAWP</v>
      </c>
    </row>
    <row r="46" spans="8:17" x14ac:dyDescent="0.4">
      <c r="H46" s="114" t="s">
        <v>947</v>
      </c>
      <c r="I46" s="114">
        <v>400</v>
      </c>
      <c r="J46" s="114">
        <v>36</v>
      </c>
      <c r="K46" s="415" t="s">
        <v>949</v>
      </c>
      <c r="L46" s="114" t="s">
        <v>946</v>
      </c>
      <c r="M46" s="114" t="str">
        <f t="shared" si="4"/>
        <v>DB36-4-56-O-M</v>
      </c>
      <c r="N46" s="114" t="str">
        <f t="shared" si="5"/>
        <v>EUR-MDB36O4MCWP</v>
      </c>
      <c r="P46" s="114" t="str">
        <f t="shared" si="3"/>
        <v>DB36-4-56-O-M</v>
      </c>
      <c r="Q46" s="114" t="str">
        <f t="shared" si="3"/>
        <v>EUR-MDB36O4MCWP</v>
      </c>
    </row>
    <row r="47" spans="8:17" x14ac:dyDescent="0.4">
      <c r="H47" s="114" t="s">
        <v>947</v>
      </c>
      <c r="I47" s="114">
        <v>400</v>
      </c>
      <c r="J47" s="114">
        <v>48</v>
      </c>
      <c r="K47" s="415" t="s">
        <v>951</v>
      </c>
      <c r="L47" s="114" t="s">
        <v>946</v>
      </c>
      <c r="M47" s="114" t="str">
        <f t="shared" si="4"/>
        <v>DB48-4-56-O</v>
      </c>
      <c r="N47" s="114" t="str">
        <f t="shared" si="5"/>
        <v>EUR-MDB48O4NAWP</v>
      </c>
      <c r="P47" s="114" t="str">
        <f t="shared" si="3"/>
        <v>DB48-4-56-O</v>
      </c>
      <c r="Q47" s="114" t="str">
        <f t="shared" si="3"/>
        <v>EUR-MDB48O4NAWP</v>
      </c>
    </row>
    <row r="48" spans="8:17" x14ac:dyDescent="0.4">
      <c r="H48" s="114" t="s">
        <v>947</v>
      </c>
      <c r="I48" s="114">
        <v>400</v>
      </c>
      <c r="J48" s="114">
        <v>48</v>
      </c>
      <c r="K48" s="415" t="s">
        <v>949</v>
      </c>
      <c r="L48" s="114" t="s">
        <v>946</v>
      </c>
      <c r="M48" s="114" t="str">
        <f t="shared" si="4"/>
        <v>DB48-4-56-O-M</v>
      </c>
      <c r="N48" s="114" t="str">
        <f t="shared" si="5"/>
        <v>EUR-MDB48O4MCWP</v>
      </c>
      <c r="P48" s="114" t="str">
        <f t="shared" si="3"/>
        <v>DB48-4-56-O-M</v>
      </c>
      <c r="Q48" s="114" t="str">
        <f t="shared" si="3"/>
        <v>EUR-MDB48O4MCWP</v>
      </c>
    </row>
    <row r="49" spans="8:17" x14ac:dyDescent="0.4">
      <c r="H49" s="114" t="s">
        <v>947</v>
      </c>
      <c r="I49" s="114">
        <v>400</v>
      </c>
      <c r="J49" s="114">
        <v>60</v>
      </c>
      <c r="K49" s="415" t="s">
        <v>951</v>
      </c>
      <c r="L49" s="114" t="s">
        <v>946</v>
      </c>
      <c r="M49" s="114" t="str">
        <f t="shared" si="4"/>
        <v>DB60-4-56-O</v>
      </c>
      <c r="N49" s="114" t="str">
        <f t="shared" si="5"/>
        <v>EUR-MDB60O4NAWP</v>
      </c>
      <c r="P49" s="114" t="str">
        <f t="shared" si="3"/>
        <v>DB60-4-56-O</v>
      </c>
      <c r="Q49" s="114" t="str">
        <f t="shared" si="3"/>
        <v>EUR-MDB60O4NAWP</v>
      </c>
    </row>
    <row r="50" spans="8:17" x14ac:dyDescent="0.4">
      <c r="H50" s="114" t="s">
        <v>947</v>
      </c>
      <c r="I50" s="114">
        <v>400</v>
      </c>
      <c r="J50" s="114">
        <v>60</v>
      </c>
      <c r="K50" s="415" t="s">
        <v>949</v>
      </c>
      <c r="L50" s="114" t="s">
        <v>946</v>
      </c>
      <c r="M50" s="114" t="str">
        <f t="shared" si="4"/>
        <v>DB60-4-56-O-M</v>
      </c>
      <c r="N50" s="114" t="str">
        <f t="shared" si="5"/>
        <v>EUR-MDB60O4MCWP</v>
      </c>
      <c r="P50" s="114" t="str">
        <f t="shared" si="3"/>
        <v>DB60-4-56-O-M</v>
      </c>
      <c r="Q50" s="114" t="str">
        <f t="shared" si="3"/>
        <v>EUR-MDB60O4MCWP</v>
      </c>
    </row>
    <row r="51" spans="8:17" x14ac:dyDescent="0.4">
      <c r="H51" s="114" t="s">
        <v>947</v>
      </c>
      <c r="I51" s="114">
        <v>400</v>
      </c>
      <c r="J51" s="114">
        <v>72</v>
      </c>
      <c r="K51" s="415" t="s">
        <v>951</v>
      </c>
      <c r="L51" s="114" t="s">
        <v>946</v>
      </c>
      <c r="M51" s="114" t="str">
        <f t="shared" si="4"/>
        <v>DB72-4-56-O</v>
      </c>
      <c r="N51" s="114" t="str">
        <f t="shared" si="5"/>
        <v>EUR-MDB72O4NAWP</v>
      </c>
      <c r="P51" s="114" t="str">
        <f t="shared" si="3"/>
        <v>DB72-4-56-O</v>
      </c>
      <c r="Q51" s="114" t="str">
        <f t="shared" si="3"/>
        <v>EUR-MDB72O4NAWP</v>
      </c>
    </row>
    <row r="52" spans="8:17" x14ac:dyDescent="0.4">
      <c r="H52" s="114" t="s">
        <v>947</v>
      </c>
      <c r="I52" s="114">
        <v>400</v>
      </c>
      <c r="J52" s="114">
        <v>72</v>
      </c>
      <c r="K52" s="415" t="s">
        <v>949</v>
      </c>
      <c r="L52" s="114" t="s">
        <v>946</v>
      </c>
      <c r="M52" s="114" t="str">
        <f t="shared" si="4"/>
        <v>DB72-4-56-O-M</v>
      </c>
      <c r="N52" s="114" t="str">
        <f t="shared" si="5"/>
        <v>EUR-MDB72O4MCWP</v>
      </c>
      <c r="P52" s="114" t="str">
        <f t="shared" si="3"/>
        <v>DB72-4-56-O-M</v>
      </c>
      <c r="Q52" s="114" t="str">
        <f t="shared" si="3"/>
        <v>EUR-MDB72O4MCWP</v>
      </c>
    </row>
    <row r="53" spans="8:17" x14ac:dyDescent="0.4">
      <c r="H53" s="114" t="s">
        <v>950</v>
      </c>
      <c r="I53" s="114">
        <v>250</v>
      </c>
      <c r="J53" s="114">
        <v>24</v>
      </c>
      <c r="K53" s="415" t="s">
        <v>951</v>
      </c>
      <c r="L53" s="114" t="s">
        <v>961</v>
      </c>
      <c r="M53" s="114" t="str">
        <f t="shared" si="4"/>
        <v>DB24-2-42-G</v>
      </c>
      <c r="N53" s="114" t="str">
        <f t="shared" si="5"/>
        <v>EUR-MDB24G</v>
      </c>
      <c r="P53" s="114" t="str">
        <f t="shared" si="3"/>
        <v>DB24-2-42-G</v>
      </c>
      <c r="Q53" s="114" t="str">
        <f t="shared" si="3"/>
        <v>EUR-MDB24G</v>
      </c>
    </row>
    <row r="54" spans="8:17" x14ac:dyDescent="0.4">
      <c r="H54" s="114" t="s">
        <v>950</v>
      </c>
      <c r="I54" s="114">
        <v>250</v>
      </c>
      <c r="J54" s="114">
        <v>24</v>
      </c>
      <c r="K54" s="415" t="s">
        <v>949</v>
      </c>
      <c r="L54" s="114" t="s">
        <v>961</v>
      </c>
      <c r="M54" s="114" t="str">
        <f t="shared" si="4"/>
        <v>DB24-2-42-G-M</v>
      </c>
      <c r="N54" s="114" t="str">
        <f t="shared" si="5"/>
        <v>EUR-MDB24G2MC</v>
      </c>
      <c r="P54" s="114" t="str">
        <f t="shared" si="3"/>
        <v>DB24-2-42-G-M</v>
      </c>
      <c r="Q54" s="114" t="str">
        <f t="shared" si="3"/>
        <v>EUR-MDB24G2MC</v>
      </c>
    </row>
    <row r="55" spans="8:17" x14ac:dyDescent="0.4">
      <c r="H55" s="114" t="s">
        <v>950</v>
      </c>
      <c r="I55" s="114">
        <v>250</v>
      </c>
      <c r="J55" s="114">
        <v>36</v>
      </c>
      <c r="K55" s="415" t="s">
        <v>951</v>
      </c>
      <c r="L55" s="114" t="s">
        <v>961</v>
      </c>
      <c r="M55" s="114" t="str">
        <f t="shared" si="4"/>
        <v>DB36-2-42-G</v>
      </c>
      <c r="N55" s="114" t="str">
        <f t="shared" si="5"/>
        <v>EUR-MDB36G</v>
      </c>
      <c r="P55" s="114" t="str">
        <f t="shared" si="3"/>
        <v>DB36-2-42-G</v>
      </c>
      <c r="Q55" s="114" t="str">
        <f t="shared" si="3"/>
        <v>EUR-MDB36G</v>
      </c>
    </row>
    <row r="56" spans="8:17" x14ac:dyDescent="0.4">
      <c r="H56" s="114" t="s">
        <v>950</v>
      </c>
      <c r="I56" s="114">
        <v>250</v>
      </c>
      <c r="J56" s="114">
        <v>36</v>
      </c>
      <c r="K56" s="415" t="s">
        <v>949</v>
      </c>
      <c r="L56" s="114" t="s">
        <v>961</v>
      </c>
      <c r="M56" s="114" t="str">
        <f t="shared" si="4"/>
        <v>DB36-2-42-G-M</v>
      </c>
      <c r="N56" s="114" t="str">
        <f t="shared" si="5"/>
        <v>EUR-MDB36G2MC</v>
      </c>
      <c r="P56" s="114" t="str">
        <f t="shared" si="3"/>
        <v>DB36-2-42-G-M</v>
      </c>
      <c r="Q56" s="114" t="str">
        <f t="shared" si="3"/>
        <v>EUR-MDB36G2MC</v>
      </c>
    </row>
    <row r="57" spans="8:17" x14ac:dyDescent="0.4">
      <c r="H57" s="114" t="s">
        <v>950</v>
      </c>
      <c r="I57" s="114">
        <v>250</v>
      </c>
      <c r="J57" s="114">
        <v>48</v>
      </c>
      <c r="K57" s="415" t="s">
        <v>951</v>
      </c>
      <c r="L57" s="114" t="s">
        <v>961</v>
      </c>
      <c r="M57" s="114" t="str">
        <f t="shared" si="4"/>
        <v>DB48-2-42-G</v>
      </c>
      <c r="N57" s="114" t="str">
        <f t="shared" si="5"/>
        <v>EUR-MDB48G</v>
      </c>
      <c r="P57" s="114" t="str">
        <f t="shared" si="3"/>
        <v>DB48-2-42-G</v>
      </c>
      <c r="Q57" s="114" t="str">
        <f t="shared" si="3"/>
        <v>EUR-MDB48G</v>
      </c>
    </row>
    <row r="58" spans="8:17" x14ac:dyDescent="0.4">
      <c r="H58" s="114" t="s">
        <v>950</v>
      </c>
      <c r="I58" s="114">
        <v>250</v>
      </c>
      <c r="J58" s="114">
        <v>48</v>
      </c>
      <c r="K58" s="415" t="s">
        <v>949</v>
      </c>
      <c r="L58" s="114" t="s">
        <v>961</v>
      </c>
      <c r="M58" s="114" t="str">
        <f t="shared" si="4"/>
        <v>DB48-2-42-G-M</v>
      </c>
      <c r="N58" s="114" t="str">
        <f t="shared" si="5"/>
        <v>EUR-MDB48G2MC</v>
      </c>
      <c r="P58" s="114" t="str">
        <f t="shared" si="3"/>
        <v>DB48-2-42-G-M</v>
      </c>
      <c r="Q58" s="114" t="str">
        <f t="shared" si="3"/>
        <v>EUR-MDB48G2MC</v>
      </c>
    </row>
    <row r="59" spans="8:17" x14ac:dyDescent="0.4">
      <c r="H59" s="114" t="s">
        <v>950</v>
      </c>
      <c r="I59" s="114">
        <v>250</v>
      </c>
      <c r="J59" s="114">
        <v>60</v>
      </c>
      <c r="K59" s="415" t="s">
        <v>951</v>
      </c>
      <c r="L59" s="114" t="s">
        <v>961</v>
      </c>
      <c r="M59" s="114" t="str">
        <f t="shared" si="4"/>
        <v>DB60-2-42-G</v>
      </c>
      <c r="N59" s="114" t="str">
        <f t="shared" si="5"/>
        <v>EUR-MDB60G</v>
      </c>
      <c r="P59" s="114" t="str">
        <f t="shared" si="3"/>
        <v>DB60-2-42-G</v>
      </c>
      <c r="Q59" s="114" t="str">
        <f t="shared" si="3"/>
        <v>EUR-MDB60G</v>
      </c>
    </row>
    <row r="60" spans="8:17" x14ac:dyDescent="0.4">
      <c r="H60" s="114" t="s">
        <v>950</v>
      </c>
      <c r="I60" s="114">
        <v>250</v>
      </c>
      <c r="J60" s="114">
        <v>60</v>
      </c>
      <c r="K60" s="415" t="s">
        <v>949</v>
      </c>
      <c r="L60" s="114" t="s">
        <v>961</v>
      </c>
      <c r="M60" s="114" t="str">
        <f t="shared" si="4"/>
        <v>DB60-2-42-G-M</v>
      </c>
      <c r="N60" s="114" t="str">
        <f t="shared" si="5"/>
        <v>EUR-MDB60G2MC</v>
      </c>
      <c r="P60" s="114" t="str">
        <f t="shared" si="3"/>
        <v>DB60-2-42-G-M</v>
      </c>
      <c r="Q60" s="114" t="str">
        <f t="shared" si="3"/>
        <v>EUR-MDB60G2MC</v>
      </c>
    </row>
    <row r="61" spans="8:17" x14ac:dyDescent="0.4">
      <c r="H61" s="114" t="s">
        <v>950</v>
      </c>
      <c r="I61" s="114">
        <v>250</v>
      </c>
      <c r="J61" s="114">
        <v>72</v>
      </c>
      <c r="K61" s="415" t="s">
        <v>951</v>
      </c>
      <c r="L61" s="114" t="s">
        <v>961</v>
      </c>
      <c r="M61" s="114" t="str">
        <f t="shared" si="4"/>
        <v>DB72-2-42-G</v>
      </c>
      <c r="N61" s="114" t="str">
        <f t="shared" si="5"/>
        <v>EUR-MDB72G</v>
      </c>
      <c r="P61" s="114" t="str">
        <f t="shared" si="3"/>
        <v>DB72-2-42-G</v>
      </c>
      <c r="Q61" s="114" t="str">
        <f t="shared" si="3"/>
        <v>EUR-MDB72G</v>
      </c>
    </row>
    <row r="62" spans="8:17" x14ac:dyDescent="0.4">
      <c r="H62" s="114" t="s">
        <v>950</v>
      </c>
      <c r="I62" s="114">
        <v>250</v>
      </c>
      <c r="J62" s="114">
        <v>72</v>
      </c>
      <c r="K62" s="415" t="s">
        <v>949</v>
      </c>
      <c r="L62" s="114" t="s">
        <v>961</v>
      </c>
      <c r="M62" s="114" t="str">
        <f t="shared" si="4"/>
        <v>DB72-2-42-G-M</v>
      </c>
      <c r="N62" s="114" t="str">
        <f t="shared" si="5"/>
        <v>EUR-MDB72G2MC</v>
      </c>
      <c r="P62" s="114" t="str">
        <f t="shared" si="3"/>
        <v>DB72-2-42-G-M</v>
      </c>
      <c r="Q62" s="114" t="str">
        <f t="shared" si="3"/>
        <v>EUR-MDB72G2MC</v>
      </c>
    </row>
    <row r="63" spans="8:17" x14ac:dyDescent="0.4">
      <c r="H63" s="114" t="s">
        <v>950</v>
      </c>
      <c r="I63" s="114">
        <v>250</v>
      </c>
      <c r="J63" s="114">
        <v>24</v>
      </c>
      <c r="K63" s="415" t="s">
        <v>951</v>
      </c>
      <c r="L63" s="114" t="s">
        <v>946</v>
      </c>
      <c r="M63" s="114" t="str">
        <f t="shared" si="4"/>
        <v>DB24-2-56-G</v>
      </c>
      <c r="N63" s="114" t="str">
        <f t="shared" si="5"/>
        <v>EUR-MDB24G/WP</v>
      </c>
      <c r="P63" s="114" t="str">
        <f t="shared" si="3"/>
        <v>DB24-2-56-G</v>
      </c>
      <c r="Q63" s="114" t="str">
        <f t="shared" si="3"/>
        <v>EUR-MDB24G/WP</v>
      </c>
    </row>
    <row r="64" spans="8:17" x14ac:dyDescent="0.4">
      <c r="H64" s="114" t="s">
        <v>950</v>
      </c>
      <c r="I64" s="114">
        <v>250</v>
      </c>
      <c r="J64" s="114">
        <v>24</v>
      </c>
      <c r="K64" s="415" t="s">
        <v>949</v>
      </c>
      <c r="L64" s="114" t="s">
        <v>946</v>
      </c>
      <c r="M64" s="114" t="str">
        <f t="shared" si="4"/>
        <v>DB24-2-56-G-M</v>
      </c>
      <c r="N64" s="114" t="str">
        <f t="shared" si="5"/>
        <v>EUR-MDB24G2MCWP</v>
      </c>
      <c r="P64" s="114" t="str">
        <f t="shared" si="3"/>
        <v>DB24-2-56-G-M</v>
      </c>
      <c r="Q64" s="114" t="str">
        <f t="shared" si="3"/>
        <v>EUR-MDB24G2MCWP</v>
      </c>
    </row>
    <row r="65" spans="8:17" x14ac:dyDescent="0.4">
      <c r="H65" s="114" t="s">
        <v>950</v>
      </c>
      <c r="I65" s="114">
        <v>250</v>
      </c>
      <c r="J65" s="114">
        <v>36</v>
      </c>
      <c r="K65" s="415" t="s">
        <v>951</v>
      </c>
      <c r="L65" s="114" t="s">
        <v>946</v>
      </c>
      <c r="M65" s="114" t="str">
        <f t="shared" si="4"/>
        <v>DB36-2-56-G</v>
      </c>
      <c r="N65" s="114" t="str">
        <f t="shared" si="5"/>
        <v>EUR-MDB36G/WP</v>
      </c>
      <c r="P65" s="114" t="str">
        <f t="shared" si="3"/>
        <v>DB36-2-56-G</v>
      </c>
      <c r="Q65" s="114" t="str">
        <f t="shared" si="3"/>
        <v>EUR-MDB36G/WP</v>
      </c>
    </row>
    <row r="66" spans="8:17" x14ac:dyDescent="0.4">
      <c r="H66" s="114" t="s">
        <v>950</v>
      </c>
      <c r="I66" s="114">
        <v>250</v>
      </c>
      <c r="J66" s="114">
        <v>36</v>
      </c>
      <c r="K66" s="415" t="s">
        <v>949</v>
      </c>
      <c r="L66" s="114" t="s">
        <v>946</v>
      </c>
      <c r="M66" s="114" t="str">
        <f t="shared" si="4"/>
        <v>DB36-2-56-G-M</v>
      </c>
      <c r="N66" s="114" t="str">
        <f t="shared" si="5"/>
        <v>EUR-MDB36G2MCWP</v>
      </c>
      <c r="P66" s="114" t="str">
        <f t="shared" si="3"/>
        <v>DB36-2-56-G-M</v>
      </c>
      <c r="Q66" s="114" t="str">
        <f t="shared" si="3"/>
        <v>EUR-MDB36G2MCWP</v>
      </c>
    </row>
    <row r="67" spans="8:17" x14ac:dyDescent="0.4">
      <c r="H67" s="114" t="s">
        <v>950</v>
      </c>
      <c r="I67" s="114">
        <v>250</v>
      </c>
      <c r="J67" s="114">
        <v>48</v>
      </c>
      <c r="K67" s="415" t="s">
        <v>951</v>
      </c>
      <c r="L67" s="114" t="s">
        <v>946</v>
      </c>
      <c r="M67" s="114" t="str">
        <f t="shared" si="4"/>
        <v>DB48-2-56-G</v>
      </c>
      <c r="N67" s="114" t="str">
        <f t="shared" si="5"/>
        <v>EUR-MDB48G/WP</v>
      </c>
      <c r="P67" s="114" t="str">
        <f t="shared" si="3"/>
        <v>DB48-2-56-G</v>
      </c>
      <c r="Q67" s="114" t="str">
        <f t="shared" si="3"/>
        <v>EUR-MDB48G/WP</v>
      </c>
    </row>
    <row r="68" spans="8:17" x14ac:dyDescent="0.4">
      <c r="H68" s="114" t="s">
        <v>950</v>
      </c>
      <c r="I68" s="114">
        <v>250</v>
      </c>
      <c r="J68" s="114">
        <v>48</v>
      </c>
      <c r="K68" s="415" t="s">
        <v>949</v>
      </c>
      <c r="L68" s="114" t="s">
        <v>946</v>
      </c>
      <c r="M68" s="114" t="str">
        <f t="shared" si="4"/>
        <v>DB48-2-56-G-M</v>
      </c>
      <c r="N68" s="114" t="str">
        <f t="shared" si="5"/>
        <v>EUR-MDB48G2MCWP</v>
      </c>
      <c r="P68" s="114" t="str">
        <f t="shared" si="3"/>
        <v>DB48-2-56-G-M</v>
      </c>
      <c r="Q68" s="114" t="str">
        <f t="shared" si="3"/>
        <v>EUR-MDB48G2MCWP</v>
      </c>
    </row>
    <row r="69" spans="8:17" x14ac:dyDescent="0.4">
      <c r="H69" s="114" t="s">
        <v>950</v>
      </c>
      <c r="I69" s="114">
        <v>250</v>
      </c>
      <c r="J69" s="114">
        <v>60</v>
      </c>
      <c r="K69" s="415" t="s">
        <v>951</v>
      </c>
      <c r="L69" s="114" t="s">
        <v>946</v>
      </c>
      <c r="M69" s="114" t="str">
        <f t="shared" si="4"/>
        <v>DB60-2-56-G</v>
      </c>
      <c r="N69" s="114" t="str">
        <f t="shared" si="5"/>
        <v>EUR-MDB60G/WP</v>
      </c>
      <c r="P69" s="114" t="str">
        <f t="shared" si="3"/>
        <v>DB60-2-56-G</v>
      </c>
      <c r="Q69" s="114" t="str">
        <f t="shared" si="3"/>
        <v>EUR-MDB60G/WP</v>
      </c>
    </row>
    <row r="70" spans="8:17" x14ac:dyDescent="0.4">
      <c r="H70" s="114" t="s">
        <v>950</v>
      </c>
      <c r="I70" s="114">
        <v>250</v>
      </c>
      <c r="J70" s="114">
        <v>60</v>
      </c>
      <c r="K70" s="415" t="s">
        <v>949</v>
      </c>
      <c r="L70" s="114" t="s">
        <v>946</v>
      </c>
      <c r="M70" s="114" t="str">
        <f t="shared" si="4"/>
        <v>DB60-2-56-G-M</v>
      </c>
      <c r="N70" s="114" t="str">
        <f t="shared" si="5"/>
        <v>EUR-MDB60G2MCWP</v>
      </c>
      <c r="P70" s="114" t="str">
        <f t="shared" si="3"/>
        <v>DB60-2-56-G-M</v>
      </c>
      <c r="Q70" s="114" t="str">
        <f t="shared" si="3"/>
        <v>EUR-MDB60G2MCWP</v>
      </c>
    </row>
    <row r="71" spans="8:17" x14ac:dyDescent="0.4">
      <c r="H71" s="114" t="s">
        <v>950</v>
      </c>
      <c r="I71" s="114">
        <v>250</v>
      </c>
      <c r="J71" s="114">
        <v>72</v>
      </c>
      <c r="K71" s="415" t="s">
        <v>951</v>
      </c>
      <c r="L71" s="114" t="s">
        <v>946</v>
      </c>
      <c r="M71" s="114" t="str">
        <f t="shared" si="4"/>
        <v>DB72-2-56-G</v>
      </c>
      <c r="N71" s="114" t="str">
        <f t="shared" si="5"/>
        <v>EUR-MDB72G/WP</v>
      </c>
      <c r="P71" s="114" t="str">
        <f t="shared" si="3"/>
        <v>DB72-2-56-G</v>
      </c>
      <c r="Q71" s="114" t="str">
        <f t="shared" si="3"/>
        <v>EUR-MDB72G/WP</v>
      </c>
    </row>
    <row r="72" spans="8:17" x14ac:dyDescent="0.4">
      <c r="H72" s="114" t="s">
        <v>950</v>
      </c>
      <c r="I72" s="114">
        <v>250</v>
      </c>
      <c r="J72" s="114">
        <v>72</v>
      </c>
      <c r="K72" s="415" t="s">
        <v>949</v>
      </c>
      <c r="L72" s="114" t="s">
        <v>946</v>
      </c>
      <c r="M72" s="114" t="str">
        <f t="shared" si="4"/>
        <v>DB72-2-56-G-M</v>
      </c>
      <c r="N72" s="114" t="str">
        <f t="shared" si="5"/>
        <v>EUR-MDB72G2MCWP</v>
      </c>
      <c r="P72" s="114" t="str">
        <f t="shared" si="3"/>
        <v>DB72-2-56-G-M</v>
      </c>
      <c r="Q72" s="114" t="str">
        <f t="shared" si="3"/>
        <v>EUR-MDB72G2MCWP</v>
      </c>
    </row>
    <row r="73" spans="8:17" x14ac:dyDescent="0.4">
      <c r="H73" s="114" t="s">
        <v>950</v>
      </c>
      <c r="I73" s="114">
        <v>400</v>
      </c>
      <c r="J73" s="114">
        <v>24</v>
      </c>
      <c r="K73" s="415" t="s">
        <v>951</v>
      </c>
      <c r="L73" s="114" t="s">
        <v>961</v>
      </c>
      <c r="M73" s="114" t="str">
        <f t="shared" si="4"/>
        <v>DB24-4-42-G</v>
      </c>
      <c r="N73" s="114" t="str">
        <f t="shared" si="5"/>
        <v>EUR-MDB24G4NA</v>
      </c>
      <c r="P73" s="114" t="str">
        <f t="shared" si="3"/>
        <v>DB24-4-42-G</v>
      </c>
      <c r="Q73" s="114" t="str">
        <f t="shared" si="3"/>
        <v>EUR-MDB24G4NA</v>
      </c>
    </row>
    <row r="74" spans="8:17" x14ac:dyDescent="0.4">
      <c r="H74" s="114" t="s">
        <v>950</v>
      </c>
      <c r="I74" s="114">
        <v>400</v>
      </c>
      <c r="J74" s="114">
        <v>24</v>
      </c>
      <c r="K74" s="415" t="s">
        <v>949</v>
      </c>
      <c r="L74" s="114" t="s">
        <v>961</v>
      </c>
      <c r="M74" s="114" t="str">
        <f t="shared" si="4"/>
        <v>DB24-4-42-G-M</v>
      </c>
      <c r="N74" s="114" t="str">
        <f t="shared" si="5"/>
        <v>EUR-MDB24G4MC</v>
      </c>
      <c r="P74" s="114" t="str">
        <f t="shared" si="3"/>
        <v>DB24-4-42-G-M</v>
      </c>
      <c r="Q74" s="114" t="str">
        <f t="shared" si="3"/>
        <v>EUR-MDB24G4MC</v>
      </c>
    </row>
    <row r="75" spans="8:17" x14ac:dyDescent="0.4">
      <c r="H75" s="114" t="s">
        <v>950</v>
      </c>
      <c r="I75" s="114">
        <v>400</v>
      </c>
      <c r="J75" s="114">
        <v>36</v>
      </c>
      <c r="K75" s="415" t="s">
        <v>951</v>
      </c>
      <c r="L75" s="114" t="s">
        <v>961</v>
      </c>
      <c r="M75" s="114" t="str">
        <f t="shared" si="4"/>
        <v>DB36-4-42-G</v>
      </c>
      <c r="N75" s="114" t="str">
        <f t="shared" si="5"/>
        <v>EUR-MDB36G4NA</v>
      </c>
      <c r="P75" s="114" t="str">
        <f t="shared" si="3"/>
        <v>DB36-4-42-G</v>
      </c>
      <c r="Q75" s="114" t="str">
        <f t="shared" si="3"/>
        <v>EUR-MDB36G4NA</v>
      </c>
    </row>
    <row r="76" spans="8:17" x14ac:dyDescent="0.4">
      <c r="H76" s="114" t="s">
        <v>950</v>
      </c>
      <c r="I76" s="114">
        <v>400</v>
      </c>
      <c r="J76" s="114">
        <v>36</v>
      </c>
      <c r="K76" s="415" t="s">
        <v>949</v>
      </c>
      <c r="L76" s="114" t="s">
        <v>961</v>
      </c>
      <c r="M76" s="114" t="str">
        <f t="shared" si="4"/>
        <v>DB36-4-42-G-M</v>
      </c>
      <c r="N76" s="114" t="str">
        <f t="shared" si="5"/>
        <v>EUR-MDB36G4MC</v>
      </c>
      <c r="P76" s="114" t="str">
        <f t="shared" si="3"/>
        <v>DB36-4-42-G-M</v>
      </c>
      <c r="Q76" s="114" t="str">
        <f t="shared" si="3"/>
        <v>EUR-MDB36G4MC</v>
      </c>
    </row>
    <row r="77" spans="8:17" x14ac:dyDescent="0.4">
      <c r="H77" s="114" t="s">
        <v>950</v>
      </c>
      <c r="I77" s="114">
        <v>400</v>
      </c>
      <c r="J77" s="114">
        <v>48</v>
      </c>
      <c r="K77" s="415" t="s">
        <v>951</v>
      </c>
      <c r="L77" s="114" t="s">
        <v>961</v>
      </c>
      <c r="M77" s="114" t="str">
        <f t="shared" si="4"/>
        <v>DB48-4-42-G</v>
      </c>
      <c r="N77" s="114" t="str">
        <f t="shared" si="5"/>
        <v>EUR-MDB48G4NA</v>
      </c>
      <c r="P77" s="114" t="str">
        <f t="shared" ref="P77:Q92" si="9">M77</f>
        <v>DB48-4-42-G</v>
      </c>
      <c r="Q77" s="114" t="str">
        <f t="shared" si="9"/>
        <v>EUR-MDB48G4NA</v>
      </c>
    </row>
    <row r="78" spans="8:17" x14ac:dyDescent="0.4">
      <c r="H78" s="114" t="s">
        <v>950</v>
      </c>
      <c r="I78" s="114">
        <v>400</v>
      </c>
      <c r="J78" s="114">
        <v>48</v>
      </c>
      <c r="K78" s="415" t="s">
        <v>949</v>
      </c>
      <c r="L78" s="114" t="s">
        <v>961</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950</v>
      </c>
      <c r="I79" s="114">
        <v>400</v>
      </c>
      <c r="J79" s="114">
        <v>60</v>
      </c>
      <c r="K79" s="415" t="s">
        <v>951</v>
      </c>
      <c r="L79" s="114" t="s">
        <v>961</v>
      </c>
      <c r="M79" s="114" t="str">
        <f t="shared" si="10"/>
        <v>DB60-4-42-G</v>
      </c>
      <c r="N79" s="114" t="str">
        <f t="shared" si="11"/>
        <v>EUR-MDB60G4NA</v>
      </c>
      <c r="P79" s="114" t="str">
        <f t="shared" si="9"/>
        <v>DB60-4-42-G</v>
      </c>
      <c r="Q79" s="114" t="str">
        <f t="shared" si="9"/>
        <v>EUR-MDB60G4NA</v>
      </c>
    </row>
    <row r="80" spans="8:17" x14ac:dyDescent="0.4">
      <c r="H80" s="114" t="s">
        <v>950</v>
      </c>
      <c r="I80" s="114">
        <v>400</v>
      </c>
      <c r="J80" s="114">
        <v>60</v>
      </c>
      <c r="K80" s="415" t="s">
        <v>949</v>
      </c>
      <c r="L80" s="114" t="s">
        <v>961</v>
      </c>
      <c r="M80" s="114" t="str">
        <f t="shared" si="10"/>
        <v>DB60-4-42-G-M</v>
      </c>
      <c r="N80" s="114" t="str">
        <f t="shared" si="11"/>
        <v>EUR-MDB60G4MC</v>
      </c>
      <c r="P80" s="114" t="str">
        <f t="shared" si="9"/>
        <v>DB60-4-42-G-M</v>
      </c>
      <c r="Q80" s="114" t="str">
        <f t="shared" si="9"/>
        <v>EUR-MDB60G4MC</v>
      </c>
    </row>
    <row r="81" spans="8:17" x14ac:dyDescent="0.4">
      <c r="H81" s="114" t="s">
        <v>950</v>
      </c>
      <c r="I81" s="114">
        <v>400</v>
      </c>
      <c r="J81" s="114">
        <v>72</v>
      </c>
      <c r="K81" s="415" t="s">
        <v>951</v>
      </c>
      <c r="L81" s="114" t="s">
        <v>961</v>
      </c>
      <c r="M81" s="114" t="str">
        <f t="shared" si="10"/>
        <v>DB72-4-42-G</v>
      </c>
      <c r="N81" s="114" t="str">
        <f t="shared" si="11"/>
        <v>EUR-MDB72G4NA</v>
      </c>
      <c r="P81" s="114" t="str">
        <f t="shared" si="9"/>
        <v>DB72-4-42-G</v>
      </c>
      <c r="Q81" s="114" t="str">
        <f t="shared" si="9"/>
        <v>EUR-MDB72G4NA</v>
      </c>
    </row>
    <row r="82" spans="8:17" x14ac:dyDescent="0.4">
      <c r="H82" s="114" t="s">
        <v>950</v>
      </c>
      <c r="I82" s="114">
        <v>400</v>
      </c>
      <c r="J82" s="114">
        <v>72</v>
      </c>
      <c r="K82" s="415" t="s">
        <v>949</v>
      </c>
      <c r="L82" s="114" t="s">
        <v>961</v>
      </c>
      <c r="M82" s="114" t="str">
        <f t="shared" si="10"/>
        <v>DB72-4-42-G-M</v>
      </c>
      <c r="N82" s="114" t="str">
        <f t="shared" si="11"/>
        <v>EUR-MDB72G4MC</v>
      </c>
      <c r="P82" s="114" t="str">
        <f t="shared" si="9"/>
        <v>DB72-4-42-G-M</v>
      </c>
      <c r="Q82" s="114" t="str">
        <f t="shared" si="9"/>
        <v>EUR-MDB72G4MC</v>
      </c>
    </row>
    <row r="83" spans="8:17" x14ac:dyDescent="0.4">
      <c r="H83" s="114" t="s">
        <v>950</v>
      </c>
      <c r="I83" s="114">
        <v>400</v>
      </c>
      <c r="J83" s="114">
        <v>24</v>
      </c>
      <c r="K83" s="415" t="s">
        <v>951</v>
      </c>
      <c r="L83" s="114" t="s">
        <v>946</v>
      </c>
      <c r="M83" s="114" t="str">
        <f t="shared" si="10"/>
        <v>DB24-4-56-G</v>
      </c>
      <c r="N83" s="114" t="str">
        <f t="shared" si="11"/>
        <v>EUR-MDB24G4NAWP</v>
      </c>
      <c r="P83" s="114" t="str">
        <f t="shared" si="9"/>
        <v>DB24-4-56-G</v>
      </c>
      <c r="Q83" s="114" t="str">
        <f t="shared" si="9"/>
        <v>EUR-MDB24G4NAWP</v>
      </c>
    </row>
    <row r="84" spans="8:17" x14ac:dyDescent="0.4">
      <c r="H84" s="114" t="s">
        <v>950</v>
      </c>
      <c r="I84" s="114">
        <v>400</v>
      </c>
      <c r="J84" s="114">
        <v>24</v>
      </c>
      <c r="K84" s="415" t="s">
        <v>949</v>
      </c>
      <c r="L84" s="114" t="s">
        <v>946</v>
      </c>
      <c r="M84" s="114" t="str">
        <f t="shared" si="10"/>
        <v>DB24-4-56-G-M</v>
      </c>
      <c r="N84" s="114" t="str">
        <f t="shared" si="11"/>
        <v>EUR-MDB24G4MCWP</v>
      </c>
      <c r="P84" s="114" t="str">
        <f t="shared" si="9"/>
        <v>DB24-4-56-G-M</v>
      </c>
      <c r="Q84" s="114" t="str">
        <f t="shared" si="9"/>
        <v>EUR-MDB24G4MCWP</v>
      </c>
    </row>
    <row r="85" spans="8:17" x14ac:dyDescent="0.4">
      <c r="H85" s="114" t="s">
        <v>950</v>
      </c>
      <c r="I85" s="114">
        <v>400</v>
      </c>
      <c r="J85" s="114">
        <v>36</v>
      </c>
      <c r="K85" s="415" t="s">
        <v>951</v>
      </c>
      <c r="L85" s="114" t="s">
        <v>946</v>
      </c>
      <c r="M85" s="114" t="str">
        <f t="shared" si="10"/>
        <v>DB36-4-56-G</v>
      </c>
      <c r="N85" s="114" t="str">
        <f t="shared" si="11"/>
        <v>EUR-MDB36G4NAWP</v>
      </c>
      <c r="P85" s="114" t="str">
        <f t="shared" si="9"/>
        <v>DB36-4-56-G</v>
      </c>
      <c r="Q85" s="114" t="str">
        <f t="shared" si="9"/>
        <v>EUR-MDB36G4NAWP</v>
      </c>
    </row>
    <row r="86" spans="8:17" x14ac:dyDescent="0.4">
      <c r="H86" s="114" t="s">
        <v>950</v>
      </c>
      <c r="I86" s="114">
        <v>400</v>
      </c>
      <c r="J86" s="114">
        <v>36</v>
      </c>
      <c r="K86" s="415" t="s">
        <v>949</v>
      </c>
      <c r="L86" s="114" t="s">
        <v>946</v>
      </c>
      <c r="M86" s="114" t="str">
        <f t="shared" si="10"/>
        <v>DB36-4-56-G-M</v>
      </c>
      <c r="N86" s="114" t="str">
        <f t="shared" si="11"/>
        <v>EUR-MDB36G4MCWP</v>
      </c>
      <c r="P86" s="114" t="str">
        <f t="shared" si="9"/>
        <v>DB36-4-56-G-M</v>
      </c>
      <c r="Q86" s="114" t="str">
        <f t="shared" si="9"/>
        <v>EUR-MDB36G4MCWP</v>
      </c>
    </row>
    <row r="87" spans="8:17" x14ac:dyDescent="0.4">
      <c r="H87" s="114" t="s">
        <v>950</v>
      </c>
      <c r="I87" s="114">
        <v>400</v>
      </c>
      <c r="J87" s="114">
        <v>48</v>
      </c>
      <c r="K87" s="415" t="s">
        <v>951</v>
      </c>
      <c r="L87" s="114" t="s">
        <v>946</v>
      </c>
      <c r="M87" s="114" t="str">
        <f t="shared" si="10"/>
        <v>DB48-4-56-G</v>
      </c>
      <c r="N87" s="114" t="str">
        <f t="shared" si="11"/>
        <v>EUR-MDB48G4NAWP</v>
      </c>
      <c r="P87" s="114" t="str">
        <f t="shared" si="9"/>
        <v>DB48-4-56-G</v>
      </c>
      <c r="Q87" s="114" t="str">
        <f t="shared" si="9"/>
        <v>EUR-MDB48G4NAWP</v>
      </c>
    </row>
    <row r="88" spans="8:17" x14ac:dyDescent="0.4">
      <c r="H88" s="114" t="s">
        <v>950</v>
      </c>
      <c r="I88" s="114">
        <v>400</v>
      </c>
      <c r="J88" s="114">
        <v>48</v>
      </c>
      <c r="K88" s="415" t="s">
        <v>949</v>
      </c>
      <c r="L88" s="114" t="s">
        <v>946</v>
      </c>
      <c r="M88" s="114" t="str">
        <f t="shared" si="10"/>
        <v>DB48-4-56-G-M</v>
      </c>
      <c r="N88" s="114" t="str">
        <f t="shared" si="11"/>
        <v>EUR-MDB48G4MCWP</v>
      </c>
      <c r="P88" s="114" t="str">
        <f t="shared" si="9"/>
        <v>DB48-4-56-G-M</v>
      </c>
      <c r="Q88" s="114" t="str">
        <f t="shared" si="9"/>
        <v>EUR-MDB48G4MCWP</v>
      </c>
    </row>
    <row r="89" spans="8:17" x14ac:dyDescent="0.4">
      <c r="H89" s="114" t="s">
        <v>950</v>
      </c>
      <c r="I89" s="114">
        <v>400</v>
      </c>
      <c r="J89" s="114">
        <v>60</v>
      </c>
      <c r="K89" s="415" t="s">
        <v>951</v>
      </c>
      <c r="L89" s="114" t="s">
        <v>946</v>
      </c>
      <c r="M89" s="114" t="str">
        <f t="shared" si="10"/>
        <v>DB60-4-56-G</v>
      </c>
      <c r="N89" s="114" t="str">
        <f t="shared" si="11"/>
        <v>EUR-MDB60G4NAWP</v>
      </c>
      <c r="P89" s="114" t="str">
        <f t="shared" si="9"/>
        <v>DB60-4-56-G</v>
      </c>
      <c r="Q89" s="114" t="str">
        <f t="shared" si="9"/>
        <v>EUR-MDB60G4NAWP</v>
      </c>
    </row>
    <row r="90" spans="8:17" x14ac:dyDescent="0.4">
      <c r="H90" s="114" t="s">
        <v>950</v>
      </c>
      <c r="I90" s="114">
        <v>400</v>
      </c>
      <c r="J90" s="114">
        <v>60</v>
      </c>
      <c r="K90" s="415" t="s">
        <v>949</v>
      </c>
      <c r="L90" s="114" t="s">
        <v>946</v>
      </c>
      <c r="M90" s="114" t="str">
        <f t="shared" si="10"/>
        <v>DB60-4-56-G-M</v>
      </c>
      <c r="N90" s="114" t="str">
        <f t="shared" si="11"/>
        <v>EUR-MDB60G4MCWP</v>
      </c>
      <c r="P90" s="114" t="str">
        <f t="shared" si="9"/>
        <v>DB60-4-56-G-M</v>
      </c>
      <c r="Q90" s="114" t="str">
        <f t="shared" si="9"/>
        <v>EUR-MDB60G4MCWP</v>
      </c>
    </row>
    <row r="91" spans="8:17" x14ac:dyDescent="0.4">
      <c r="H91" s="114" t="s">
        <v>950</v>
      </c>
      <c r="I91" s="114">
        <v>400</v>
      </c>
      <c r="J91" s="114">
        <v>72</v>
      </c>
      <c r="K91" s="415" t="s">
        <v>951</v>
      </c>
      <c r="L91" s="114" t="s">
        <v>946</v>
      </c>
      <c r="M91" s="114" t="str">
        <f t="shared" si="10"/>
        <v>DB72-4-56-G</v>
      </c>
      <c r="N91" s="114" t="str">
        <f t="shared" si="11"/>
        <v>EUR-MDB72G4NAWP</v>
      </c>
      <c r="P91" s="114" t="str">
        <f t="shared" si="9"/>
        <v>DB72-4-56-G</v>
      </c>
      <c r="Q91" s="114" t="str">
        <f t="shared" si="9"/>
        <v>EUR-MDB72G4NAWP</v>
      </c>
    </row>
    <row r="92" spans="8:17" x14ac:dyDescent="0.4">
      <c r="H92" s="114" t="s">
        <v>950</v>
      </c>
      <c r="I92" s="114">
        <v>400</v>
      </c>
      <c r="J92" s="114">
        <v>72</v>
      </c>
      <c r="K92" s="415" t="s">
        <v>949</v>
      </c>
      <c r="L92" s="114" t="s">
        <v>946</v>
      </c>
      <c r="M92" s="114" t="str">
        <f t="shared" si="10"/>
        <v>DB72-4-56-G-M</v>
      </c>
      <c r="N92" s="114" t="str">
        <f t="shared" si="11"/>
        <v>EUR-MDB72G4MCWP</v>
      </c>
      <c r="P92" s="114" t="str">
        <f t="shared" si="9"/>
        <v>DB72-4-56-G-M</v>
      </c>
      <c r="Q92" s="114" t="str">
        <f t="shared" si="9"/>
        <v>EUR-MDB72G4MCWP</v>
      </c>
    </row>
  </sheetData>
  <conditionalFormatting sqref="K2:K11">
    <cfRule type="cellIs" dxfId="527"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T30"/>
  <sheetViews>
    <sheetView workbookViewId="0">
      <selection activeCell="J2" sqref="J2"/>
    </sheetView>
  </sheetViews>
  <sheetFormatPr defaultColWidth="9.23046875" defaultRowHeight="14.6" x14ac:dyDescent="0.4"/>
  <cols>
    <col min="1" max="1" width="7.69140625" style="422" bestFit="1" customWidth="1"/>
    <col min="2" max="2" width="10.07421875" style="114" bestFit="1" customWidth="1"/>
    <col min="3" max="3" width="13.69140625" style="423" bestFit="1" customWidth="1"/>
    <col min="4" max="4" width="6.23046875" style="114" bestFit="1" customWidth="1"/>
    <col min="5" max="5" width="4.07421875" style="114" bestFit="1" customWidth="1"/>
    <col min="6" max="6" width="15.4609375" style="114" customWidth="1"/>
    <col min="7" max="8" width="12.07421875" style="114" customWidth="1"/>
    <col min="9" max="10" width="13.3046875" style="114" customWidth="1"/>
    <col min="11" max="12" width="13.3046875" style="114" hidden="1" customWidth="1"/>
    <col min="13" max="14" width="13.3046875" style="114" customWidth="1"/>
    <col min="15" max="15" width="17.4609375" style="114" hidden="1" customWidth="1"/>
    <col min="16" max="16" width="12.23046875" style="355" customWidth="1"/>
    <col min="17" max="17" width="9.07421875" style="318" hidden="1" customWidth="1"/>
    <col min="18" max="18" width="5.07421875" style="319" customWidth="1"/>
    <col min="19" max="19" width="12.23046875" style="355" customWidth="1"/>
    <col min="20" max="20" width="9.07421875" style="318" hidden="1" customWidth="1"/>
    <col min="21" max="21" width="5.07421875" style="319" customWidth="1"/>
    <col min="22" max="22" width="12.23046875" style="355" customWidth="1"/>
    <col min="23" max="23" width="9.07421875" style="318" hidden="1" customWidth="1"/>
    <col min="24" max="24" width="5.07421875" style="319" customWidth="1"/>
    <col min="25" max="25" width="12.23046875" style="355" customWidth="1"/>
    <col min="26" max="26" width="9.07421875" style="318" hidden="1" customWidth="1"/>
    <col min="27" max="27" width="5.07421875" style="319" customWidth="1"/>
    <col min="28" max="28" width="12.23046875" style="355" customWidth="1"/>
    <col min="29" max="29" width="9.07421875" style="318" hidden="1" customWidth="1"/>
    <col min="30" max="30" width="5.07421875" style="319" customWidth="1"/>
    <col min="31" max="31" width="12.23046875" style="355" customWidth="1"/>
    <col min="32" max="32" width="9.07421875" style="318" hidden="1" customWidth="1"/>
    <col min="33" max="33" width="5.07421875" style="319" customWidth="1"/>
    <col min="34" max="34" width="12.23046875" style="355" customWidth="1"/>
    <col min="35" max="35" width="9.07421875" style="318" hidden="1" customWidth="1"/>
    <col min="36" max="36" width="5.07421875" style="319" customWidth="1"/>
    <col min="37" max="37" width="12.23046875" style="355" customWidth="1"/>
    <col min="38" max="38" width="9.07421875" style="318" hidden="1" customWidth="1"/>
    <col min="39" max="39" width="5.07421875" style="319" customWidth="1"/>
    <col min="40" max="40" width="12.23046875" style="355" customWidth="1"/>
    <col min="41" max="41" width="9.07421875" style="318" hidden="1" customWidth="1"/>
    <col min="42" max="42" width="5.07421875" style="319" customWidth="1"/>
    <col min="43" max="43" width="12.23046875" style="355" customWidth="1"/>
    <col min="44" max="44" width="9.07421875" style="318" hidden="1" customWidth="1"/>
    <col min="45" max="45" width="5.07421875" style="319" customWidth="1"/>
    <col min="46" max="46" width="12.23046875" style="355" customWidth="1"/>
    <col min="47" max="47" width="9.07421875" style="318" hidden="1" customWidth="1"/>
    <col min="48" max="48" width="5.07421875" style="319" customWidth="1"/>
    <col min="49" max="49" width="12.23046875" style="355" customWidth="1"/>
    <col min="50" max="50" width="9.07421875" style="318" hidden="1" customWidth="1"/>
    <col min="51" max="51" width="5.07421875" style="319" customWidth="1"/>
    <col min="52" max="52" width="12.23046875" style="355" customWidth="1"/>
    <col min="53" max="53" width="9.07421875" style="318" hidden="1" customWidth="1"/>
    <col min="54" max="54" width="5.07421875" style="319" customWidth="1"/>
    <col min="55" max="55" width="12.3046875" style="319" customWidth="1"/>
    <col min="56" max="56" width="12.3046875" style="114" hidden="1" customWidth="1"/>
    <col min="57" max="57" width="16" style="114" hidden="1" customWidth="1"/>
    <col min="58" max="58" width="39" style="114" hidden="1" customWidth="1"/>
    <col min="59" max="64" width="9.23046875" style="114" hidden="1" customWidth="1"/>
    <col min="65" max="65" width="48.4609375" style="114" hidden="1" customWidth="1"/>
    <col min="66" max="66" width="55.07421875" style="114" hidden="1" customWidth="1"/>
    <col min="67" max="72" width="9.23046875" style="114" hidden="1" customWidth="1"/>
    <col min="73" max="98" width="0" style="114" hidden="1" customWidth="1"/>
    <col min="99" max="16384" width="9.23046875" style="114"/>
  </cols>
  <sheetData>
    <row r="1" spans="1:70" s="299" customFormat="1" ht="29.15" x14ac:dyDescent="0.4">
      <c r="A1" s="425" t="s">
        <v>930</v>
      </c>
      <c r="B1" s="425" t="s">
        <v>931</v>
      </c>
      <c r="C1" s="426" t="s">
        <v>932</v>
      </c>
      <c r="D1" s="425" t="s">
        <v>933</v>
      </c>
      <c r="E1" s="425" t="s">
        <v>843</v>
      </c>
      <c r="F1" s="425" t="s">
        <v>1018</v>
      </c>
      <c r="G1" s="427" t="s">
        <v>979</v>
      </c>
      <c r="H1" s="427" t="s">
        <v>980</v>
      </c>
      <c r="I1" s="425" t="s">
        <v>935</v>
      </c>
      <c r="J1" s="425" t="s">
        <v>936</v>
      </c>
      <c r="K1" s="425" t="s">
        <v>1384</v>
      </c>
      <c r="L1" s="425" t="s">
        <v>1382</v>
      </c>
      <c r="M1" s="425" t="s">
        <v>1383</v>
      </c>
      <c r="N1" s="427" t="s">
        <v>1381</v>
      </c>
      <c r="O1" s="427" t="s">
        <v>981</v>
      </c>
      <c r="P1" s="433" t="s">
        <v>676</v>
      </c>
      <c r="Q1" s="434" t="s">
        <v>995</v>
      </c>
      <c r="R1" s="434" t="s">
        <v>996</v>
      </c>
      <c r="S1" s="433" t="s">
        <v>982</v>
      </c>
      <c r="T1" s="434" t="s">
        <v>995</v>
      </c>
      <c r="U1" s="434" t="str">
        <f>R1</f>
        <v>t</v>
      </c>
      <c r="V1" s="433" t="s">
        <v>983</v>
      </c>
      <c r="W1" s="437" t="str">
        <f>T1</f>
        <v>$</v>
      </c>
      <c r="X1" s="434" t="str">
        <f>R1</f>
        <v>t</v>
      </c>
      <c r="Y1" s="433" t="s">
        <v>984</v>
      </c>
      <c r="Z1" s="437" t="str">
        <f>W1</f>
        <v>$</v>
      </c>
      <c r="AA1" s="434" t="str">
        <f>R1</f>
        <v>t</v>
      </c>
      <c r="AB1" s="433" t="s">
        <v>669</v>
      </c>
      <c r="AC1" s="437" t="str">
        <f>Z1</f>
        <v>$</v>
      </c>
      <c r="AD1" s="434" t="str">
        <f>AA1</f>
        <v>t</v>
      </c>
      <c r="AE1" s="433" t="str">
        <f>_Fan!F1</f>
        <v>Mechanical Thermostat</v>
      </c>
      <c r="AF1" s="437" t="str">
        <f>AC1</f>
        <v>$</v>
      </c>
      <c r="AG1" s="434" t="str">
        <f>AA1</f>
        <v>t</v>
      </c>
      <c r="AH1" s="433" t="str">
        <f>_Fan!G1</f>
        <v>Run On Timer</v>
      </c>
      <c r="AI1" s="437" t="str">
        <f>AF1</f>
        <v>$</v>
      </c>
      <c r="AJ1" s="434" t="str">
        <f>AG1</f>
        <v>t</v>
      </c>
      <c r="AK1" s="433" t="str">
        <f>_Fan!H1</f>
        <v>Time Clock</v>
      </c>
      <c r="AL1" s="437" t="str">
        <f>AI1</f>
        <v>$</v>
      </c>
      <c r="AM1" s="434" t="str">
        <f>AJ1</f>
        <v>t</v>
      </c>
      <c r="AN1" s="433" t="str">
        <f>_Fan!I1</f>
        <v>Local Switch</v>
      </c>
      <c r="AO1" s="437" t="str">
        <f>AL1</f>
        <v>$</v>
      </c>
      <c r="AP1" s="434" t="str">
        <f>AM1</f>
        <v>t</v>
      </c>
      <c r="AQ1" s="433" t="str">
        <f>_Fan!J1</f>
        <v>Run Status Light</v>
      </c>
      <c r="AR1" s="437" t="str">
        <f>AO1</f>
        <v>$</v>
      </c>
      <c r="AS1" s="434" t="str">
        <f>AP1</f>
        <v>t</v>
      </c>
      <c r="AT1" s="433" t="str">
        <f>_Fan!K1</f>
        <v>Jet Fan</v>
      </c>
      <c r="AU1" s="437" t="str">
        <f>AR1</f>
        <v>$</v>
      </c>
      <c r="AV1" s="434" t="str">
        <f>AS1</f>
        <v>t</v>
      </c>
      <c r="AW1" s="433" t="str">
        <f>_Fan!L1</f>
        <v>VSD or KEF</v>
      </c>
      <c r="AX1" s="437" t="str">
        <f>AU1</f>
        <v>$</v>
      </c>
      <c r="AY1" s="434" t="str">
        <f>AV1</f>
        <v>t</v>
      </c>
      <c r="AZ1" s="433" t="str">
        <f>_Fan!M1</f>
        <v>Run &amp; Fault LEDs</v>
      </c>
      <c r="BA1" s="437" t="str">
        <f>AX1</f>
        <v>$</v>
      </c>
      <c r="BB1" s="434" t="str">
        <f>AY1</f>
        <v>t</v>
      </c>
      <c r="BC1" s="524"/>
      <c r="BD1" s="299">
        <f>MAX('@MSSB'!AD:AD)</f>
        <v>0</v>
      </c>
    </row>
    <row r="2" spans="1:70" x14ac:dyDescent="0.4">
      <c r="A2" s="429" t="str">
        <f t="shared" ref="A2:A22" si="0">IF(NOT(O2="N/A"),IF(COUNTBLANK(P2:AQ2)=0,"VALID","INVALID"),"INVALID")</f>
        <v>INVALID</v>
      </c>
      <c r="B2" s="430" t="str">
        <f>_xlfn.CONCAT("Fan ",(ROW()-1))</f>
        <v>Fan 1</v>
      </c>
      <c r="C2" s="431">
        <f>IFERROR(E2*I2,0)</f>
        <v>0</v>
      </c>
      <c r="D2" s="430">
        <f>IFERROR(IF(ISBLANK(G2),J2*E2,G2*E2),0)</f>
        <v>0</v>
      </c>
      <c r="E2" s="430"/>
      <c r="F2" s="430">
        <f t="shared" ref="F2:F22" si="1">IF(A2="VALID",IF(COUNTBLANK(H2)=0,H2,IF(P2="Local",5,20)),0)</f>
        <v>0</v>
      </c>
      <c r="G2" s="430"/>
      <c r="H2" s="430"/>
      <c r="I2" s="430">
        <f>L2+Q2+T2+Z2+W2+AC2+AF2+AI2+AL2+AO2+AR2+AU2+AX2+BA2</f>
        <v>0</v>
      </c>
      <c r="J2" s="430">
        <f>N2+R2+U2+AA2+X2+AD2+AG2+AJ2+AM2+AP2+AS2+AV2+AY2+BB2</f>
        <v>0</v>
      </c>
      <c r="K2" s="430">
        <f>IF(AW2="VSD",(VLOOKUP("Switchboard Cable 1mm",'Part List'!$A:$G,3,FALSE)+VLOOKUP("2.5mm Twin and Earth",'Part List'!$A:$G,3,FALSE)*2),IF(AW2="KEF",(VLOOKUP("7030 2 pair TCAS7302P",'Part List'!$A:$G,3,FALSE) + VLOOKUP("4mm Cable 3 core and Earth",'Part List'!$A:$G,3,FALSE)),VLOOKUP("2.5mm Twin and Earth",'Part List'!$A:$G,3,FALSE)))</f>
        <v>0.85</v>
      </c>
      <c r="L2" s="430">
        <f>K2*H2</f>
        <v>0</v>
      </c>
      <c r="M2" s="430">
        <f>IF(AW2="VSD",(VLOOKUP("Switchboard Cable 1mm",'Part List'!$A:$G,5,FALSE)+VLOOKUP("2.5mm Twin and Earth",'Part List'!$A:$G,5,FALSE)*2),IF(AW2="KEF",(VLOOKUP("7030 2 pair TCAS7302P",'Part List'!$A:$G,5,FALSE) + VLOOKUP("4mm Cable 3 core and Earth",'Part List'!$A:$G,5,FALSE)),VLOOKUP("2.5mm Twin and Earth",'Part List'!$A:$G,5,FALSE)))</f>
        <v>0.1</v>
      </c>
      <c r="N2" s="430">
        <f t="shared" ref="N2:N22" si="2">M2*F2</f>
        <v>0</v>
      </c>
      <c r="O2" s="430"/>
      <c r="P2" s="438"/>
      <c r="Q2" s="439">
        <f>IFERROR(VLOOKUP(P2,_Fan!$N:$Q,2,FALSE),0)</f>
        <v>0</v>
      </c>
      <c r="R2" s="439">
        <f>IFERROR(VLOOKUP(P2,_Fan!$N:$Q,3,FALSE),0)</f>
        <v>0</v>
      </c>
      <c r="S2" s="430"/>
      <c r="T2" s="439">
        <f>IF(S2="YES", VLOOKUP(S$1,_Fan!$N:$Q,2,FALSE), 0)</f>
        <v>0</v>
      </c>
      <c r="U2" s="439">
        <f>IF(S2="YES", VLOOKUP(S$1,_Fan!$N:$Q,3,FALSE), 0)</f>
        <v>0</v>
      </c>
      <c r="V2" s="430"/>
      <c r="W2" s="439">
        <f>IF(V2="YES", VLOOKUP(V$1,_Fan!$N:$Q,2,FALSE), 0)</f>
        <v>0</v>
      </c>
      <c r="X2" s="439">
        <f>IF(V2="YES", VLOOKUP(V$1,_Fan!$N:$Q,3,FALSE), 0)</f>
        <v>0</v>
      </c>
      <c r="Y2" s="430"/>
      <c r="Z2" s="439">
        <f>IFERROR(VLOOKUP(Y2,_Fan!$N:$Q,2,FALSE),0)</f>
        <v>0</v>
      </c>
      <c r="AA2" s="439">
        <f>IFERROR(VLOOKUP(Y2,_Fan!$N:$Q,3,FALSE),0)</f>
        <v>0</v>
      </c>
      <c r="AB2" s="430" t="s">
        <v>886</v>
      </c>
      <c r="AC2" s="439">
        <f>IF(AB2="YES", VLOOKUP(AB$1,_Fan!$N:$Q,2,FALSE), 0)</f>
        <v>0</v>
      </c>
      <c r="AD2" s="439">
        <f>IF(AB2="YES", VLOOKUP(AB$1,_Fan!$N:$Q,3,FALSE), 0)</f>
        <v>0</v>
      </c>
      <c r="AE2" s="430" t="s">
        <v>886</v>
      </c>
      <c r="AF2" s="439">
        <f>IF(AE2="YES", VLOOKUP(AE$1,_Fan!$N:$Q,2,FALSE), 0)</f>
        <v>0</v>
      </c>
      <c r="AG2" s="439">
        <f>IF(AE2="YES", VLOOKUP(AE$1,_Fan!$N:$Q,3,FALSE), 0)</f>
        <v>0</v>
      </c>
      <c r="AH2" s="430" t="s">
        <v>886</v>
      </c>
      <c r="AI2" s="439">
        <f>IF(AH2="YES", VLOOKUP(AH$1,_Fan!$N:$Q,2,FALSE), 0)</f>
        <v>0</v>
      </c>
      <c r="AJ2" s="439">
        <f>IF(AH2="YES", VLOOKUP(AH$1,_Fan!$N:$Q,3,FALSE), 0)</f>
        <v>0</v>
      </c>
      <c r="AK2" s="430"/>
      <c r="AL2" s="439">
        <f>IF(AK2="YES", VLOOKUP(AK$1,_Fan!$N:$Q,2,FALSE), 0)</f>
        <v>0</v>
      </c>
      <c r="AM2" s="439">
        <f>IF(AK2="YES", VLOOKUP(AK$1,_Fan!$N:$Q,3,FALSE), 0)</f>
        <v>0</v>
      </c>
      <c r="AN2" s="430"/>
      <c r="AO2" s="439">
        <f>IF(AN2="YES", VLOOKUP(AN$1,_Fan!$N:$Q,2,FALSE), 0)</f>
        <v>0</v>
      </c>
      <c r="AP2" s="439">
        <f>IF(AN2="YES", VLOOKUP(AN$1,_Fan!$N:$Q,3,FALSE), 0)</f>
        <v>0</v>
      </c>
      <c r="AQ2" s="430"/>
      <c r="AR2" s="439">
        <f>IF(AQ2="YES", VLOOKUP(AQ$1,_Fan!$N:$Q,2,FALSE), 0)</f>
        <v>0</v>
      </c>
      <c r="AS2" s="439">
        <f>IF(AQ2="YES", VLOOKUP(AQ$1,_Fan!$N:$Q,3,FALSE), 0)</f>
        <v>0</v>
      </c>
      <c r="AT2" s="430"/>
      <c r="AU2" s="439">
        <f>IF(AT2="YES", VLOOKUP(AT$1,_Fan!$N:$Q,2,FALSE), 0)</f>
        <v>0</v>
      </c>
      <c r="AV2" s="439">
        <f>IF(AT2="YES", VLOOKUP(AT$1,_Fan!$N:$Q,3,FALSE), 0)</f>
        <v>0</v>
      </c>
      <c r="AW2" s="430"/>
      <c r="AX2" s="439">
        <f>IFERROR(VLOOKUP(AW2,_Fan!$N:$Q,2,FALSE),0)</f>
        <v>0</v>
      </c>
      <c r="AY2" s="439">
        <f>IFERROR(VLOOKUP(AW2,_Fan!$N:$Q,3,FALSE),0)</f>
        <v>0</v>
      </c>
      <c r="AZ2" s="430"/>
      <c r="BA2" s="439">
        <f>IF(AZ2="YES", VLOOKUP(AZ$1,_Fan!$N:$Q,2,FALSE), 0)</f>
        <v>0</v>
      </c>
      <c r="BB2" s="439">
        <f>IF(AZ2="YES", VLOOKUP(AZ$1,_Fan!$N:$Q,3,FALSE), 0)</f>
        <v>0</v>
      </c>
      <c r="BC2" s="430"/>
      <c r="BD2" s="430"/>
      <c r="BE2" s="430"/>
      <c r="BF2" s="430"/>
      <c r="BG2" s="430"/>
      <c r="BH2" s="430"/>
      <c r="BI2" s="430"/>
      <c r="BJ2" s="430"/>
      <c r="BK2" s="430"/>
      <c r="BL2" s="430"/>
      <c r="BM2" s="430"/>
      <c r="BN2" s="430"/>
      <c r="BO2" s="430"/>
      <c r="BP2" s="430"/>
      <c r="BQ2" s="430"/>
      <c r="BR2" s="430"/>
    </row>
    <row r="3" spans="1:70" x14ac:dyDescent="0.4">
      <c r="A3" s="429" t="str">
        <f t="shared" si="0"/>
        <v>INVALID</v>
      </c>
      <c r="B3" s="430" t="str">
        <f t="shared" ref="B3:B22" si="3">_xlfn.CONCAT("Fan ",(ROW()-1))</f>
        <v>Fan 2</v>
      </c>
      <c r="C3" s="431">
        <f t="shared" ref="C3:C22" si="4">IFERROR(E3*I3,0)</f>
        <v>0</v>
      </c>
      <c r="D3" s="430">
        <f t="shared" ref="D3:D22" si="5">IFERROR(IF(ISBLANK(G3),J3*E3,G3*E3),0)</f>
        <v>0</v>
      </c>
      <c r="E3" s="430"/>
      <c r="F3" s="430">
        <f t="shared" si="1"/>
        <v>0</v>
      </c>
      <c r="G3" s="430"/>
      <c r="H3" s="430"/>
      <c r="I3" s="430">
        <f t="shared" ref="I3:I22" si="6">L3+Q3+T3+Z3+W3+AC3+AF3+AI3+AL3+AO3+AR3+AU3+AX3+BA3</f>
        <v>0</v>
      </c>
      <c r="J3" s="430">
        <f t="shared" ref="J3:J22" si="7">N3+R3+U3+AA3+X3+AD3+AG3+AJ3+AM3+AP3+AS3+AV3+AY3+BB3</f>
        <v>0</v>
      </c>
      <c r="K3" s="430">
        <f>IF(AW3="VSD",(VLOOKUP("Switchboard Cable 1mm",'Part List'!$A:$G,3,FALSE)+VLOOKUP("2.5mm Twin and Earth",'Part List'!$A:$G,3,FALSE)*2),IF(AW3="KEF",(VLOOKUP("7030 2 pair TCAS7302P",'Part List'!$A:$G,3,FALSE) + VLOOKUP("4mm Cable 3 core and Earth",'Part List'!$A:$G,3,FALSE)),VLOOKUP("2.5mm Twin and Earth",'Part List'!$A:$G,3,FALSE)))</f>
        <v>0.85</v>
      </c>
      <c r="L3" s="430">
        <f t="shared" ref="L3:L22" si="8">K3*H3</f>
        <v>0</v>
      </c>
      <c r="M3" s="430">
        <f>IF(AW3="VSD",(VLOOKUP("Switchboard Cable 1mm",'Part List'!$A:$G,5,FALSE)+VLOOKUP("2.5mm Twin and Earth",'Part List'!$A:$G,5,FALSE)*2),IF(AW3="KEF",(VLOOKUP("7030 2 pair TCAS7302P",'Part List'!$A:$G,5,FALSE) + VLOOKUP("4mm Cable 3 core and Earth",'Part List'!$A:$G,5,FALSE)),VLOOKUP("2.5mm Twin and Earth",'Part List'!$A:$G,5,FALSE)))</f>
        <v>0.1</v>
      </c>
      <c r="N3" s="430">
        <f t="shared" si="2"/>
        <v>0</v>
      </c>
      <c r="O3" s="430"/>
      <c r="P3" s="438"/>
      <c r="Q3" s="439">
        <f>IFERROR(VLOOKUP(P3,_Fan!$N:$Q,2,FALSE),0)</f>
        <v>0</v>
      </c>
      <c r="R3" s="439">
        <f>IFERROR(VLOOKUP(P3,_Fan!$N:$Q,3,FALSE),0)</f>
        <v>0</v>
      </c>
      <c r="S3" s="430"/>
      <c r="T3" s="439">
        <f>IF(S3="YES", VLOOKUP(S$1,_Fan!$N:$Q,2,FALSE), 0)</f>
        <v>0</v>
      </c>
      <c r="U3" s="439">
        <f>IF(S3="YES", VLOOKUP(S$1,_Fan!$N:$Q,3,FALSE), 0)</f>
        <v>0</v>
      </c>
      <c r="V3" s="430"/>
      <c r="W3" s="439">
        <f>IF(V3="YES", VLOOKUP(V$1,_Fan!$N:$Q,2,FALSE), 0)</f>
        <v>0</v>
      </c>
      <c r="X3" s="439">
        <f>IF(V3="YES", VLOOKUP(V$1,_Fan!$N:$Q,3,FALSE), 0)</f>
        <v>0</v>
      </c>
      <c r="Y3" s="430"/>
      <c r="Z3" s="439">
        <f>IFERROR(VLOOKUP(Y3,_Fan!$N:$Q,2,FALSE),0)</f>
        <v>0</v>
      </c>
      <c r="AA3" s="439">
        <f>IFERROR(VLOOKUP(Y3,_Fan!$N:$Q,3,FALSE),0)</f>
        <v>0</v>
      </c>
      <c r="AB3" s="430" t="s">
        <v>886</v>
      </c>
      <c r="AC3" s="439">
        <f>IF(AB3="YES", VLOOKUP(AB$1,_Fan!$N:$Q,2,FALSE), 0)</f>
        <v>0</v>
      </c>
      <c r="AD3" s="439">
        <f>IF(AB3="YES", VLOOKUP(AB$1,_Fan!$N:$Q,3,FALSE), 0)</f>
        <v>0</v>
      </c>
      <c r="AE3" s="430" t="s">
        <v>886</v>
      </c>
      <c r="AF3" s="439">
        <f>IF(AE3="YES", VLOOKUP(AE$1,_Fan!$N:$Q,2,FALSE), 0)</f>
        <v>0</v>
      </c>
      <c r="AG3" s="439">
        <f>IF(AE3="YES", VLOOKUP(AE$1,_Fan!$N:$Q,3,FALSE), 0)</f>
        <v>0</v>
      </c>
      <c r="AH3" s="430" t="s">
        <v>886</v>
      </c>
      <c r="AI3" s="439">
        <f>IF(AH3="YES", VLOOKUP(AH$1,_Fan!$N:$Q,2,FALSE), 0)</f>
        <v>0</v>
      </c>
      <c r="AJ3" s="439">
        <f>IF(AH3="YES", VLOOKUP(AH$1,_Fan!$N:$Q,3,FALSE), 0)</f>
        <v>0</v>
      </c>
      <c r="AK3" s="430"/>
      <c r="AL3" s="439">
        <f>IF(AK3="YES", VLOOKUP(AK$1,_Fan!$N:$Q,2,FALSE), 0)</f>
        <v>0</v>
      </c>
      <c r="AM3" s="439">
        <f>IF(AK3="YES", VLOOKUP(AK$1,_Fan!$N:$Q,3,FALSE), 0)</f>
        <v>0</v>
      </c>
      <c r="AN3" s="430"/>
      <c r="AO3" s="439">
        <f>IF(AN3="YES", VLOOKUP(AN$1,_Fan!$N:$Q,2,FALSE), 0)</f>
        <v>0</v>
      </c>
      <c r="AP3" s="439">
        <f>IF(AN3="YES", VLOOKUP(AN$1,_Fan!$N:$Q,3,FALSE), 0)</f>
        <v>0</v>
      </c>
      <c r="AQ3" s="430"/>
      <c r="AR3" s="439">
        <f>IF(AQ3="YES", VLOOKUP(AQ$1,_Fan!$N:$Q,2,FALSE), 0)</f>
        <v>0</v>
      </c>
      <c r="AS3" s="439">
        <f>IF(AQ3="YES", VLOOKUP(AQ$1,_Fan!$N:$Q,3,FALSE), 0)</f>
        <v>0</v>
      </c>
      <c r="AT3" s="430"/>
      <c r="AU3" s="439">
        <f>IF(AT3="YES", VLOOKUP(AT$1,_Fan!$N:$Q,2,FALSE), 0)</f>
        <v>0</v>
      </c>
      <c r="AV3" s="439">
        <f>IF(AT3="YES", VLOOKUP(AT$1,_Fan!$N:$Q,3,FALSE), 0)</f>
        <v>0</v>
      </c>
      <c r="AW3" s="430"/>
      <c r="AX3" s="439">
        <f>IFERROR(VLOOKUP(AW3,_Fan!$N:$Q,2,FALSE),0)</f>
        <v>0</v>
      </c>
      <c r="AY3" s="439">
        <f>IFERROR(VLOOKUP(AW3,_Fan!$N:$Q,3,FALSE),0)</f>
        <v>0</v>
      </c>
      <c r="AZ3" s="430"/>
      <c r="BA3" s="439">
        <f>IF(AZ3="YES", VLOOKUP(AZ$1,_Fan!$N:$Q,2,FALSE), 0)</f>
        <v>0</v>
      </c>
      <c r="BB3" s="439">
        <f>IF(AZ3="YES", VLOOKUP(AZ$1,_Fan!$N:$Q,3,FALSE), 0)</f>
        <v>0</v>
      </c>
      <c r="BC3" s="430"/>
      <c r="BD3" s="430"/>
      <c r="BE3" s="430"/>
      <c r="BF3" s="430"/>
      <c r="BG3" s="430"/>
      <c r="BH3" s="430"/>
      <c r="BI3" s="430"/>
      <c r="BJ3" s="430"/>
      <c r="BK3" s="430"/>
      <c r="BL3" s="430"/>
      <c r="BM3" s="430"/>
      <c r="BN3" s="430"/>
      <c r="BO3" s="430"/>
      <c r="BP3" s="430"/>
      <c r="BQ3" s="430"/>
      <c r="BR3" s="430"/>
    </row>
    <row r="4" spans="1:70" x14ac:dyDescent="0.4">
      <c r="A4" s="429" t="str">
        <f t="shared" si="0"/>
        <v>INVALID</v>
      </c>
      <c r="B4" s="430" t="str">
        <f t="shared" si="3"/>
        <v>Fan 3</v>
      </c>
      <c r="C4" s="431">
        <f t="shared" si="4"/>
        <v>0</v>
      </c>
      <c r="D4" s="430">
        <f t="shared" si="5"/>
        <v>0</v>
      </c>
      <c r="E4" s="430"/>
      <c r="F4" s="430">
        <f t="shared" si="1"/>
        <v>0</v>
      </c>
      <c r="G4" s="430"/>
      <c r="H4" s="430"/>
      <c r="I4" s="430">
        <f t="shared" si="6"/>
        <v>0</v>
      </c>
      <c r="J4" s="430">
        <f t="shared" si="7"/>
        <v>0</v>
      </c>
      <c r="K4" s="430">
        <f>IF(AW4="VSD",(VLOOKUP("Switchboard Cable 1mm",'Part List'!$A:$G,3,FALSE)+VLOOKUP("2.5mm Twin and Earth",'Part List'!$A:$G,3,FALSE)*2),IF(AW4="KEF",(VLOOKUP("7030 2 pair TCAS7302P",'Part List'!$A:$G,3,FALSE) + VLOOKUP("4mm Cable 3 core and Earth",'Part List'!$A:$G,3,FALSE)),VLOOKUP("2.5mm Twin and Earth",'Part List'!$A:$G,3,FALSE)))</f>
        <v>0.85</v>
      </c>
      <c r="L4" s="430">
        <f t="shared" si="8"/>
        <v>0</v>
      </c>
      <c r="M4" s="430">
        <f>IF(AW4="VSD",(VLOOKUP("Switchboard Cable 1mm",'Part List'!$A:$G,5,FALSE)+VLOOKUP("2.5mm Twin and Earth",'Part List'!$A:$G,5,FALSE)*2),IF(AW4="KEF",(VLOOKUP("7030 2 pair TCAS7302P",'Part List'!$A:$G,5,FALSE) + VLOOKUP("4mm Cable 3 core and Earth",'Part List'!$A:$G,5,FALSE)),VLOOKUP("2.5mm Twin and Earth",'Part List'!$A:$G,5,FALSE)))</f>
        <v>0.1</v>
      </c>
      <c r="N4" s="430">
        <f t="shared" si="2"/>
        <v>0</v>
      </c>
      <c r="O4" s="430"/>
      <c r="P4" s="438"/>
      <c r="Q4" s="439">
        <f>IFERROR(VLOOKUP(P4,_Fan!$N:$Q,2,FALSE),0)</f>
        <v>0</v>
      </c>
      <c r="R4" s="439">
        <f>IFERROR(VLOOKUP(P4,_Fan!$N:$Q,3,FALSE),0)</f>
        <v>0</v>
      </c>
      <c r="S4" s="430"/>
      <c r="T4" s="439">
        <f>IF(S4="YES", VLOOKUP(S$1,_Fan!$N:$Q,2,FALSE), 0)</f>
        <v>0</v>
      </c>
      <c r="U4" s="439">
        <f>IF(S4="YES", VLOOKUP(S$1,_Fan!$N:$Q,3,FALSE), 0)</f>
        <v>0</v>
      </c>
      <c r="V4" s="430"/>
      <c r="W4" s="439">
        <f>IF(V4="YES", VLOOKUP(V$1,_Fan!$N:$Q,2,FALSE), 0)</f>
        <v>0</v>
      </c>
      <c r="X4" s="439">
        <f>IF(V4="YES", VLOOKUP(V$1,_Fan!$N:$Q,3,FALSE), 0)</f>
        <v>0</v>
      </c>
      <c r="Y4" s="430"/>
      <c r="Z4" s="439">
        <f>IFERROR(VLOOKUP(Y4,_Fan!$N:$Q,2,FALSE),0)</f>
        <v>0</v>
      </c>
      <c r="AA4" s="439">
        <f>IFERROR(VLOOKUP(Y4,_Fan!$N:$Q,3,FALSE),0)</f>
        <v>0</v>
      </c>
      <c r="AB4" s="430" t="s">
        <v>886</v>
      </c>
      <c r="AC4" s="439">
        <f>IF(AB4="YES", VLOOKUP(AB$1,_Fan!$N:$Q,2,FALSE), 0)</f>
        <v>0</v>
      </c>
      <c r="AD4" s="439">
        <f>IF(AB4="YES", VLOOKUP(AB$1,_Fan!$N:$Q,3,FALSE), 0)</f>
        <v>0</v>
      </c>
      <c r="AE4" s="430" t="s">
        <v>886</v>
      </c>
      <c r="AF4" s="439">
        <f>IF(AE4="YES", VLOOKUP(AE$1,_Fan!$N:$Q,2,FALSE), 0)</f>
        <v>0</v>
      </c>
      <c r="AG4" s="439">
        <f>IF(AE4="YES", VLOOKUP(AE$1,_Fan!$N:$Q,3,FALSE), 0)</f>
        <v>0</v>
      </c>
      <c r="AH4" s="430" t="s">
        <v>886</v>
      </c>
      <c r="AI4" s="439">
        <f>IF(AH4="YES", VLOOKUP(AH$1,_Fan!$N:$Q,2,FALSE), 0)</f>
        <v>0</v>
      </c>
      <c r="AJ4" s="439">
        <f>IF(AH4="YES", VLOOKUP(AH$1,_Fan!$N:$Q,3,FALSE), 0)</f>
        <v>0</v>
      </c>
      <c r="AK4" s="430"/>
      <c r="AL4" s="439">
        <f>IF(AK4="YES", VLOOKUP(AK$1,_Fan!$N:$Q,2,FALSE), 0)</f>
        <v>0</v>
      </c>
      <c r="AM4" s="439">
        <f>IF(AK4="YES", VLOOKUP(AK$1,_Fan!$N:$Q,3,FALSE), 0)</f>
        <v>0</v>
      </c>
      <c r="AN4" s="430"/>
      <c r="AO4" s="439">
        <f>IF(AN4="YES", VLOOKUP(AN$1,_Fan!$N:$Q,2,FALSE), 0)</f>
        <v>0</v>
      </c>
      <c r="AP4" s="439">
        <f>IF(AN4="YES", VLOOKUP(AN$1,_Fan!$N:$Q,3,FALSE), 0)</f>
        <v>0</v>
      </c>
      <c r="AQ4" s="430"/>
      <c r="AR4" s="439">
        <f>IF(AQ4="YES", VLOOKUP(AQ$1,_Fan!$N:$Q,2,FALSE), 0)</f>
        <v>0</v>
      </c>
      <c r="AS4" s="439">
        <f>IF(AQ4="YES", VLOOKUP(AQ$1,_Fan!$N:$Q,3,FALSE), 0)</f>
        <v>0</v>
      </c>
      <c r="AT4" s="430"/>
      <c r="AU4" s="439">
        <f>IF(AT4="YES", VLOOKUP(AT$1,_Fan!$N:$Q,2,FALSE), 0)</f>
        <v>0</v>
      </c>
      <c r="AV4" s="439">
        <f>IF(AT4="YES", VLOOKUP(AT$1,_Fan!$N:$Q,3,FALSE), 0)</f>
        <v>0</v>
      </c>
      <c r="AW4" s="430"/>
      <c r="AX4" s="439">
        <f>IFERROR(VLOOKUP(AW4,_Fan!$N:$Q,2,FALSE),0)</f>
        <v>0</v>
      </c>
      <c r="AY4" s="439">
        <f>IFERROR(VLOOKUP(AW4,_Fan!$N:$Q,3,FALSE),0)</f>
        <v>0</v>
      </c>
      <c r="AZ4" s="430"/>
      <c r="BA4" s="439">
        <f>IF(AZ4="YES", VLOOKUP(AZ$1,_Fan!$N:$Q,2,FALSE), 0)</f>
        <v>0</v>
      </c>
      <c r="BB4" s="439">
        <f>IF(AZ4="YES", VLOOKUP(AZ$1,_Fan!$N:$Q,3,FALSE), 0)</f>
        <v>0</v>
      </c>
      <c r="BC4" s="430"/>
      <c r="BD4" s="430"/>
      <c r="BE4" s="430"/>
      <c r="BF4" s="430"/>
      <c r="BG4" s="430"/>
      <c r="BH4" s="430"/>
      <c r="BI4" s="430"/>
      <c r="BJ4" s="430"/>
      <c r="BK4" s="430"/>
      <c r="BL4" s="430"/>
      <c r="BM4" s="430"/>
      <c r="BN4" s="430"/>
      <c r="BO4" s="430"/>
      <c r="BP4" s="430"/>
      <c r="BQ4" s="430"/>
      <c r="BR4" s="430"/>
    </row>
    <row r="5" spans="1:70" x14ac:dyDescent="0.4">
      <c r="A5" s="429" t="str">
        <f t="shared" si="0"/>
        <v>INVALID</v>
      </c>
      <c r="B5" s="430" t="str">
        <f t="shared" si="3"/>
        <v>Fan 4</v>
      </c>
      <c r="C5" s="431">
        <f t="shared" si="4"/>
        <v>0</v>
      </c>
      <c r="D5" s="430">
        <f t="shared" si="5"/>
        <v>0</v>
      </c>
      <c r="E5" s="430"/>
      <c r="F5" s="430">
        <f t="shared" si="1"/>
        <v>0</v>
      </c>
      <c r="G5" s="430"/>
      <c r="H5" s="430"/>
      <c r="I5" s="430">
        <f t="shared" si="6"/>
        <v>0</v>
      </c>
      <c r="J5" s="430">
        <f t="shared" si="7"/>
        <v>0</v>
      </c>
      <c r="K5" s="430">
        <f>IF(AW5="VSD",(VLOOKUP("Switchboard Cable 1mm",'Part List'!$A:$G,3,FALSE)+VLOOKUP("2.5mm Twin and Earth",'Part List'!$A:$G,3,FALSE)*2),IF(AW5="KEF",(VLOOKUP("7030 2 pair TCAS7302P",'Part List'!$A:$G,3,FALSE) + VLOOKUP("4mm Cable 3 core and Earth",'Part List'!$A:$G,3,FALSE)),VLOOKUP("2.5mm Twin and Earth",'Part List'!$A:$G,3,FALSE)))</f>
        <v>0.85</v>
      </c>
      <c r="L5" s="430">
        <f t="shared" si="8"/>
        <v>0</v>
      </c>
      <c r="M5" s="430">
        <f>IF(AW5="VSD",(VLOOKUP("Switchboard Cable 1mm",'Part List'!$A:$G,5,FALSE)+VLOOKUP("2.5mm Twin and Earth",'Part List'!$A:$G,5,FALSE)*2),IF(AW5="KEF",(VLOOKUP("7030 2 pair TCAS7302P",'Part List'!$A:$G,5,FALSE) + VLOOKUP("4mm Cable 3 core and Earth",'Part List'!$A:$G,5,FALSE)),VLOOKUP("2.5mm Twin and Earth",'Part List'!$A:$G,5,FALSE)))</f>
        <v>0.1</v>
      </c>
      <c r="N5" s="430">
        <f t="shared" si="2"/>
        <v>0</v>
      </c>
      <c r="O5" s="430"/>
      <c r="P5" s="438"/>
      <c r="Q5" s="439">
        <f>IFERROR(VLOOKUP(P5,_Fan!$N:$Q,2,FALSE),0)</f>
        <v>0</v>
      </c>
      <c r="R5" s="439">
        <f>IFERROR(VLOOKUP(P5,_Fan!$N:$Q,3,FALSE),0)</f>
        <v>0</v>
      </c>
      <c r="S5" s="430"/>
      <c r="T5" s="439">
        <f>IF(S5="YES", VLOOKUP(S$1,_Fan!$N:$Q,2,FALSE), 0)</f>
        <v>0</v>
      </c>
      <c r="U5" s="439">
        <f>IF(S5="YES", VLOOKUP(S$1,_Fan!$N:$Q,3,FALSE), 0)</f>
        <v>0</v>
      </c>
      <c r="V5" s="430"/>
      <c r="W5" s="439">
        <f>IF(V5="YES", VLOOKUP(V$1,_Fan!$N:$Q,2,FALSE), 0)</f>
        <v>0</v>
      </c>
      <c r="X5" s="439">
        <f>IF(V5="YES", VLOOKUP(V$1,_Fan!$N:$Q,3,FALSE), 0)</f>
        <v>0</v>
      </c>
      <c r="Y5" s="430"/>
      <c r="Z5" s="439">
        <f>IFERROR(VLOOKUP(Y5,_Fan!$N:$Q,2,FALSE),0)</f>
        <v>0</v>
      </c>
      <c r="AA5" s="439">
        <f>IFERROR(VLOOKUP(Y5,_Fan!$N:$Q,3,FALSE),0)</f>
        <v>0</v>
      </c>
      <c r="AB5" s="430" t="s">
        <v>886</v>
      </c>
      <c r="AC5" s="439">
        <f>IF(AB5="YES", VLOOKUP(AB$1,_Fan!$N:$Q,2,FALSE), 0)</f>
        <v>0</v>
      </c>
      <c r="AD5" s="439">
        <f>IF(AB5="YES", VLOOKUP(AB$1,_Fan!$N:$Q,3,FALSE), 0)</f>
        <v>0</v>
      </c>
      <c r="AE5" s="430" t="s">
        <v>886</v>
      </c>
      <c r="AF5" s="439">
        <f>IF(AE5="YES", VLOOKUP(AE$1,_Fan!$N:$Q,2,FALSE), 0)</f>
        <v>0</v>
      </c>
      <c r="AG5" s="439">
        <f>IF(AE5="YES", VLOOKUP(AE$1,_Fan!$N:$Q,3,FALSE), 0)</f>
        <v>0</v>
      </c>
      <c r="AH5" s="430" t="s">
        <v>886</v>
      </c>
      <c r="AI5" s="439">
        <f>IF(AH5="YES", VLOOKUP(AH$1,_Fan!$N:$Q,2,FALSE), 0)</f>
        <v>0</v>
      </c>
      <c r="AJ5" s="439">
        <f>IF(AH5="YES", VLOOKUP(AH$1,_Fan!$N:$Q,3,FALSE), 0)</f>
        <v>0</v>
      </c>
      <c r="AK5" s="430"/>
      <c r="AL5" s="439">
        <f>IF(AK5="YES", VLOOKUP(AK$1,_Fan!$N:$Q,2,FALSE), 0)</f>
        <v>0</v>
      </c>
      <c r="AM5" s="439">
        <f>IF(AK5="YES", VLOOKUP(AK$1,_Fan!$N:$Q,3,FALSE), 0)</f>
        <v>0</v>
      </c>
      <c r="AN5" s="430"/>
      <c r="AO5" s="439">
        <f>IF(AN5="YES", VLOOKUP(AN$1,_Fan!$N:$Q,2,FALSE), 0)</f>
        <v>0</v>
      </c>
      <c r="AP5" s="439">
        <f>IF(AN5="YES", VLOOKUP(AN$1,_Fan!$N:$Q,3,FALSE), 0)</f>
        <v>0</v>
      </c>
      <c r="AQ5" s="430"/>
      <c r="AR5" s="439">
        <f>IF(AQ5="YES", VLOOKUP(AQ$1,_Fan!$N:$Q,2,FALSE), 0)</f>
        <v>0</v>
      </c>
      <c r="AS5" s="439">
        <f>IF(AQ5="YES", VLOOKUP(AQ$1,_Fan!$N:$Q,3,FALSE), 0)</f>
        <v>0</v>
      </c>
      <c r="AT5" s="430"/>
      <c r="AU5" s="439">
        <f>IF(AT5="YES", VLOOKUP(AT$1,_Fan!$N:$Q,2,FALSE), 0)</f>
        <v>0</v>
      </c>
      <c r="AV5" s="439">
        <f>IF(AT5="YES", VLOOKUP(AT$1,_Fan!$N:$Q,3,FALSE), 0)</f>
        <v>0</v>
      </c>
      <c r="AW5" s="430"/>
      <c r="AX5" s="439">
        <f>IFERROR(VLOOKUP(AW5,_Fan!$N:$Q,2,FALSE),0)</f>
        <v>0</v>
      </c>
      <c r="AY5" s="439">
        <f>IFERROR(VLOOKUP(AW5,_Fan!$N:$Q,3,FALSE),0)</f>
        <v>0</v>
      </c>
      <c r="AZ5" s="430"/>
      <c r="BA5" s="439">
        <f>IF(AZ5="YES", VLOOKUP(AZ$1,_Fan!$N:$Q,2,FALSE), 0)</f>
        <v>0</v>
      </c>
      <c r="BB5" s="439">
        <f>IF(AZ5="YES", VLOOKUP(AZ$1,_Fan!$N:$Q,3,FALSE), 0)</f>
        <v>0</v>
      </c>
      <c r="BC5" s="430"/>
      <c r="BD5" s="430"/>
      <c r="BE5" s="430"/>
      <c r="BF5" s="430"/>
      <c r="BG5" s="430"/>
      <c r="BH5" s="430"/>
      <c r="BI5" s="430"/>
      <c r="BJ5" s="430"/>
      <c r="BK5" s="430"/>
      <c r="BL5" s="430"/>
      <c r="BM5" s="430"/>
      <c r="BN5" s="430"/>
      <c r="BO5" s="430"/>
      <c r="BP5" s="430"/>
      <c r="BQ5" s="430"/>
      <c r="BR5" s="430"/>
    </row>
    <row r="6" spans="1:70" x14ac:dyDescent="0.4">
      <c r="A6" s="429" t="str">
        <f t="shared" si="0"/>
        <v>INVALID</v>
      </c>
      <c r="B6" s="430" t="str">
        <f t="shared" si="3"/>
        <v>Fan 5</v>
      </c>
      <c r="C6" s="431">
        <f t="shared" si="4"/>
        <v>0</v>
      </c>
      <c r="D6" s="430">
        <f t="shared" si="5"/>
        <v>0</v>
      </c>
      <c r="E6" s="430"/>
      <c r="F6" s="430">
        <f t="shared" si="1"/>
        <v>0</v>
      </c>
      <c r="G6" s="430"/>
      <c r="H6" s="430"/>
      <c r="I6" s="430">
        <f t="shared" si="6"/>
        <v>0</v>
      </c>
      <c r="J6" s="430">
        <f t="shared" si="7"/>
        <v>0</v>
      </c>
      <c r="K6" s="430">
        <f>IF(AW6="VSD",(VLOOKUP("Switchboard Cable 1mm",'Part List'!$A:$G,3,FALSE)+VLOOKUP("2.5mm Twin and Earth",'Part List'!$A:$G,3,FALSE)*2),IF(AW6="KEF",(VLOOKUP("7030 2 pair TCAS7302P",'Part List'!$A:$G,3,FALSE) + VLOOKUP("4mm Cable 3 core and Earth",'Part List'!$A:$G,3,FALSE)),VLOOKUP("2.5mm Twin and Earth",'Part List'!$A:$G,3,FALSE)))</f>
        <v>0.85</v>
      </c>
      <c r="L6" s="430">
        <f t="shared" si="8"/>
        <v>0</v>
      </c>
      <c r="M6" s="430">
        <f>IF(AW6="VSD",(VLOOKUP("Switchboard Cable 1mm",'Part List'!$A:$G,5,FALSE)+VLOOKUP("2.5mm Twin and Earth",'Part List'!$A:$G,5,FALSE)*2),IF(AW6="KEF",(VLOOKUP("7030 2 pair TCAS7302P",'Part List'!$A:$G,5,FALSE) + VLOOKUP("4mm Cable 3 core and Earth",'Part List'!$A:$G,5,FALSE)),VLOOKUP("2.5mm Twin and Earth",'Part List'!$A:$G,5,FALSE)))</f>
        <v>0.1</v>
      </c>
      <c r="N6" s="430">
        <f t="shared" si="2"/>
        <v>0</v>
      </c>
      <c r="O6" s="430"/>
      <c r="P6" s="438"/>
      <c r="Q6" s="439">
        <f>IFERROR(VLOOKUP(P6,_Fan!$N:$Q,2,FALSE),0)</f>
        <v>0</v>
      </c>
      <c r="R6" s="439">
        <f>IFERROR(VLOOKUP(P6,_Fan!$N:$Q,3,FALSE),0)</f>
        <v>0</v>
      </c>
      <c r="S6" s="430"/>
      <c r="T6" s="439">
        <f>IF(S6="YES", VLOOKUP(S$1,_Fan!$N:$Q,2,FALSE), 0)</f>
        <v>0</v>
      </c>
      <c r="U6" s="439">
        <f>IF(S6="YES", VLOOKUP(S$1,_Fan!$N:$Q,3,FALSE), 0)</f>
        <v>0</v>
      </c>
      <c r="V6" s="430"/>
      <c r="W6" s="439">
        <f>IF(V6="YES", VLOOKUP(V$1,_Fan!$N:$Q,2,FALSE), 0)</f>
        <v>0</v>
      </c>
      <c r="X6" s="439">
        <f>IF(V6="YES", VLOOKUP(V$1,_Fan!$N:$Q,3,FALSE), 0)</f>
        <v>0</v>
      </c>
      <c r="Y6" s="430"/>
      <c r="Z6" s="439">
        <f>IFERROR(VLOOKUP(Y6,_Fan!$N:$Q,2,FALSE),0)</f>
        <v>0</v>
      </c>
      <c r="AA6" s="439">
        <f>IFERROR(VLOOKUP(Y6,_Fan!$N:$Q,3,FALSE),0)</f>
        <v>0</v>
      </c>
      <c r="AB6" s="430" t="s">
        <v>886</v>
      </c>
      <c r="AC6" s="439">
        <f>IF(AB6="YES", VLOOKUP(AB$1,_Fan!$N:$Q,2,FALSE), 0)</f>
        <v>0</v>
      </c>
      <c r="AD6" s="439">
        <f>IF(AB6="YES", VLOOKUP(AB$1,_Fan!$N:$Q,3,FALSE), 0)</f>
        <v>0</v>
      </c>
      <c r="AE6" s="430" t="s">
        <v>886</v>
      </c>
      <c r="AF6" s="439">
        <f>IF(AE6="YES", VLOOKUP(AE$1,_Fan!$N:$Q,2,FALSE), 0)</f>
        <v>0</v>
      </c>
      <c r="AG6" s="439">
        <f>IF(AE6="YES", VLOOKUP(AE$1,_Fan!$N:$Q,3,FALSE), 0)</f>
        <v>0</v>
      </c>
      <c r="AH6" s="430" t="s">
        <v>886</v>
      </c>
      <c r="AI6" s="439">
        <f>IF(AH6="YES", VLOOKUP(AH$1,_Fan!$N:$Q,2,FALSE), 0)</f>
        <v>0</v>
      </c>
      <c r="AJ6" s="439">
        <f>IF(AH6="YES", VLOOKUP(AH$1,_Fan!$N:$Q,3,FALSE), 0)</f>
        <v>0</v>
      </c>
      <c r="AK6" s="430"/>
      <c r="AL6" s="439">
        <f>IF(AK6="YES", VLOOKUP(AK$1,_Fan!$N:$Q,2,FALSE), 0)</f>
        <v>0</v>
      </c>
      <c r="AM6" s="439">
        <f>IF(AK6="YES", VLOOKUP(AK$1,_Fan!$N:$Q,3,FALSE), 0)</f>
        <v>0</v>
      </c>
      <c r="AN6" s="430"/>
      <c r="AO6" s="439">
        <f>IF(AN6="YES", VLOOKUP(AN$1,_Fan!$N:$Q,2,FALSE), 0)</f>
        <v>0</v>
      </c>
      <c r="AP6" s="439">
        <f>IF(AN6="YES", VLOOKUP(AN$1,_Fan!$N:$Q,3,FALSE), 0)</f>
        <v>0</v>
      </c>
      <c r="AQ6" s="430"/>
      <c r="AR6" s="439">
        <f>IF(AQ6="YES", VLOOKUP(AQ$1,_Fan!$N:$Q,2,FALSE), 0)</f>
        <v>0</v>
      </c>
      <c r="AS6" s="439">
        <f>IF(AQ6="YES", VLOOKUP(AQ$1,_Fan!$N:$Q,3,FALSE), 0)</f>
        <v>0</v>
      </c>
      <c r="AT6" s="430"/>
      <c r="AU6" s="439">
        <f>IF(AT6="YES", VLOOKUP(AT$1,_Fan!$N:$Q,2,FALSE), 0)</f>
        <v>0</v>
      </c>
      <c r="AV6" s="439">
        <f>IF(AT6="YES", VLOOKUP(AT$1,_Fan!$N:$Q,3,FALSE), 0)</f>
        <v>0</v>
      </c>
      <c r="AW6" s="430"/>
      <c r="AX6" s="439">
        <f>IFERROR(VLOOKUP(AW6,_Fan!$N:$Q,2,FALSE),0)</f>
        <v>0</v>
      </c>
      <c r="AY6" s="439">
        <f>IFERROR(VLOOKUP(AW6,_Fan!$N:$Q,3,FALSE),0)</f>
        <v>0</v>
      </c>
      <c r="AZ6" s="430"/>
      <c r="BA6" s="439">
        <f>IF(AZ6="YES", VLOOKUP(AZ$1,_Fan!$N:$Q,2,FALSE), 0)</f>
        <v>0</v>
      </c>
      <c r="BB6" s="439">
        <f>IF(AZ6="YES", VLOOKUP(AZ$1,_Fan!$N:$Q,3,FALSE), 0)</f>
        <v>0</v>
      </c>
      <c r="BC6" s="430"/>
      <c r="BD6" s="430"/>
      <c r="BE6" s="430"/>
      <c r="BF6" s="430"/>
      <c r="BG6" s="430"/>
      <c r="BH6" s="430"/>
      <c r="BI6" s="430"/>
      <c r="BJ6" s="430"/>
      <c r="BK6" s="430"/>
      <c r="BL6" s="430"/>
      <c r="BM6" s="430"/>
      <c r="BN6" s="430"/>
      <c r="BO6" s="430"/>
      <c r="BP6" s="430"/>
      <c r="BQ6" s="430"/>
      <c r="BR6" s="430"/>
    </row>
    <row r="7" spans="1:70" x14ac:dyDescent="0.4">
      <c r="A7" s="429" t="str">
        <f t="shared" si="0"/>
        <v>INVALID</v>
      </c>
      <c r="B7" s="430" t="str">
        <f t="shared" si="3"/>
        <v>Fan 6</v>
      </c>
      <c r="C7" s="431">
        <f t="shared" si="4"/>
        <v>0</v>
      </c>
      <c r="D7" s="430">
        <f t="shared" si="5"/>
        <v>0</v>
      </c>
      <c r="E7" s="430"/>
      <c r="F7" s="430">
        <f t="shared" si="1"/>
        <v>0</v>
      </c>
      <c r="G7" s="430"/>
      <c r="H7" s="430"/>
      <c r="I7" s="430">
        <f t="shared" si="6"/>
        <v>0</v>
      </c>
      <c r="J7" s="430">
        <f t="shared" si="7"/>
        <v>0</v>
      </c>
      <c r="K7" s="430">
        <f>IF(AW7="VSD",(VLOOKUP("Switchboard Cable 1mm",'Part List'!$A:$G,3,FALSE)+VLOOKUP("2.5mm Twin and Earth",'Part List'!$A:$G,3,FALSE)*2),IF(AW7="KEF",(VLOOKUP("7030 2 pair TCAS7302P",'Part List'!$A:$G,3,FALSE) + VLOOKUP("4mm Cable 3 core and Earth",'Part List'!$A:$G,3,FALSE)),VLOOKUP("2.5mm Twin and Earth",'Part List'!$A:$G,3,FALSE)))</f>
        <v>0.85</v>
      </c>
      <c r="L7" s="430">
        <f t="shared" si="8"/>
        <v>0</v>
      </c>
      <c r="M7" s="430">
        <f>IF(AW7="VSD",(VLOOKUP("Switchboard Cable 1mm",'Part List'!$A:$G,5,FALSE)+VLOOKUP("2.5mm Twin and Earth",'Part List'!$A:$G,5,FALSE)*2),IF(AW7="KEF",(VLOOKUP("7030 2 pair TCAS7302P",'Part List'!$A:$G,5,FALSE) + VLOOKUP("4mm Cable 3 core and Earth",'Part List'!$A:$G,5,FALSE)),VLOOKUP("2.5mm Twin and Earth",'Part List'!$A:$G,5,FALSE)))</f>
        <v>0.1</v>
      </c>
      <c r="N7" s="430">
        <f t="shared" si="2"/>
        <v>0</v>
      </c>
      <c r="O7" s="430"/>
      <c r="P7" s="438"/>
      <c r="Q7" s="439">
        <f>IFERROR(VLOOKUP(P7,_Fan!$N:$Q,2,FALSE),0)</f>
        <v>0</v>
      </c>
      <c r="R7" s="439">
        <f>IFERROR(VLOOKUP(P7,_Fan!$N:$Q,3,FALSE),0)</f>
        <v>0</v>
      </c>
      <c r="S7" s="438"/>
      <c r="T7" s="439">
        <f>IF(S7="YES", VLOOKUP(S$1,_Fan!$N:$Q,2,FALSE), 0)</f>
        <v>0</v>
      </c>
      <c r="U7" s="439">
        <f>IF(S7="YES", VLOOKUP(S$1,_Fan!$N:$Q,3,FALSE), 0)</f>
        <v>0</v>
      </c>
      <c r="V7" s="438"/>
      <c r="W7" s="439">
        <f>IF(V7="YES", VLOOKUP(V$1,_Fan!$N:$Q,2,FALSE), 0)</f>
        <v>0</v>
      </c>
      <c r="X7" s="439">
        <f>IF(V7="YES", VLOOKUP(V$1,_Fan!$N:$Q,3,FALSE), 0)</f>
        <v>0</v>
      </c>
      <c r="Y7" s="438"/>
      <c r="Z7" s="439">
        <f>IFERROR(VLOOKUP(Y7,_Fan!$N:$Q,2,FALSE),0)</f>
        <v>0</v>
      </c>
      <c r="AA7" s="439">
        <f>IFERROR(VLOOKUP(Y7,_Fan!$N:$Q,3,FALSE),0)</f>
        <v>0</v>
      </c>
      <c r="AB7" s="438"/>
      <c r="AC7" s="439">
        <f>IF(AB7="YES", VLOOKUP(AB$1,_Fan!$N:$Q,2,FALSE), 0)</f>
        <v>0</v>
      </c>
      <c r="AD7" s="439">
        <f>IF(AB7="YES", VLOOKUP(AB$1,_Fan!$N:$Q,3,FALSE), 0)</f>
        <v>0</v>
      </c>
      <c r="AE7" s="438"/>
      <c r="AF7" s="439">
        <f>IF(AE7="YES", VLOOKUP(AE$1,_Fan!$N:$Q,2,FALSE), 0)</f>
        <v>0</v>
      </c>
      <c r="AG7" s="439">
        <f>IF(AE7="YES", VLOOKUP(AE$1,_Fan!$N:$Q,3,FALSE), 0)</f>
        <v>0</v>
      </c>
      <c r="AH7" s="438"/>
      <c r="AI7" s="439">
        <f>IF(AH7="YES", VLOOKUP(AH$1,_Fan!$N:$Q,2,FALSE), 0)</f>
        <v>0</v>
      </c>
      <c r="AJ7" s="439">
        <f>IF(AH7="YES", VLOOKUP(AH$1,_Fan!$N:$Q,3,FALSE), 0)</f>
        <v>0</v>
      </c>
      <c r="AK7" s="438"/>
      <c r="AL7" s="439">
        <f>IF(AK7="YES", VLOOKUP(AK$1,_Fan!$N:$Q,2,FALSE), 0)</f>
        <v>0</v>
      </c>
      <c r="AM7" s="439">
        <f>IF(AK7="YES", VLOOKUP(AK$1,_Fan!$N:$Q,3,FALSE), 0)</f>
        <v>0</v>
      </c>
      <c r="AN7" s="438"/>
      <c r="AO7" s="439">
        <f>IF(AN7="YES", VLOOKUP(AN$1,_Fan!$N:$Q,2,FALSE), 0)</f>
        <v>0</v>
      </c>
      <c r="AP7" s="439">
        <f>IF(AN7="YES", VLOOKUP(AN$1,_Fan!$N:$Q,3,FALSE), 0)</f>
        <v>0</v>
      </c>
      <c r="AQ7" s="438"/>
      <c r="AR7" s="439">
        <f>IF(AQ7="YES", VLOOKUP(AQ$1,_Fan!$N:$Q,2,FALSE), 0)</f>
        <v>0</v>
      </c>
      <c r="AS7" s="439">
        <f>IF(AQ7="YES", VLOOKUP(AQ$1,_Fan!$N:$Q,3,FALSE), 0)</f>
        <v>0</v>
      </c>
      <c r="AT7" s="438"/>
      <c r="AU7" s="439">
        <f>IF(AT7="YES", VLOOKUP(AT$1,_Fan!$N:$Q,2,FALSE), 0)</f>
        <v>0</v>
      </c>
      <c r="AV7" s="439">
        <f>IF(AT7="YES", VLOOKUP(AT$1,_Fan!$N:$Q,3,FALSE), 0)</f>
        <v>0</v>
      </c>
      <c r="AW7" s="438"/>
      <c r="AX7" s="439">
        <f>IFERROR(VLOOKUP(AW7,_Fan!$N:$Q,2,FALSE),0)</f>
        <v>0</v>
      </c>
      <c r="AY7" s="439">
        <f>IFERROR(VLOOKUP(AW7,_Fan!$N:$Q,3,FALSE),0)</f>
        <v>0</v>
      </c>
      <c r="AZ7" s="438"/>
      <c r="BA7" s="439">
        <f>IF(AZ7="YES", VLOOKUP(AZ$1,_Fan!$N:$Q,2,FALSE), 0)</f>
        <v>0</v>
      </c>
      <c r="BB7" s="439">
        <f>IF(AZ7="YES", VLOOKUP(AZ$1,_Fan!$N:$Q,3,FALSE), 0)</f>
        <v>0</v>
      </c>
      <c r="BC7" s="430"/>
      <c r="BD7" s="430"/>
      <c r="BE7" s="430"/>
      <c r="BF7" s="430"/>
      <c r="BG7" s="430"/>
      <c r="BH7" s="430"/>
      <c r="BI7" s="430"/>
      <c r="BJ7" s="430"/>
      <c r="BK7" s="430"/>
      <c r="BL7" s="430"/>
      <c r="BM7" s="430"/>
      <c r="BN7" s="430"/>
      <c r="BO7" s="430"/>
      <c r="BP7" s="430"/>
      <c r="BQ7" s="430"/>
      <c r="BR7" s="430"/>
    </row>
    <row r="8" spans="1:70" x14ac:dyDescent="0.4">
      <c r="A8" s="429" t="str">
        <f t="shared" si="0"/>
        <v>INVALID</v>
      </c>
      <c r="B8" s="430" t="str">
        <f t="shared" si="3"/>
        <v>Fan 7</v>
      </c>
      <c r="C8" s="431">
        <f t="shared" si="4"/>
        <v>0</v>
      </c>
      <c r="D8" s="430">
        <f t="shared" si="5"/>
        <v>0</v>
      </c>
      <c r="E8" s="430"/>
      <c r="F8" s="430">
        <f t="shared" si="1"/>
        <v>0</v>
      </c>
      <c r="G8" s="430"/>
      <c r="H8" s="430"/>
      <c r="I8" s="430">
        <f t="shared" si="6"/>
        <v>0</v>
      </c>
      <c r="J8" s="430">
        <f t="shared" si="7"/>
        <v>0</v>
      </c>
      <c r="K8" s="430">
        <f>IF(AW8="VSD",(VLOOKUP("Switchboard Cable 1mm",'Part List'!$A:$G,3,FALSE)+VLOOKUP("2.5mm Twin and Earth",'Part List'!$A:$G,3,FALSE)*2),IF(AW8="KEF",(VLOOKUP("7030 2 pair TCAS7302P",'Part List'!$A:$G,3,FALSE) + VLOOKUP("4mm Cable 3 core and Earth",'Part List'!$A:$G,3,FALSE)),VLOOKUP("2.5mm Twin and Earth",'Part List'!$A:$G,3,FALSE)))</f>
        <v>0.85</v>
      </c>
      <c r="L8" s="430">
        <f t="shared" si="8"/>
        <v>0</v>
      </c>
      <c r="M8" s="430">
        <f>IF(AW8="VSD",(VLOOKUP("Switchboard Cable 1mm",'Part List'!$A:$G,5,FALSE)+VLOOKUP("2.5mm Twin and Earth",'Part List'!$A:$G,5,FALSE)*2),IF(AW8="KEF",(VLOOKUP("7030 2 pair TCAS7302P",'Part List'!$A:$G,5,FALSE) + VLOOKUP("4mm Cable 3 core and Earth",'Part List'!$A:$G,5,FALSE)),VLOOKUP("2.5mm Twin and Earth",'Part List'!$A:$G,5,FALSE)))</f>
        <v>0.1</v>
      </c>
      <c r="N8" s="430">
        <f t="shared" si="2"/>
        <v>0</v>
      </c>
      <c r="O8" s="430"/>
      <c r="P8" s="438"/>
      <c r="Q8" s="439">
        <f>IFERROR(VLOOKUP(P8,_Fan!$N:$Q,2,FALSE),0)</f>
        <v>0</v>
      </c>
      <c r="R8" s="439">
        <f>IFERROR(VLOOKUP(P8,_Fan!$N:$Q,3,FALSE),0)</f>
        <v>0</v>
      </c>
      <c r="S8" s="438"/>
      <c r="T8" s="439">
        <f>IF(S8="YES", VLOOKUP(S$1,_Fan!$N:$Q,2,FALSE), 0)</f>
        <v>0</v>
      </c>
      <c r="U8" s="439">
        <f>IF(S8="YES", VLOOKUP(S$1,_Fan!$N:$Q,3,FALSE), 0)</f>
        <v>0</v>
      </c>
      <c r="V8" s="438"/>
      <c r="W8" s="439">
        <f>IF(V8="YES", VLOOKUP(V$1,_Fan!$N:$Q,2,FALSE), 0)</f>
        <v>0</v>
      </c>
      <c r="X8" s="439">
        <f>IF(V8="YES", VLOOKUP(V$1,_Fan!$N:$Q,3,FALSE), 0)</f>
        <v>0</v>
      </c>
      <c r="Y8" s="438"/>
      <c r="Z8" s="439">
        <f>IFERROR(VLOOKUP(Y8,_Fan!$N:$Q,2,FALSE),0)</f>
        <v>0</v>
      </c>
      <c r="AA8" s="439">
        <f>IFERROR(VLOOKUP(Y8,_Fan!$N:$Q,3,FALSE),0)</f>
        <v>0</v>
      </c>
      <c r="AB8" s="438"/>
      <c r="AC8" s="439">
        <f>IF(AB8="YES", VLOOKUP(AB$1,_Fan!$N:$Q,2,FALSE), 0)</f>
        <v>0</v>
      </c>
      <c r="AD8" s="439">
        <f>IF(AB8="YES", VLOOKUP(AB$1,_Fan!$N:$Q,3,FALSE), 0)</f>
        <v>0</v>
      </c>
      <c r="AE8" s="438"/>
      <c r="AF8" s="439">
        <f>IF(AE8="YES", VLOOKUP(AE$1,_Fan!$N:$Q,2,FALSE), 0)</f>
        <v>0</v>
      </c>
      <c r="AG8" s="439">
        <f>IF(AE8="YES", VLOOKUP(AE$1,_Fan!$N:$Q,3,FALSE), 0)</f>
        <v>0</v>
      </c>
      <c r="AH8" s="438"/>
      <c r="AI8" s="439">
        <f>IF(AH8="YES", VLOOKUP(AH$1,_Fan!$N:$Q,2,FALSE), 0)</f>
        <v>0</v>
      </c>
      <c r="AJ8" s="439">
        <f>IF(AH8="YES", VLOOKUP(AH$1,_Fan!$N:$Q,3,FALSE), 0)</f>
        <v>0</v>
      </c>
      <c r="AK8" s="438"/>
      <c r="AL8" s="439">
        <f>IF(AK8="YES", VLOOKUP(AK$1,_Fan!$N:$Q,2,FALSE), 0)</f>
        <v>0</v>
      </c>
      <c r="AM8" s="439">
        <f>IF(AK8="YES", VLOOKUP(AK$1,_Fan!$N:$Q,3,FALSE), 0)</f>
        <v>0</v>
      </c>
      <c r="AN8" s="438"/>
      <c r="AO8" s="439">
        <f>IF(AN8="YES", VLOOKUP(AN$1,_Fan!$N:$Q,2,FALSE), 0)</f>
        <v>0</v>
      </c>
      <c r="AP8" s="439">
        <f>IF(AN8="YES", VLOOKUP(AN$1,_Fan!$N:$Q,3,FALSE), 0)</f>
        <v>0</v>
      </c>
      <c r="AQ8" s="438"/>
      <c r="AR8" s="439">
        <f>IF(AQ8="YES", VLOOKUP(AQ$1,_Fan!$N:$Q,2,FALSE), 0)</f>
        <v>0</v>
      </c>
      <c r="AS8" s="439">
        <f>IF(AQ8="YES", VLOOKUP(AQ$1,_Fan!$N:$Q,3,FALSE), 0)</f>
        <v>0</v>
      </c>
      <c r="AT8" s="438"/>
      <c r="AU8" s="439">
        <f>IF(AT8="YES", VLOOKUP(AT$1,_Fan!$N:$Q,2,FALSE), 0)</f>
        <v>0</v>
      </c>
      <c r="AV8" s="439">
        <f>IF(AT8="YES", VLOOKUP(AT$1,_Fan!$N:$Q,3,FALSE), 0)</f>
        <v>0</v>
      </c>
      <c r="AW8" s="438"/>
      <c r="AX8" s="439">
        <f>IFERROR(VLOOKUP(AW8,_Fan!$N:$Q,2,FALSE),0)</f>
        <v>0</v>
      </c>
      <c r="AY8" s="439">
        <f>IFERROR(VLOOKUP(AW8,_Fan!$N:$Q,3,FALSE),0)</f>
        <v>0</v>
      </c>
      <c r="AZ8" s="438"/>
      <c r="BA8" s="439">
        <f>IF(AZ8="YES", VLOOKUP(AZ$1,_Fan!$N:$Q,2,FALSE), 0)</f>
        <v>0</v>
      </c>
      <c r="BB8" s="439">
        <f>IF(AZ8="YES", VLOOKUP(AZ$1,_Fan!$N:$Q,3,FALSE), 0)</f>
        <v>0</v>
      </c>
      <c r="BC8" s="430"/>
      <c r="BD8" s="430"/>
      <c r="BE8" s="430"/>
      <c r="BF8" s="430"/>
      <c r="BG8" s="430"/>
      <c r="BH8" s="430"/>
      <c r="BI8" s="430"/>
      <c r="BJ8" s="430"/>
      <c r="BK8" s="430"/>
      <c r="BL8" s="430"/>
      <c r="BM8" s="430"/>
      <c r="BN8" s="430"/>
      <c r="BO8" s="430"/>
      <c r="BP8" s="430"/>
      <c r="BQ8" s="430"/>
      <c r="BR8" s="430"/>
    </row>
    <row r="9" spans="1:70" x14ac:dyDescent="0.4">
      <c r="A9" s="429" t="str">
        <f t="shared" si="0"/>
        <v>INVALID</v>
      </c>
      <c r="B9" s="430" t="str">
        <f t="shared" si="3"/>
        <v>Fan 8</v>
      </c>
      <c r="C9" s="431">
        <f t="shared" si="4"/>
        <v>0</v>
      </c>
      <c r="D9" s="430">
        <f t="shared" si="5"/>
        <v>0</v>
      </c>
      <c r="E9" s="430"/>
      <c r="F9" s="430">
        <f t="shared" si="1"/>
        <v>0</v>
      </c>
      <c r="G9" s="430"/>
      <c r="H9" s="430"/>
      <c r="I9" s="430">
        <f t="shared" si="6"/>
        <v>0</v>
      </c>
      <c r="J9" s="430">
        <f t="shared" si="7"/>
        <v>0</v>
      </c>
      <c r="K9" s="430">
        <f>IF(AW9="VSD",(VLOOKUP("Switchboard Cable 1mm",'Part List'!$A:$G,3,FALSE)+VLOOKUP("2.5mm Twin and Earth",'Part List'!$A:$G,3,FALSE)*2),IF(AW9="KEF",(VLOOKUP("7030 2 pair TCAS7302P",'Part List'!$A:$G,3,FALSE) + VLOOKUP("4mm Cable 3 core and Earth",'Part List'!$A:$G,3,FALSE)),VLOOKUP("2.5mm Twin and Earth",'Part List'!$A:$G,3,FALSE)))</f>
        <v>0.85</v>
      </c>
      <c r="L9" s="430">
        <f t="shared" si="8"/>
        <v>0</v>
      </c>
      <c r="M9" s="430">
        <f>IF(AW9="VSD",(VLOOKUP("Switchboard Cable 1mm",'Part List'!$A:$G,5,FALSE)+VLOOKUP("2.5mm Twin and Earth",'Part List'!$A:$G,5,FALSE)*2),IF(AW9="KEF",(VLOOKUP("7030 2 pair TCAS7302P",'Part List'!$A:$G,5,FALSE) + VLOOKUP("4mm Cable 3 core and Earth",'Part List'!$A:$G,5,FALSE)),VLOOKUP("2.5mm Twin and Earth",'Part List'!$A:$G,5,FALSE)))</f>
        <v>0.1</v>
      </c>
      <c r="N9" s="430">
        <f t="shared" si="2"/>
        <v>0</v>
      </c>
      <c r="O9" s="430"/>
      <c r="P9" s="438"/>
      <c r="Q9" s="439">
        <f>IFERROR(VLOOKUP(P9,_Fan!$N:$Q,2,FALSE),0)</f>
        <v>0</v>
      </c>
      <c r="R9" s="439">
        <f>IFERROR(VLOOKUP(P9,_Fan!$N:$Q,3,FALSE),0)</f>
        <v>0</v>
      </c>
      <c r="S9" s="438"/>
      <c r="T9" s="439">
        <f>IF(S9="YES", VLOOKUP(S$1,_Fan!$N:$Q,2,FALSE), 0)</f>
        <v>0</v>
      </c>
      <c r="U9" s="439">
        <f>IF(S9="YES", VLOOKUP(S$1,_Fan!$N:$Q,3,FALSE), 0)</f>
        <v>0</v>
      </c>
      <c r="V9" s="438"/>
      <c r="W9" s="439">
        <f>IF(V9="YES", VLOOKUP(V$1,_Fan!$N:$Q,2,FALSE), 0)</f>
        <v>0</v>
      </c>
      <c r="X9" s="439">
        <f>IF(V9="YES", VLOOKUP(V$1,_Fan!$N:$Q,3,FALSE), 0)</f>
        <v>0</v>
      </c>
      <c r="Y9" s="438"/>
      <c r="Z9" s="439">
        <f>IFERROR(VLOOKUP(Y9,_Fan!$N:$Q,2,FALSE),0)</f>
        <v>0</v>
      </c>
      <c r="AA9" s="439">
        <f>IFERROR(VLOOKUP(Y9,_Fan!$N:$Q,3,FALSE),0)</f>
        <v>0</v>
      </c>
      <c r="AB9" s="438"/>
      <c r="AC9" s="439">
        <f>IF(AB9="YES", VLOOKUP(AB$1,_Fan!$N:$Q,2,FALSE), 0)</f>
        <v>0</v>
      </c>
      <c r="AD9" s="439">
        <f>IF(AB9="YES", VLOOKUP(AB$1,_Fan!$N:$Q,3,FALSE), 0)</f>
        <v>0</v>
      </c>
      <c r="AE9" s="438"/>
      <c r="AF9" s="439">
        <f>IF(AE9="YES", VLOOKUP(AE$1,_Fan!$N:$Q,2,FALSE), 0)</f>
        <v>0</v>
      </c>
      <c r="AG9" s="439">
        <f>IF(AE9="YES", VLOOKUP(AE$1,_Fan!$N:$Q,3,FALSE), 0)</f>
        <v>0</v>
      </c>
      <c r="AH9" s="438"/>
      <c r="AI9" s="439">
        <f>IF(AH9="YES", VLOOKUP(AH$1,_Fan!$N:$Q,2,FALSE), 0)</f>
        <v>0</v>
      </c>
      <c r="AJ9" s="439">
        <f>IF(AH9="YES", VLOOKUP(AH$1,_Fan!$N:$Q,3,FALSE), 0)</f>
        <v>0</v>
      </c>
      <c r="AK9" s="438"/>
      <c r="AL9" s="439">
        <f>IF(AK9="YES", VLOOKUP(AK$1,_Fan!$N:$Q,2,FALSE), 0)</f>
        <v>0</v>
      </c>
      <c r="AM9" s="439">
        <f>IF(AK9="YES", VLOOKUP(AK$1,_Fan!$N:$Q,3,FALSE), 0)</f>
        <v>0</v>
      </c>
      <c r="AN9" s="438"/>
      <c r="AO9" s="439">
        <f>IF(AN9="YES", VLOOKUP(AN$1,_Fan!$N:$Q,2,FALSE), 0)</f>
        <v>0</v>
      </c>
      <c r="AP9" s="439">
        <f>IF(AN9="YES", VLOOKUP(AN$1,_Fan!$N:$Q,3,FALSE), 0)</f>
        <v>0</v>
      </c>
      <c r="AQ9" s="438"/>
      <c r="AR9" s="439">
        <f>IF(AQ9="YES", VLOOKUP(AQ$1,_Fan!$N:$Q,2,FALSE), 0)</f>
        <v>0</v>
      </c>
      <c r="AS9" s="439">
        <f>IF(AQ9="YES", VLOOKUP(AQ$1,_Fan!$N:$Q,3,FALSE), 0)</f>
        <v>0</v>
      </c>
      <c r="AT9" s="438"/>
      <c r="AU9" s="439">
        <f>IF(AT9="YES", VLOOKUP(AT$1,_Fan!$N:$Q,2,FALSE), 0)</f>
        <v>0</v>
      </c>
      <c r="AV9" s="439">
        <f>IF(AT9="YES", VLOOKUP(AT$1,_Fan!$N:$Q,3,FALSE), 0)</f>
        <v>0</v>
      </c>
      <c r="AW9" s="438"/>
      <c r="AX9" s="439">
        <f>IFERROR(VLOOKUP(AW9,_Fan!$N:$Q,2,FALSE),0)</f>
        <v>0</v>
      </c>
      <c r="AY9" s="439">
        <f>IFERROR(VLOOKUP(AW9,_Fan!$N:$Q,3,FALSE),0)</f>
        <v>0</v>
      </c>
      <c r="AZ9" s="438"/>
      <c r="BA9" s="439">
        <f>IF(AZ9="YES", VLOOKUP(AZ$1,_Fan!$N:$Q,2,FALSE), 0)</f>
        <v>0</v>
      </c>
      <c r="BB9" s="439">
        <f>IF(AZ9="YES", VLOOKUP(AZ$1,_Fan!$N:$Q,3,FALSE), 0)</f>
        <v>0</v>
      </c>
      <c r="BC9" s="430"/>
      <c r="BD9" s="430"/>
      <c r="BE9" s="430"/>
      <c r="BF9" s="430"/>
      <c r="BG9" s="430"/>
      <c r="BH9" s="430"/>
      <c r="BI9" s="430"/>
      <c r="BJ9" s="430"/>
      <c r="BK9" s="430"/>
      <c r="BL9" s="430"/>
      <c r="BM9" s="430"/>
      <c r="BN9" s="430"/>
      <c r="BO9" s="430"/>
      <c r="BP9" s="430"/>
      <c r="BQ9" s="430"/>
      <c r="BR9" s="430"/>
    </row>
    <row r="10" spans="1:70" x14ac:dyDescent="0.4">
      <c r="A10" s="429" t="str">
        <f t="shared" si="0"/>
        <v>INVALID</v>
      </c>
      <c r="B10" s="430" t="str">
        <f t="shared" si="3"/>
        <v>Fan 9</v>
      </c>
      <c r="C10" s="431">
        <f t="shared" si="4"/>
        <v>0</v>
      </c>
      <c r="D10" s="430">
        <f t="shared" si="5"/>
        <v>0</v>
      </c>
      <c r="E10" s="430"/>
      <c r="F10" s="430">
        <f t="shared" si="1"/>
        <v>0</v>
      </c>
      <c r="G10" s="430"/>
      <c r="H10" s="430"/>
      <c r="I10" s="430">
        <f t="shared" si="6"/>
        <v>0</v>
      </c>
      <c r="J10" s="430">
        <f t="shared" si="7"/>
        <v>0</v>
      </c>
      <c r="K10" s="430">
        <f>IF(AW10="VSD",(VLOOKUP("Switchboard Cable 1mm",'Part List'!$A:$G,3,FALSE)+VLOOKUP("2.5mm Twin and Earth",'Part List'!$A:$G,3,FALSE)*2),IF(AW10="KEF",(VLOOKUP("7030 2 pair TCAS7302P",'Part List'!$A:$G,3,FALSE) + VLOOKUP("4mm Cable 3 core and Earth",'Part List'!$A:$G,3,FALSE)),VLOOKUP("2.5mm Twin and Earth",'Part List'!$A:$G,3,FALSE)))</f>
        <v>0.85</v>
      </c>
      <c r="L10" s="430">
        <f t="shared" si="8"/>
        <v>0</v>
      </c>
      <c r="M10" s="430">
        <f>IF(AW10="VSD",(VLOOKUP("Switchboard Cable 1mm",'Part List'!$A:$G,5,FALSE)+VLOOKUP("2.5mm Twin and Earth",'Part List'!$A:$G,5,FALSE)*2),IF(AW10="KEF",(VLOOKUP("7030 2 pair TCAS7302P",'Part List'!$A:$G,5,FALSE) + VLOOKUP("4mm Cable 3 core and Earth",'Part List'!$A:$G,5,FALSE)),VLOOKUP("2.5mm Twin and Earth",'Part List'!$A:$G,5,FALSE)))</f>
        <v>0.1</v>
      </c>
      <c r="N10" s="430">
        <f t="shared" si="2"/>
        <v>0</v>
      </c>
      <c r="O10" s="430"/>
      <c r="P10" s="438"/>
      <c r="Q10" s="439">
        <f>IFERROR(VLOOKUP(P10,_Fan!$N:$Q,2,FALSE),0)</f>
        <v>0</v>
      </c>
      <c r="R10" s="439">
        <f>IFERROR(VLOOKUP(P10,_Fan!$N:$Q,3,FALSE),0)</f>
        <v>0</v>
      </c>
      <c r="S10" s="438"/>
      <c r="T10" s="439">
        <f>IF(S10="YES", VLOOKUP(S$1,_Fan!$N:$Q,2,FALSE), 0)</f>
        <v>0</v>
      </c>
      <c r="U10" s="439">
        <f>IF(S10="YES", VLOOKUP(S$1,_Fan!$N:$Q,3,FALSE), 0)</f>
        <v>0</v>
      </c>
      <c r="V10" s="438"/>
      <c r="W10" s="439">
        <f>IF(V10="YES", VLOOKUP(V$1,_Fan!$N:$Q,2,FALSE), 0)</f>
        <v>0</v>
      </c>
      <c r="X10" s="439">
        <f>IF(V10="YES", VLOOKUP(V$1,_Fan!$N:$Q,3,FALSE), 0)</f>
        <v>0</v>
      </c>
      <c r="Y10" s="438"/>
      <c r="Z10" s="439">
        <f>IFERROR(VLOOKUP(Y10,_Fan!$N:$Q,2,FALSE),0)</f>
        <v>0</v>
      </c>
      <c r="AA10" s="439">
        <f>IFERROR(VLOOKUP(Y10,_Fan!$N:$Q,3,FALSE),0)</f>
        <v>0</v>
      </c>
      <c r="AB10" s="438"/>
      <c r="AC10" s="439">
        <f>IF(AB10="YES", VLOOKUP(AB$1,_Fan!$N:$Q,2,FALSE), 0)</f>
        <v>0</v>
      </c>
      <c r="AD10" s="439">
        <f>IF(AB10="YES", VLOOKUP(AB$1,_Fan!$N:$Q,3,FALSE), 0)</f>
        <v>0</v>
      </c>
      <c r="AE10" s="438"/>
      <c r="AF10" s="439">
        <f>IF(AE10="YES", VLOOKUP(AE$1,_Fan!$N:$Q,2,FALSE), 0)</f>
        <v>0</v>
      </c>
      <c r="AG10" s="439">
        <f>IF(AE10="YES", VLOOKUP(AE$1,_Fan!$N:$Q,3,FALSE), 0)</f>
        <v>0</v>
      </c>
      <c r="AH10" s="438"/>
      <c r="AI10" s="439">
        <f>IF(AH10="YES", VLOOKUP(AH$1,_Fan!$N:$Q,2,FALSE), 0)</f>
        <v>0</v>
      </c>
      <c r="AJ10" s="439">
        <f>IF(AH10="YES", VLOOKUP(AH$1,_Fan!$N:$Q,3,FALSE), 0)</f>
        <v>0</v>
      </c>
      <c r="AK10" s="438"/>
      <c r="AL10" s="439">
        <f>IF(AK10="YES", VLOOKUP(AK$1,_Fan!$N:$Q,2,FALSE), 0)</f>
        <v>0</v>
      </c>
      <c r="AM10" s="439">
        <f>IF(AK10="YES", VLOOKUP(AK$1,_Fan!$N:$Q,3,FALSE), 0)</f>
        <v>0</v>
      </c>
      <c r="AN10" s="438"/>
      <c r="AO10" s="439">
        <f>IF(AN10="YES", VLOOKUP(AN$1,_Fan!$N:$Q,2,FALSE), 0)</f>
        <v>0</v>
      </c>
      <c r="AP10" s="439">
        <f>IF(AN10="YES", VLOOKUP(AN$1,_Fan!$N:$Q,3,FALSE), 0)</f>
        <v>0</v>
      </c>
      <c r="AQ10" s="438"/>
      <c r="AR10" s="439">
        <f>IF(AQ10="YES", VLOOKUP(AQ$1,_Fan!$N:$Q,2,FALSE), 0)</f>
        <v>0</v>
      </c>
      <c r="AS10" s="439">
        <f>IF(AQ10="YES", VLOOKUP(AQ$1,_Fan!$N:$Q,3,FALSE), 0)</f>
        <v>0</v>
      </c>
      <c r="AT10" s="438"/>
      <c r="AU10" s="439">
        <f>IF(AT10="YES", VLOOKUP(AT$1,_Fan!$N:$Q,2,FALSE), 0)</f>
        <v>0</v>
      </c>
      <c r="AV10" s="439">
        <f>IF(AT10="YES", VLOOKUP(AT$1,_Fan!$N:$Q,3,FALSE), 0)</f>
        <v>0</v>
      </c>
      <c r="AW10" s="438"/>
      <c r="AX10" s="439">
        <f>IFERROR(VLOOKUP(AW10,_Fan!$N:$Q,2,FALSE),0)</f>
        <v>0</v>
      </c>
      <c r="AY10" s="439">
        <f>IFERROR(VLOOKUP(AW10,_Fan!$N:$Q,3,FALSE),0)</f>
        <v>0</v>
      </c>
      <c r="AZ10" s="438"/>
      <c r="BA10" s="439">
        <f>IF(AZ10="YES", VLOOKUP(AZ$1,_Fan!$N:$Q,2,FALSE), 0)</f>
        <v>0</v>
      </c>
      <c r="BB10" s="439">
        <f>IF(AZ10="YES", VLOOKUP(AZ$1,_Fan!$N:$Q,3,FALSE), 0)</f>
        <v>0</v>
      </c>
      <c r="BC10" s="430"/>
      <c r="BD10" s="430"/>
      <c r="BE10" s="430"/>
      <c r="BF10" s="430"/>
      <c r="BG10" s="430"/>
      <c r="BH10" s="430"/>
      <c r="BI10" s="430"/>
      <c r="BJ10" s="430"/>
      <c r="BK10" s="430"/>
      <c r="BL10" s="430"/>
      <c r="BM10" s="430"/>
      <c r="BN10" s="430"/>
      <c r="BO10" s="430"/>
      <c r="BP10" s="430"/>
      <c r="BQ10" s="430"/>
      <c r="BR10" s="430"/>
    </row>
    <row r="11" spans="1:70" x14ac:dyDescent="0.4">
      <c r="A11" s="429" t="str">
        <f t="shared" si="0"/>
        <v>INVALID</v>
      </c>
      <c r="B11" s="430" t="str">
        <f t="shared" si="3"/>
        <v>Fan 10</v>
      </c>
      <c r="C11" s="431">
        <f t="shared" si="4"/>
        <v>0</v>
      </c>
      <c r="D11" s="430">
        <f t="shared" si="5"/>
        <v>0</v>
      </c>
      <c r="E11" s="430"/>
      <c r="F11" s="430">
        <f t="shared" si="1"/>
        <v>0</v>
      </c>
      <c r="G11" s="430"/>
      <c r="H11" s="430"/>
      <c r="I11" s="430">
        <f t="shared" si="6"/>
        <v>0</v>
      </c>
      <c r="J11" s="430">
        <f t="shared" si="7"/>
        <v>0</v>
      </c>
      <c r="K11" s="430">
        <f>IF(AW11="VSD",(VLOOKUP("Switchboard Cable 1mm",'Part List'!$A:$G,3,FALSE)+VLOOKUP("2.5mm Twin and Earth",'Part List'!$A:$G,3,FALSE)*2),IF(AW11="KEF",(VLOOKUP("7030 2 pair TCAS7302P",'Part List'!$A:$G,3,FALSE) + VLOOKUP("4mm Cable 3 core and Earth",'Part List'!$A:$G,3,FALSE)),VLOOKUP("2.5mm Twin and Earth",'Part List'!$A:$G,3,FALSE)))</f>
        <v>0.85</v>
      </c>
      <c r="L11" s="430">
        <f t="shared" si="8"/>
        <v>0</v>
      </c>
      <c r="M11" s="430">
        <f>IF(AW11="VSD",(VLOOKUP("Switchboard Cable 1mm",'Part List'!$A:$G,5,FALSE)+VLOOKUP("2.5mm Twin and Earth",'Part List'!$A:$G,5,FALSE)*2),IF(AW11="KEF",(VLOOKUP("7030 2 pair TCAS7302P",'Part List'!$A:$G,5,FALSE) + VLOOKUP("4mm Cable 3 core and Earth",'Part List'!$A:$G,5,FALSE)),VLOOKUP("2.5mm Twin and Earth",'Part List'!$A:$G,5,FALSE)))</f>
        <v>0.1</v>
      </c>
      <c r="N11" s="430">
        <f t="shared" si="2"/>
        <v>0</v>
      </c>
      <c r="O11" s="430"/>
      <c r="P11" s="438"/>
      <c r="Q11" s="439">
        <f>IFERROR(VLOOKUP(P11,_Fan!$N:$Q,2,FALSE),0)</f>
        <v>0</v>
      </c>
      <c r="R11" s="439">
        <f>IFERROR(VLOOKUP(P11,_Fan!$N:$Q,3,FALSE),0)</f>
        <v>0</v>
      </c>
      <c r="S11" s="438"/>
      <c r="T11" s="439">
        <f>IF(S11="YES", VLOOKUP(S$1,_Fan!$N:$Q,2,FALSE), 0)</f>
        <v>0</v>
      </c>
      <c r="U11" s="439">
        <f>IF(S11="YES", VLOOKUP(S$1,_Fan!$N:$Q,3,FALSE), 0)</f>
        <v>0</v>
      </c>
      <c r="V11" s="438"/>
      <c r="W11" s="439">
        <f>IF(V11="YES", VLOOKUP(V$1,_Fan!$N:$Q,2,FALSE), 0)</f>
        <v>0</v>
      </c>
      <c r="X11" s="439">
        <f>IF(V11="YES", VLOOKUP(V$1,_Fan!$N:$Q,3,FALSE), 0)</f>
        <v>0</v>
      </c>
      <c r="Y11" s="438"/>
      <c r="Z11" s="439">
        <f>IFERROR(VLOOKUP(Y11,_Fan!$N:$Q,2,FALSE),0)</f>
        <v>0</v>
      </c>
      <c r="AA11" s="439">
        <f>IFERROR(VLOOKUP(Y11,_Fan!$N:$Q,3,FALSE),0)</f>
        <v>0</v>
      </c>
      <c r="AB11" s="438"/>
      <c r="AC11" s="439">
        <f>IF(AB11="YES", VLOOKUP(AB$1,_Fan!$N:$Q,2,FALSE), 0)</f>
        <v>0</v>
      </c>
      <c r="AD11" s="439">
        <f>IF(AB11="YES", VLOOKUP(AB$1,_Fan!$N:$Q,3,FALSE), 0)</f>
        <v>0</v>
      </c>
      <c r="AE11" s="438"/>
      <c r="AF11" s="439">
        <f>IF(AE11="YES", VLOOKUP(AE$1,_Fan!$N:$Q,2,FALSE), 0)</f>
        <v>0</v>
      </c>
      <c r="AG11" s="439">
        <f>IF(AE11="YES", VLOOKUP(AE$1,_Fan!$N:$Q,3,FALSE), 0)</f>
        <v>0</v>
      </c>
      <c r="AH11" s="438"/>
      <c r="AI11" s="439">
        <f>IF(AH11="YES", VLOOKUP(AH$1,_Fan!$N:$Q,2,FALSE), 0)</f>
        <v>0</v>
      </c>
      <c r="AJ11" s="439">
        <f>IF(AH11="YES", VLOOKUP(AH$1,_Fan!$N:$Q,3,FALSE), 0)</f>
        <v>0</v>
      </c>
      <c r="AK11" s="438"/>
      <c r="AL11" s="439">
        <f>IF(AK11="YES", VLOOKUP(AK$1,_Fan!$N:$Q,2,FALSE), 0)</f>
        <v>0</v>
      </c>
      <c r="AM11" s="439">
        <f>IF(AK11="YES", VLOOKUP(AK$1,_Fan!$N:$Q,3,FALSE), 0)</f>
        <v>0</v>
      </c>
      <c r="AN11" s="438"/>
      <c r="AO11" s="439">
        <f>IF(AN11="YES", VLOOKUP(AN$1,_Fan!$N:$Q,2,FALSE), 0)</f>
        <v>0</v>
      </c>
      <c r="AP11" s="439">
        <f>IF(AN11="YES", VLOOKUP(AN$1,_Fan!$N:$Q,3,FALSE), 0)</f>
        <v>0</v>
      </c>
      <c r="AQ11" s="438"/>
      <c r="AR11" s="439">
        <f>IF(AQ11="YES", VLOOKUP(AQ$1,_Fan!$N:$Q,2,FALSE), 0)</f>
        <v>0</v>
      </c>
      <c r="AS11" s="439">
        <f>IF(AQ11="YES", VLOOKUP(AQ$1,_Fan!$N:$Q,3,FALSE), 0)</f>
        <v>0</v>
      </c>
      <c r="AT11" s="438"/>
      <c r="AU11" s="439">
        <f>IF(AT11="YES", VLOOKUP(AT$1,_Fan!$N:$Q,2,FALSE), 0)</f>
        <v>0</v>
      </c>
      <c r="AV11" s="439">
        <f>IF(AT11="YES", VLOOKUP(AT$1,_Fan!$N:$Q,3,FALSE), 0)</f>
        <v>0</v>
      </c>
      <c r="AW11" s="438"/>
      <c r="AX11" s="439">
        <f>IFERROR(VLOOKUP(AW11,_Fan!$N:$Q,2,FALSE),0)</f>
        <v>0</v>
      </c>
      <c r="AY11" s="439">
        <f>IFERROR(VLOOKUP(AW11,_Fan!$N:$Q,3,FALSE),0)</f>
        <v>0</v>
      </c>
      <c r="AZ11" s="438"/>
      <c r="BA11" s="439">
        <f>IF(AZ11="YES", VLOOKUP(AZ$1,_Fan!$N:$Q,2,FALSE), 0)</f>
        <v>0</v>
      </c>
      <c r="BB11" s="439">
        <f>IF(AZ11="YES", VLOOKUP(AZ$1,_Fan!$N:$Q,3,FALSE), 0)</f>
        <v>0</v>
      </c>
      <c r="BC11" s="430"/>
      <c r="BD11" s="430"/>
      <c r="BE11" s="430"/>
      <c r="BF11" s="430"/>
      <c r="BG11" s="430"/>
      <c r="BH11" s="430"/>
      <c r="BI11" s="430"/>
      <c r="BJ11" s="430"/>
      <c r="BK11" s="430"/>
      <c r="BL11" s="430"/>
      <c r="BM11" s="430"/>
      <c r="BN11" s="430"/>
      <c r="BO11" s="430"/>
      <c r="BP11" s="430"/>
      <c r="BQ11" s="430"/>
      <c r="BR11" s="430"/>
    </row>
    <row r="12" spans="1:70" x14ac:dyDescent="0.4">
      <c r="A12" s="429" t="str">
        <f t="shared" si="0"/>
        <v>INVALID</v>
      </c>
      <c r="B12" s="430" t="str">
        <f t="shared" si="3"/>
        <v>Fan 11</v>
      </c>
      <c r="C12" s="431">
        <f t="shared" si="4"/>
        <v>0</v>
      </c>
      <c r="D12" s="430">
        <f t="shared" si="5"/>
        <v>0</v>
      </c>
      <c r="E12" s="430"/>
      <c r="F12" s="430">
        <f t="shared" si="1"/>
        <v>0</v>
      </c>
      <c r="G12" s="430"/>
      <c r="H12" s="430"/>
      <c r="I12" s="430">
        <f t="shared" si="6"/>
        <v>0</v>
      </c>
      <c r="J12" s="430">
        <f t="shared" si="7"/>
        <v>0</v>
      </c>
      <c r="K12" s="430">
        <f>IF(AW12="VSD",(VLOOKUP("Switchboard Cable 1mm",'Part List'!$A:$G,3,FALSE)+VLOOKUP("2.5mm Twin and Earth",'Part List'!$A:$G,3,FALSE)*2),IF(AW12="KEF",(VLOOKUP("7030 2 pair TCAS7302P",'Part List'!$A:$G,3,FALSE) + VLOOKUP("4mm Cable 3 core and Earth",'Part List'!$A:$G,3,FALSE)),VLOOKUP("2.5mm Twin and Earth",'Part List'!$A:$G,3,FALSE)))</f>
        <v>0.85</v>
      </c>
      <c r="L12" s="430">
        <f t="shared" si="8"/>
        <v>0</v>
      </c>
      <c r="M12" s="430">
        <f>IF(AW12="VSD",(VLOOKUP("Switchboard Cable 1mm",'Part List'!$A:$G,5,FALSE)+VLOOKUP("2.5mm Twin and Earth",'Part List'!$A:$G,5,FALSE)*2),IF(AW12="KEF",(VLOOKUP("7030 2 pair TCAS7302P",'Part List'!$A:$G,5,FALSE) + VLOOKUP("4mm Cable 3 core and Earth",'Part List'!$A:$G,5,FALSE)),VLOOKUP("2.5mm Twin and Earth",'Part List'!$A:$G,5,FALSE)))</f>
        <v>0.1</v>
      </c>
      <c r="N12" s="430">
        <f t="shared" si="2"/>
        <v>0</v>
      </c>
      <c r="O12" s="430"/>
      <c r="P12" s="438"/>
      <c r="Q12" s="439">
        <f>IFERROR(VLOOKUP(P12,_Fan!$N:$Q,2,FALSE),0)</f>
        <v>0</v>
      </c>
      <c r="R12" s="439">
        <f>IFERROR(VLOOKUP(P12,_Fan!$N:$Q,3,FALSE),0)</f>
        <v>0</v>
      </c>
      <c r="S12" s="438"/>
      <c r="T12" s="439">
        <f>IF(S12="YES", VLOOKUP(S$1,_Fan!$N:$Q,2,FALSE), 0)</f>
        <v>0</v>
      </c>
      <c r="U12" s="439">
        <f>IF(S12="YES", VLOOKUP(S$1,_Fan!$N:$Q,3,FALSE), 0)</f>
        <v>0</v>
      </c>
      <c r="V12" s="438"/>
      <c r="W12" s="439">
        <f>IF(V12="YES", VLOOKUP(V$1,_Fan!$N:$Q,2,FALSE), 0)</f>
        <v>0</v>
      </c>
      <c r="X12" s="439">
        <f>IF(V12="YES", VLOOKUP(V$1,_Fan!$N:$Q,3,FALSE), 0)</f>
        <v>0</v>
      </c>
      <c r="Y12" s="438"/>
      <c r="Z12" s="439">
        <f>IFERROR(VLOOKUP(Y12,_Fan!$N:$Q,2,FALSE),0)</f>
        <v>0</v>
      </c>
      <c r="AA12" s="439">
        <f>IFERROR(VLOOKUP(Y12,_Fan!$N:$Q,3,FALSE),0)</f>
        <v>0</v>
      </c>
      <c r="AB12" s="438"/>
      <c r="AC12" s="439">
        <f>IF(AB12="YES", VLOOKUP(AB$1,_Fan!$N:$Q,2,FALSE), 0)</f>
        <v>0</v>
      </c>
      <c r="AD12" s="439">
        <f>IF(AB12="YES", VLOOKUP(AB$1,_Fan!$N:$Q,3,FALSE), 0)</f>
        <v>0</v>
      </c>
      <c r="AE12" s="438"/>
      <c r="AF12" s="439">
        <f>IF(AE12="YES", VLOOKUP(AE$1,_Fan!$N:$Q,2,FALSE), 0)</f>
        <v>0</v>
      </c>
      <c r="AG12" s="439">
        <f>IF(AE12="YES", VLOOKUP(AE$1,_Fan!$N:$Q,3,FALSE), 0)</f>
        <v>0</v>
      </c>
      <c r="AH12" s="438"/>
      <c r="AI12" s="439">
        <f>IF(AH12="YES", VLOOKUP(AH$1,_Fan!$N:$Q,2,FALSE), 0)</f>
        <v>0</v>
      </c>
      <c r="AJ12" s="439">
        <f>IF(AH12="YES", VLOOKUP(AH$1,_Fan!$N:$Q,3,FALSE), 0)</f>
        <v>0</v>
      </c>
      <c r="AK12" s="438"/>
      <c r="AL12" s="439">
        <f>IF(AK12="YES", VLOOKUP(AK$1,_Fan!$N:$Q,2,FALSE), 0)</f>
        <v>0</v>
      </c>
      <c r="AM12" s="439">
        <f>IF(AK12="YES", VLOOKUP(AK$1,_Fan!$N:$Q,3,FALSE), 0)</f>
        <v>0</v>
      </c>
      <c r="AN12" s="438"/>
      <c r="AO12" s="439">
        <f>IF(AN12="YES", VLOOKUP(AN$1,_Fan!$N:$Q,2,FALSE), 0)</f>
        <v>0</v>
      </c>
      <c r="AP12" s="439">
        <f>IF(AN12="YES", VLOOKUP(AN$1,_Fan!$N:$Q,3,FALSE), 0)</f>
        <v>0</v>
      </c>
      <c r="AQ12" s="438"/>
      <c r="AR12" s="439">
        <f>IF(AQ12="YES", VLOOKUP(AQ$1,_Fan!$N:$Q,2,FALSE), 0)</f>
        <v>0</v>
      </c>
      <c r="AS12" s="439">
        <f>IF(AQ12="YES", VLOOKUP(AQ$1,_Fan!$N:$Q,3,FALSE), 0)</f>
        <v>0</v>
      </c>
      <c r="AT12" s="438"/>
      <c r="AU12" s="439">
        <f>IF(AT12="YES", VLOOKUP(AT$1,_Fan!$N:$Q,2,FALSE), 0)</f>
        <v>0</v>
      </c>
      <c r="AV12" s="439">
        <f>IF(AT12="YES", VLOOKUP(AT$1,_Fan!$N:$Q,3,FALSE), 0)</f>
        <v>0</v>
      </c>
      <c r="AW12" s="438"/>
      <c r="AX12" s="439">
        <f>IFERROR(VLOOKUP(AW12,_Fan!$N:$Q,2,FALSE),0)</f>
        <v>0</v>
      </c>
      <c r="AY12" s="439">
        <f>IFERROR(VLOOKUP(AW12,_Fan!$N:$Q,3,FALSE),0)</f>
        <v>0</v>
      </c>
      <c r="AZ12" s="438"/>
      <c r="BA12" s="439">
        <f>IF(AZ12="YES", VLOOKUP(AZ$1,_Fan!$N:$Q,2,FALSE), 0)</f>
        <v>0</v>
      </c>
      <c r="BB12" s="439">
        <f>IF(AZ12="YES", VLOOKUP(AZ$1,_Fan!$N:$Q,3,FALSE), 0)</f>
        <v>0</v>
      </c>
      <c r="BC12" s="430"/>
      <c r="BD12" s="430"/>
      <c r="BE12" s="430"/>
      <c r="BF12" s="430"/>
      <c r="BG12" s="430"/>
      <c r="BH12" s="430"/>
      <c r="BI12" s="430"/>
      <c r="BJ12" s="430"/>
      <c r="BK12" s="430"/>
      <c r="BL12" s="430"/>
      <c r="BM12" s="430"/>
      <c r="BN12" s="430"/>
      <c r="BO12" s="430"/>
      <c r="BP12" s="430"/>
      <c r="BQ12" s="430"/>
      <c r="BR12" s="430"/>
    </row>
    <row r="13" spans="1:70" x14ac:dyDescent="0.4">
      <c r="A13" s="429" t="str">
        <f t="shared" si="0"/>
        <v>INVALID</v>
      </c>
      <c r="B13" s="430" t="str">
        <f t="shared" si="3"/>
        <v>Fan 12</v>
      </c>
      <c r="C13" s="431">
        <f t="shared" si="4"/>
        <v>0</v>
      </c>
      <c r="D13" s="430">
        <f t="shared" si="5"/>
        <v>0</v>
      </c>
      <c r="E13" s="430"/>
      <c r="F13" s="430">
        <f t="shared" si="1"/>
        <v>0</v>
      </c>
      <c r="G13" s="430"/>
      <c r="H13" s="430"/>
      <c r="I13" s="430">
        <f t="shared" si="6"/>
        <v>0</v>
      </c>
      <c r="J13" s="430">
        <f t="shared" si="7"/>
        <v>0</v>
      </c>
      <c r="K13" s="430">
        <f>IF(AW13="VSD",(VLOOKUP("Switchboard Cable 1mm",'Part List'!$A:$G,3,FALSE)+VLOOKUP("2.5mm Twin and Earth",'Part List'!$A:$G,3,FALSE)*2),IF(AW13="KEF",(VLOOKUP("7030 2 pair TCAS7302P",'Part List'!$A:$G,3,FALSE) + VLOOKUP("4mm Cable 3 core and Earth",'Part List'!$A:$G,3,FALSE)),VLOOKUP("2.5mm Twin and Earth",'Part List'!$A:$G,3,FALSE)))</f>
        <v>0.85</v>
      </c>
      <c r="L13" s="430">
        <f t="shared" si="8"/>
        <v>0</v>
      </c>
      <c r="M13" s="430">
        <f>IF(AW13="VSD",(VLOOKUP("Switchboard Cable 1mm",'Part List'!$A:$G,5,FALSE)+VLOOKUP("2.5mm Twin and Earth",'Part List'!$A:$G,5,FALSE)*2),IF(AW13="KEF",(VLOOKUP("7030 2 pair TCAS7302P",'Part List'!$A:$G,5,FALSE) + VLOOKUP("4mm Cable 3 core and Earth",'Part List'!$A:$G,5,FALSE)),VLOOKUP("2.5mm Twin and Earth",'Part List'!$A:$G,5,FALSE)))</f>
        <v>0.1</v>
      </c>
      <c r="N13" s="430">
        <f t="shared" si="2"/>
        <v>0</v>
      </c>
      <c r="O13" s="430"/>
      <c r="P13" s="438"/>
      <c r="Q13" s="439">
        <f>IFERROR(VLOOKUP(P13,_Fan!$N:$Q,2,FALSE),0)</f>
        <v>0</v>
      </c>
      <c r="R13" s="439">
        <f>IFERROR(VLOOKUP(P13,_Fan!$N:$Q,3,FALSE),0)</f>
        <v>0</v>
      </c>
      <c r="S13" s="438"/>
      <c r="T13" s="439">
        <f>IF(S13="YES", VLOOKUP(S$1,_Fan!$N:$Q,2,FALSE), 0)</f>
        <v>0</v>
      </c>
      <c r="U13" s="439">
        <f>IF(S13="YES", VLOOKUP(S$1,_Fan!$N:$Q,3,FALSE), 0)</f>
        <v>0</v>
      </c>
      <c r="V13" s="438"/>
      <c r="W13" s="439">
        <f>IF(V13="YES", VLOOKUP(V$1,_Fan!$N:$Q,2,FALSE), 0)</f>
        <v>0</v>
      </c>
      <c r="X13" s="439">
        <f>IF(V13="YES", VLOOKUP(V$1,_Fan!$N:$Q,3,FALSE), 0)</f>
        <v>0</v>
      </c>
      <c r="Y13" s="438"/>
      <c r="Z13" s="439">
        <f>IFERROR(VLOOKUP(Y13,_Fan!$N:$Q,2,FALSE),0)</f>
        <v>0</v>
      </c>
      <c r="AA13" s="439">
        <f>IFERROR(VLOOKUP(Y13,_Fan!$N:$Q,3,FALSE),0)</f>
        <v>0</v>
      </c>
      <c r="AB13" s="438"/>
      <c r="AC13" s="439">
        <f>IF(AB13="YES", VLOOKUP(AB$1,_Fan!$N:$Q,2,FALSE), 0)</f>
        <v>0</v>
      </c>
      <c r="AD13" s="439">
        <f>IF(AB13="YES", VLOOKUP(AB$1,_Fan!$N:$Q,3,FALSE), 0)</f>
        <v>0</v>
      </c>
      <c r="AE13" s="438"/>
      <c r="AF13" s="439">
        <f>IF(AE13="YES", VLOOKUP(AE$1,_Fan!$N:$Q,2,FALSE), 0)</f>
        <v>0</v>
      </c>
      <c r="AG13" s="439">
        <f>IF(AE13="YES", VLOOKUP(AE$1,_Fan!$N:$Q,3,FALSE), 0)</f>
        <v>0</v>
      </c>
      <c r="AH13" s="438"/>
      <c r="AI13" s="439">
        <f>IF(AH13="YES", VLOOKUP(AH$1,_Fan!$N:$Q,2,FALSE), 0)</f>
        <v>0</v>
      </c>
      <c r="AJ13" s="439">
        <f>IF(AH13="YES", VLOOKUP(AH$1,_Fan!$N:$Q,3,FALSE), 0)</f>
        <v>0</v>
      </c>
      <c r="AK13" s="438"/>
      <c r="AL13" s="439">
        <f>IF(AK13="YES", VLOOKUP(AK$1,_Fan!$N:$Q,2,FALSE), 0)</f>
        <v>0</v>
      </c>
      <c r="AM13" s="439">
        <f>IF(AK13="YES", VLOOKUP(AK$1,_Fan!$N:$Q,3,FALSE), 0)</f>
        <v>0</v>
      </c>
      <c r="AN13" s="438"/>
      <c r="AO13" s="439">
        <f>IF(AN13="YES", VLOOKUP(AN$1,_Fan!$N:$Q,2,FALSE), 0)</f>
        <v>0</v>
      </c>
      <c r="AP13" s="439">
        <f>IF(AN13="YES", VLOOKUP(AN$1,_Fan!$N:$Q,3,FALSE), 0)</f>
        <v>0</v>
      </c>
      <c r="AQ13" s="438"/>
      <c r="AR13" s="439">
        <f>IF(AQ13="YES", VLOOKUP(AQ$1,_Fan!$N:$Q,2,FALSE), 0)</f>
        <v>0</v>
      </c>
      <c r="AS13" s="439">
        <f>IF(AQ13="YES", VLOOKUP(AQ$1,_Fan!$N:$Q,3,FALSE), 0)</f>
        <v>0</v>
      </c>
      <c r="AT13" s="438"/>
      <c r="AU13" s="439">
        <f>IF(AT13="YES", VLOOKUP(AT$1,_Fan!$N:$Q,2,FALSE), 0)</f>
        <v>0</v>
      </c>
      <c r="AV13" s="439">
        <f>IF(AT13="YES", VLOOKUP(AT$1,_Fan!$N:$Q,3,FALSE), 0)</f>
        <v>0</v>
      </c>
      <c r="AW13" s="438"/>
      <c r="AX13" s="439">
        <f>IFERROR(VLOOKUP(AW13,_Fan!$N:$Q,2,FALSE),0)</f>
        <v>0</v>
      </c>
      <c r="AY13" s="439">
        <f>IFERROR(VLOOKUP(AW13,_Fan!$N:$Q,3,FALSE),0)</f>
        <v>0</v>
      </c>
      <c r="AZ13" s="438"/>
      <c r="BA13" s="439">
        <f>IF(AZ13="YES", VLOOKUP(AZ$1,_Fan!$N:$Q,2,FALSE), 0)</f>
        <v>0</v>
      </c>
      <c r="BB13" s="439">
        <f>IF(AZ13="YES", VLOOKUP(AZ$1,_Fan!$N:$Q,3,FALSE), 0)</f>
        <v>0</v>
      </c>
      <c r="BC13" s="430"/>
      <c r="BD13" s="430"/>
      <c r="BE13" s="430"/>
      <c r="BF13" s="430"/>
      <c r="BG13" s="430"/>
      <c r="BH13" s="430"/>
      <c r="BI13" s="430"/>
      <c r="BJ13" s="430"/>
      <c r="BK13" s="430"/>
      <c r="BL13" s="430"/>
      <c r="BM13" s="430"/>
      <c r="BN13" s="430"/>
      <c r="BO13" s="430"/>
      <c r="BP13" s="430"/>
      <c r="BQ13" s="430"/>
      <c r="BR13" s="430"/>
    </row>
    <row r="14" spans="1:70" x14ac:dyDescent="0.4">
      <c r="A14" s="429" t="str">
        <f t="shared" si="0"/>
        <v>INVALID</v>
      </c>
      <c r="B14" s="430" t="str">
        <f t="shared" si="3"/>
        <v>Fan 13</v>
      </c>
      <c r="C14" s="431">
        <f t="shared" si="4"/>
        <v>0</v>
      </c>
      <c r="D14" s="430">
        <f t="shared" si="5"/>
        <v>0</v>
      </c>
      <c r="E14" s="430"/>
      <c r="F14" s="430">
        <f t="shared" si="1"/>
        <v>0</v>
      </c>
      <c r="G14" s="430"/>
      <c r="H14" s="430"/>
      <c r="I14" s="430">
        <f t="shared" si="6"/>
        <v>0</v>
      </c>
      <c r="J14" s="430">
        <f t="shared" si="7"/>
        <v>0</v>
      </c>
      <c r="K14" s="430">
        <f>IF(AW14="VSD",(VLOOKUP("Switchboard Cable 1mm",'Part List'!$A:$G,3,FALSE)+VLOOKUP("2.5mm Twin and Earth",'Part List'!$A:$G,3,FALSE)*2),IF(AW14="KEF",(VLOOKUP("7030 2 pair TCAS7302P",'Part List'!$A:$G,3,FALSE) + VLOOKUP("4mm Cable 3 core and Earth",'Part List'!$A:$G,3,FALSE)),VLOOKUP("2.5mm Twin and Earth",'Part List'!$A:$G,3,FALSE)))</f>
        <v>0.85</v>
      </c>
      <c r="L14" s="430">
        <f t="shared" si="8"/>
        <v>0</v>
      </c>
      <c r="M14" s="430">
        <f>IF(AW14="VSD",(VLOOKUP("Switchboard Cable 1mm",'Part List'!$A:$G,5,FALSE)+VLOOKUP("2.5mm Twin and Earth",'Part List'!$A:$G,5,FALSE)*2),IF(AW14="KEF",(VLOOKUP("7030 2 pair TCAS7302P",'Part List'!$A:$G,5,FALSE) + VLOOKUP("4mm Cable 3 core and Earth",'Part List'!$A:$G,5,FALSE)),VLOOKUP("2.5mm Twin and Earth",'Part List'!$A:$G,5,FALSE)))</f>
        <v>0.1</v>
      </c>
      <c r="N14" s="430">
        <f t="shared" si="2"/>
        <v>0</v>
      </c>
      <c r="O14" s="430"/>
      <c r="P14" s="438"/>
      <c r="Q14" s="439">
        <f>IFERROR(VLOOKUP(P14,_Fan!$N:$Q,2,FALSE),0)</f>
        <v>0</v>
      </c>
      <c r="R14" s="439">
        <f>IFERROR(VLOOKUP(P14,_Fan!$N:$Q,3,FALSE),0)</f>
        <v>0</v>
      </c>
      <c r="S14" s="438"/>
      <c r="T14" s="439">
        <f>IF(S14="YES", VLOOKUP(S$1,_Fan!$N:$Q,2,FALSE), 0)</f>
        <v>0</v>
      </c>
      <c r="U14" s="439">
        <f>IF(S14="YES", VLOOKUP(S$1,_Fan!$N:$Q,3,FALSE), 0)</f>
        <v>0</v>
      </c>
      <c r="V14" s="438"/>
      <c r="W14" s="439">
        <f>IF(V14="YES", VLOOKUP(V$1,_Fan!$N:$Q,2,FALSE), 0)</f>
        <v>0</v>
      </c>
      <c r="X14" s="439">
        <f>IF(V14="YES", VLOOKUP(V$1,_Fan!$N:$Q,3,FALSE), 0)</f>
        <v>0</v>
      </c>
      <c r="Y14" s="438"/>
      <c r="Z14" s="439">
        <f>IFERROR(VLOOKUP(Y14,_Fan!$N:$Q,2,FALSE),0)</f>
        <v>0</v>
      </c>
      <c r="AA14" s="439">
        <f>IFERROR(VLOOKUP(Y14,_Fan!$N:$Q,3,FALSE),0)</f>
        <v>0</v>
      </c>
      <c r="AB14" s="438"/>
      <c r="AC14" s="439">
        <f>IF(AB14="YES", VLOOKUP(AB$1,_Fan!$N:$Q,2,FALSE), 0)</f>
        <v>0</v>
      </c>
      <c r="AD14" s="439">
        <f>IF(AB14="YES", VLOOKUP(AB$1,_Fan!$N:$Q,3,FALSE), 0)</f>
        <v>0</v>
      </c>
      <c r="AE14" s="438"/>
      <c r="AF14" s="439">
        <f>IF(AE14="YES", VLOOKUP(AE$1,_Fan!$N:$Q,2,FALSE), 0)</f>
        <v>0</v>
      </c>
      <c r="AG14" s="439">
        <f>IF(AE14="YES", VLOOKUP(AE$1,_Fan!$N:$Q,3,FALSE), 0)</f>
        <v>0</v>
      </c>
      <c r="AH14" s="438"/>
      <c r="AI14" s="439">
        <f>IF(AH14="YES", VLOOKUP(AH$1,_Fan!$N:$Q,2,FALSE), 0)</f>
        <v>0</v>
      </c>
      <c r="AJ14" s="439">
        <f>IF(AH14="YES", VLOOKUP(AH$1,_Fan!$N:$Q,3,FALSE), 0)</f>
        <v>0</v>
      </c>
      <c r="AK14" s="438"/>
      <c r="AL14" s="439">
        <f>IF(AK14="YES", VLOOKUP(AK$1,_Fan!$N:$Q,2,FALSE), 0)</f>
        <v>0</v>
      </c>
      <c r="AM14" s="439">
        <f>IF(AK14="YES", VLOOKUP(AK$1,_Fan!$N:$Q,3,FALSE), 0)</f>
        <v>0</v>
      </c>
      <c r="AN14" s="438"/>
      <c r="AO14" s="439">
        <f>IF(AN14="YES", VLOOKUP(AN$1,_Fan!$N:$Q,2,FALSE), 0)</f>
        <v>0</v>
      </c>
      <c r="AP14" s="439">
        <f>IF(AN14="YES", VLOOKUP(AN$1,_Fan!$N:$Q,3,FALSE), 0)</f>
        <v>0</v>
      </c>
      <c r="AQ14" s="438"/>
      <c r="AR14" s="439">
        <f>IF(AQ14="YES", VLOOKUP(AQ$1,_Fan!$N:$Q,2,FALSE), 0)</f>
        <v>0</v>
      </c>
      <c r="AS14" s="439">
        <f>IF(AQ14="YES", VLOOKUP(AQ$1,_Fan!$N:$Q,3,FALSE), 0)</f>
        <v>0</v>
      </c>
      <c r="AT14" s="438"/>
      <c r="AU14" s="439">
        <f>IF(AT14="YES", VLOOKUP(AT$1,_Fan!$N:$Q,2,FALSE), 0)</f>
        <v>0</v>
      </c>
      <c r="AV14" s="439">
        <f>IF(AT14="YES", VLOOKUP(AT$1,_Fan!$N:$Q,3,FALSE), 0)</f>
        <v>0</v>
      </c>
      <c r="AW14" s="438"/>
      <c r="AX14" s="439">
        <f>IFERROR(VLOOKUP(AW14,_Fan!$N:$Q,2,FALSE),0)</f>
        <v>0</v>
      </c>
      <c r="AY14" s="439">
        <f>IFERROR(VLOOKUP(AW14,_Fan!$N:$Q,3,FALSE),0)</f>
        <v>0</v>
      </c>
      <c r="AZ14" s="438"/>
      <c r="BA14" s="439">
        <f>IF(AZ14="YES", VLOOKUP(AZ$1,_Fan!$N:$Q,2,FALSE), 0)</f>
        <v>0</v>
      </c>
      <c r="BB14" s="439">
        <f>IF(AZ14="YES", VLOOKUP(AZ$1,_Fan!$N:$Q,3,FALSE), 0)</f>
        <v>0</v>
      </c>
      <c r="BC14" s="430"/>
      <c r="BD14" s="430"/>
      <c r="BE14" s="430"/>
      <c r="BF14" s="430"/>
      <c r="BG14" s="430"/>
      <c r="BH14" s="430"/>
      <c r="BI14" s="430"/>
      <c r="BJ14" s="430"/>
      <c r="BK14" s="430"/>
      <c r="BL14" s="430"/>
      <c r="BM14" s="430"/>
      <c r="BN14" s="430"/>
      <c r="BO14" s="430"/>
      <c r="BP14" s="430"/>
      <c r="BQ14" s="430"/>
      <c r="BR14" s="430"/>
    </row>
    <row r="15" spans="1:70" x14ac:dyDescent="0.4">
      <c r="A15" s="429" t="str">
        <f t="shared" si="0"/>
        <v>INVALID</v>
      </c>
      <c r="B15" s="430" t="str">
        <f t="shared" si="3"/>
        <v>Fan 14</v>
      </c>
      <c r="C15" s="431">
        <f t="shared" si="4"/>
        <v>0</v>
      </c>
      <c r="D15" s="430">
        <f t="shared" si="5"/>
        <v>0</v>
      </c>
      <c r="E15" s="430"/>
      <c r="F15" s="430">
        <f t="shared" si="1"/>
        <v>0</v>
      </c>
      <c r="G15" s="430"/>
      <c r="H15" s="430"/>
      <c r="I15" s="430">
        <f t="shared" si="6"/>
        <v>0</v>
      </c>
      <c r="J15" s="430">
        <f t="shared" si="7"/>
        <v>0</v>
      </c>
      <c r="K15" s="430">
        <f>IF(AW15="VSD",(VLOOKUP("Switchboard Cable 1mm",'Part List'!$A:$G,3,FALSE)+VLOOKUP("2.5mm Twin and Earth",'Part List'!$A:$G,3,FALSE)*2),IF(AW15="KEF",(VLOOKUP("7030 2 pair TCAS7302P",'Part List'!$A:$G,3,FALSE) + VLOOKUP("4mm Cable 3 core and Earth",'Part List'!$A:$G,3,FALSE)),VLOOKUP("2.5mm Twin and Earth",'Part List'!$A:$G,3,FALSE)))</f>
        <v>0.85</v>
      </c>
      <c r="L15" s="430">
        <f t="shared" si="8"/>
        <v>0</v>
      </c>
      <c r="M15" s="430">
        <f>IF(AW15="VSD",(VLOOKUP("Switchboard Cable 1mm",'Part List'!$A:$G,5,FALSE)+VLOOKUP("2.5mm Twin and Earth",'Part List'!$A:$G,5,FALSE)*2),IF(AW15="KEF",(VLOOKUP("7030 2 pair TCAS7302P",'Part List'!$A:$G,5,FALSE) + VLOOKUP("4mm Cable 3 core and Earth",'Part List'!$A:$G,5,FALSE)),VLOOKUP("2.5mm Twin and Earth",'Part List'!$A:$G,5,FALSE)))</f>
        <v>0.1</v>
      </c>
      <c r="N15" s="430">
        <f t="shared" si="2"/>
        <v>0</v>
      </c>
      <c r="O15" s="430"/>
      <c r="P15" s="438"/>
      <c r="Q15" s="439">
        <f>IFERROR(VLOOKUP(P15,_Fan!$N:$Q,2,FALSE),0)</f>
        <v>0</v>
      </c>
      <c r="R15" s="439">
        <f>IFERROR(VLOOKUP(P15,_Fan!$N:$Q,3,FALSE),0)</f>
        <v>0</v>
      </c>
      <c r="S15" s="438"/>
      <c r="T15" s="439">
        <f>IF(S15="YES", VLOOKUP(S$1,_Fan!$N:$Q,2,FALSE), 0)</f>
        <v>0</v>
      </c>
      <c r="U15" s="439">
        <f>IF(S15="YES", VLOOKUP(S$1,_Fan!$N:$Q,3,FALSE), 0)</f>
        <v>0</v>
      </c>
      <c r="V15" s="438"/>
      <c r="W15" s="439">
        <f>IF(V15="YES", VLOOKUP(V$1,_Fan!$N:$Q,2,FALSE), 0)</f>
        <v>0</v>
      </c>
      <c r="X15" s="439">
        <f>IF(V15="YES", VLOOKUP(V$1,_Fan!$N:$Q,3,FALSE), 0)</f>
        <v>0</v>
      </c>
      <c r="Y15" s="438"/>
      <c r="Z15" s="439">
        <f>IFERROR(VLOOKUP(Y15,_Fan!$N:$Q,2,FALSE),0)</f>
        <v>0</v>
      </c>
      <c r="AA15" s="439">
        <f>IFERROR(VLOOKUP(Y15,_Fan!$N:$Q,3,FALSE),0)</f>
        <v>0</v>
      </c>
      <c r="AB15" s="438"/>
      <c r="AC15" s="439">
        <f>IF(AB15="YES", VLOOKUP(AB$1,_Fan!$N:$Q,2,FALSE), 0)</f>
        <v>0</v>
      </c>
      <c r="AD15" s="439">
        <f>IF(AB15="YES", VLOOKUP(AB$1,_Fan!$N:$Q,3,FALSE), 0)</f>
        <v>0</v>
      </c>
      <c r="AE15" s="438"/>
      <c r="AF15" s="439">
        <f>IF(AE15="YES", VLOOKUP(AE$1,_Fan!$N:$Q,2,FALSE), 0)</f>
        <v>0</v>
      </c>
      <c r="AG15" s="439">
        <f>IF(AE15="YES", VLOOKUP(AE$1,_Fan!$N:$Q,3,FALSE), 0)</f>
        <v>0</v>
      </c>
      <c r="AH15" s="438"/>
      <c r="AI15" s="439">
        <f>IF(AH15="YES", VLOOKUP(AH$1,_Fan!$N:$Q,2,FALSE), 0)</f>
        <v>0</v>
      </c>
      <c r="AJ15" s="439">
        <f>IF(AH15="YES", VLOOKUP(AH$1,_Fan!$N:$Q,3,FALSE), 0)</f>
        <v>0</v>
      </c>
      <c r="AK15" s="438"/>
      <c r="AL15" s="439">
        <f>IF(AK15="YES", VLOOKUP(AK$1,_Fan!$N:$Q,2,FALSE), 0)</f>
        <v>0</v>
      </c>
      <c r="AM15" s="439">
        <f>IF(AK15="YES", VLOOKUP(AK$1,_Fan!$N:$Q,3,FALSE), 0)</f>
        <v>0</v>
      </c>
      <c r="AN15" s="438"/>
      <c r="AO15" s="439">
        <f>IF(AN15="YES", VLOOKUP(AN$1,_Fan!$N:$Q,2,FALSE), 0)</f>
        <v>0</v>
      </c>
      <c r="AP15" s="439">
        <f>IF(AN15="YES", VLOOKUP(AN$1,_Fan!$N:$Q,3,FALSE), 0)</f>
        <v>0</v>
      </c>
      <c r="AQ15" s="438"/>
      <c r="AR15" s="439">
        <f>IF(AQ15="YES", VLOOKUP(AQ$1,_Fan!$N:$Q,2,FALSE), 0)</f>
        <v>0</v>
      </c>
      <c r="AS15" s="439">
        <f>IF(AQ15="YES", VLOOKUP(AQ$1,_Fan!$N:$Q,3,FALSE), 0)</f>
        <v>0</v>
      </c>
      <c r="AT15" s="438"/>
      <c r="AU15" s="439">
        <f>IF(AT15="YES", VLOOKUP(AT$1,_Fan!$N:$Q,2,FALSE), 0)</f>
        <v>0</v>
      </c>
      <c r="AV15" s="439">
        <f>IF(AT15="YES", VLOOKUP(AT$1,_Fan!$N:$Q,3,FALSE), 0)</f>
        <v>0</v>
      </c>
      <c r="AW15" s="438"/>
      <c r="AX15" s="439">
        <f>IFERROR(VLOOKUP(AW15,_Fan!$N:$Q,2,FALSE),0)</f>
        <v>0</v>
      </c>
      <c r="AY15" s="439">
        <f>IFERROR(VLOOKUP(AW15,_Fan!$N:$Q,3,FALSE),0)</f>
        <v>0</v>
      </c>
      <c r="AZ15" s="438"/>
      <c r="BA15" s="439">
        <f>IF(AZ15="YES", VLOOKUP(AZ$1,_Fan!$N:$Q,2,FALSE), 0)</f>
        <v>0</v>
      </c>
      <c r="BB15" s="439">
        <f>IF(AZ15="YES", VLOOKUP(AZ$1,_Fan!$N:$Q,3,FALSE), 0)</f>
        <v>0</v>
      </c>
      <c r="BC15" s="430"/>
      <c r="BD15" s="430"/>
      <c r="BE15" s="430"/>
      <c r="BF15" s="430"/>
      <c r="BG15" s="430"/>
      <c r="BH15" s="430"/>
      <c r="BI15" s="430"/>
      <c r="BJ15" s="430"/>
      <c r="BK15" s="430"/>
      <c r="BL15" s="430"/>
      <c r="BM15" s="430"/>
      <c r="BN15" s="430"/>
      <c r="BO15" s="430"/>
      <c r="BP15" s="430"/>
      <c r="BQ15" s="430"/>
      <c r="BR15" s="430"/>
    </row>
    <row r="16" spans="1:70" x14ac:dyDescent="0.4">
      <c r="A16" s="429" t="str">
        <f t="shared" si="0"/>
        <v>INVALID</v>
      </c>
      <c r="B16" s="430" t="str">
        <f t="shared" si="3"/>
        <v>Fan 15</v>
      </c>
      <c r="C16" s="431">
        <f t="shared" si="4"/>
        <v>0</v>
      </c>
      <c r="D16" s="430">
        <f t="shared" si="5"/>
        <v>0</v>
      </c>
      <c r="E16" s="430"/>
      <c r="F16" s="430">
        <f t="shared" si="1"/>
        <v>0</v>
      </c>
      <c r="G16" s="430"/>
      <c r="H16" s="430"/>
      <c r="I16" s="430">
        <f t="shared" si="6"/>
        <v>0</v>
      </c>
      <c r="J16" s="430">
        <f t="shared" si="7"/>
        <v>0</v>
      </c>
      <c r="K16" s="430">
        <f>IF(AW16="VSD",(VLOOKUP("Switchboard Cable 1mm",'Part List'!$A:$G,3,FALSE)+VLOOKUP("2.5mm Twin and Earth",'Part List'!$A:$G,3,FALSE)*2),IF(AW16="KEF",(VLOOKUP("7030 2 pair TCAS7302P",'Part List'!$A:$G,3,FALSE) + VLOOKUP("4mm Cable 3 core and Earth",'Part List'!$A:$G,3,FALSE)),VLOOKUP("2.5mm Twin and Earth",'Part List'!$A:$G,3,FALSE)))</f>
        <v>0.85</v>
      </c>
      <c r="L16" s="430">
        <f t="shared" si="8"/>
        <v>0</v>
      </c>
      <c r="M16" s="430">
        <f>IF(AW16="VSD",(VLOOKUP("Switchboard Cable 1mm",'Part List'!$A:$G,5,FALSE)+VLOOKUP("2.5mm Twin and Earth",'Part List'!$A:$G,5,FALSE)*2),IF(AW16="KEF",(VLOOKUP("7030 2 pair TCAS7302P",'Part List'!$A:$G,5,FALSE) + VLOOKUP("4mm Cable 3 core and Earth",'Part List'!$A:$G,5,FALSE)),VLOOKUP("2.5mm Twin and Earth",'Part List'!$A:$G,5,FALSE)))</f>
        <v>0.1</v>
      </c>
      <c r="N16" s="430">
        <f t="shared" si="2"/>
        <v>0</v>
      </c>
      <c r="O16" s="430"/>
      <c r="P16" s="438"/>
      <c r="Q16" s="439">
        <f>IFERROR(VLOOKUP(P16,_Fan!$N:$Q,2,FALSE),0)</f>
        <v>0</v>
      </c>
      <c r="R16" s="439">
        <f>IFERROR(VLOOKUP(P16,_Fan!$N:$Q,3,FALSE),0)</f>
        <v>0</v>
      </c>
      <c r="S16" s="438"/>
      <c r="T16" s="439">
        <f>IF(S16="YES", VLOOKUP(S$1,_Fan!$N:$Q,2,FALSE), 0)</f>
        <v>0</v>
      </c>
      <c r="U16" s="439">
        <f>IF(S16="YES", VLOOKUP(S$1,_Fan!$N:$Q,3,FALSE), 0)</f>
        <v>0</v>
      </c>
      <c r="V16" s="438"/>
      <c r="W16" s="439">
        <f>IF(V16="YES", VLOOKUP(V$1,_Fan!$N:$Q,2,FALSE), 0)</f>
        <v>0</v>
      </c>
      <c r="X16" s="439">
        <f>IF(V16="YES", VLOOKUP(V$1,_Fan!$N:$Q,3,FALSE), 0)</f>
        <v>0</v>
      </c>
      <c r="Y16" s="438"/>
      <c r="Z16" s="439">
        <f>IFERROR(VLOOKUP(Y16,_Fan!$N:$Q,2,FALSE),0)</f>
        <v>0</v>
      </c>
      <c r="AA16" s="439">
        <f>IFERROR(VLOOKUP(Y16,_Fan!$N:$Q,3,FALSE),0)</f>
        <v>0</v>
      </c>
      <c r="AB16" s="438"/>
      <c r="AC16" s="439">
        <f>IF(AB16="YES", VLOOKUP(AB$1,_Fan!$N:$Q,2,FALSE), 0)</f>
        <v>0</v>
      </c>
      <c r="AD16" s="439">
        <f>IF(AB16="YES", VLOOKUP(AB$1,_Fan!$N:$Q,3,FALSE), 0)</f>
        <v>0</v>
      </c>
      <c r="AE16" s="438"/>
      <c r="AF16" s="439">
        <f>IF(AE16="YES", VLOOKUP(AE$1,_Fan!$N:$Q,2,FALSE), 0)</f>
        <v>0</v>
      </c>
      <c r="AG16" s="439">
        <f>IF(AE16="YES", VLOOKUP(AE$1,_Fan!$N:$Q,3,FALSE), 0)</f>
        <v>0</v>
      </c>
      <c r="AH16" s="438"/>
      <c r="AI16" s="439">
        <f>IF(AH16="YES", VLOOKUP(AH$1,_Fan!$N:$Q,2,FALSE), 0)</f>
        <v>0</v>
      </c>
      <c r="AJ16" s="439">
        <f>IF(AH16="YES", VLOOKUP(AH$1,_Fan!$N:$Q,3,FALSE), 0)</f>
        <v>0</v>
      </c>
      <c r="AK16" s="438"/>
      <c r="AL16" s="439">
        <f>IF(AK16="YES", VLOOKUP(AK$1,_Fan!$N:$Q,2,FALSE), 0)</f>
        <v>0</v>
      </c>
      <c r="AM16" s="439">
        <f>IF(AK16="YES", VLOOKUP(AK$1,_Fan!$N:$Q,3,FALSE), 0)</f>
        <v>0</v>
      </c>
      <c r="AN16" s="438"/>
      <c r="AO16" s="439">
        <f>IF(AN16="YES", VLOOKUP(AN$1,_Fan!$N:$Q,2,FALSE), 0)</f>
        <v>0</v>
      </c>
      <c r="AP16" s="439">
        <f>IF(AN16="YES", VLOOKUP(AN$1,_Fan!$N:$Q,3,FALSE), 0)</f>
        <v>0</v>
      </c>
      <c r="AQ16" s="438"/>
      <c r="AR16" s="439">
        <f>IF(AQ16="YES", VLOOKUP(AQ$1,_Fan!$N:$Q,2,FALSE), 0)</f>
        <v>0</v>
      </c>
      <c r="AS16" s="439">
        <f>IF(AQ16="YES", VLOOKUP(AQ$1,_Fan!$N:$Q,3,FALSE), 0)</f>
        <v>0</v>
      </c>
      <c r="AT16" s="438"/>
      <c r="AU16" s="439">
        <f>IF(AT16="YES", VLOOKUP(AT$1,_Fan!$N:$Q,2,FALSE), 0)</f>
        <v>0</v>
      </c>
      <c r="AV16" s="439">
        <f>IF(AT16="YES", VLOOKUP(AT$1,_Fan!$N:$Q,3,FALSE), 0)</f>
        <v>0</v>
      </c>
      <c r="AW16" s="438"/>
      <c r="AX16" s="439">
        <f>IFERROR(VLOOKUP(AW16,_Fan!$N:$Q,2,FALSE),0)</f>
        <v>0</v>
      </c>
      <c r="AY16" s="439">
        <f>IFERROR(VLOOKUP(AW16,_Fan!$N:$Q,3,FALSE),0)</f>
        <v>0</v>
      </c>
      <c r="AZ16" s="438"/>
      <c r="BA16" s="439">
        <f>IF(AZ16="YES", VLOOKUP(AZ$1,_Fan!$N:$Q,2,FALSE), 0)</f>
        <v>0</v>
      </c>
      <c r="BB16" s="439">
        <f>IF(AZ16="YES", VLOOKUP(AZ$1,_Fan!$N:$Q,3,FALSE), 0)</f>
        <v>0</v>
      </c>
      <c r="BC16" s="430"/>
      <c r="BD16" s="430"/>
      <c r="BE16" s="430"/>
      <c r="BF16" s="430"/>
      <c r="BG16" s="430"/>
      <c r="BH16" s="430"/>
      <c r="BI16" s="430"/>
      <c r="BJ16" s="430"/>
      <c r="BK16" s="430"/>
      <c r="BL16" s="430"/>
      <c r="BM16" s="430"/>
      <c r="BN16" s="430"/>
      <c r="BO16" s="430"/>
      <c r="BP16" s="430"/>
      <c r="BQ16" s="430"/>
      <c r="BR16" s="430"/>
    </row>
    <row r="17" spans="1:70" x14ac:dyDescent="0.4">
      <c r="A17" s="429" t="str">
        <f t="shared" si="0"/>
        <v>INVALID</v>
      </c>
      <c r="B17" s="430" t="str">
        <f t="shared" si="3"/>
        <v>Fan 16</v>
      </c>
      <c r="C17" s="431">
        <f t="shared" si="4"/>
        <v>0</v>
      </c>
      <c r="D17" s="430">
        <f t="shared" si="5"/>
        <v>0</v>
      </c>
      <c r="E17" s="430"/>
      <c r="F17" s="430">
        <f t="shared" si="1"/>
        <v>0</v>
      </c>
      <c r="G17" s="430"/>
      <c r="H17" s="430"/>
      <c r="I17" s="430">
        <f t="shared" si="6"/>
        <v>0</v>
      </c>
      <c r="J17" s="430">
        <f t="shared" si="7"/>
        <v>0</v>
      </c>
      <c r="K17" s="430">
        <f>IF(AW17="VSD",(VLOOKUP("Switchboard Cable 1mm",'Part List'!$A:$G,3,FALSE)+VLOOKUP("2.5mm Twin and Earth",'Part List'!$A:$G,3,FALSE)*2),IF(AW17="KEF",(VLOOKUP("7030 2 pair TCAS7302P",'Part List'!$A:$G,3,FALSE) + VLOOKUP("4mm Cable 3 core and Earth",'Part List'!$A:$G,3,FALSE)),VLOOKUP("2.5mm Twin and Earth",'Part List'!$A:$G,3,FALSE)))</f>
        <v>0.85</v>
      </c>
      <c r="L17" s="430">
        <f t="shared" si="8"/>
        <v>0</v>
      </c>
      <c r="M17" s="430">
        <f>IF(AW17="VSD",(VLOOKUP("Switchboard Cable 1mm",'Part List'!$A:$G,5,FALSE)+VLOOKUP("2.5mm Twin and Earth",'Part List'!$A:$G,5,FALSE)*2),IF(AW17="KEF",(VLOOKUP("7030 2 pair TCAS7302P",'Part List'!$A:$G,5,FALSE) + VLOOKUP("4mm Cable 3 core and Earth",'Part List'!$A:$G,5,FALSE)),VLOOKUP("2.5mm Twin and Earth",'Part List'!$A:$G,5,FALSE)))</f>
        <v>0.1</v>
      </c>
      <c r="N17" s="430">
        <f t="shared" si="2"/>
        <v>0</v>
      </c>
      <c r="O17" s="430"/>
      <c r="P17" s="438"/>
      <c r="Q17" s="439">
        <f>IFERROR(VLOOKUP(P17,_Fan!$N:$Q,2,FALSE),0)</f>
        <v>0</v>
      </c>
      <c r="R17" s="439">
        <f>IFERROR(VLOOKUP(P17,_Fan!$N:$Q,3,FALSE),0)</f>
        <v>0</v>
      </c>
      <c r="S17" s="438"/>
      <c r="T17" s="439">
        <f>IF(S17="YES", VLOOKUP(S$1,_Fan!$N:$Q,2,FALSE), 0)</f>
        <v>0</v>
      </c>
      <c r="U17" s="439">
        <f>IF(S17="YES", VLOOKUP(S$1,_Fan!$N:$Q,3,FALSE), 0)</f>
        <v>0</v>
      </c>
      <c r="V17" s="438"/>
      <c r="W17" s="439">
        <f>IF(V17="YES", VLOOKUP(V$1,_Fan!$N:$Q,2,FALSE), 0)</f>
        <v>0</v>
      </c>
      <c r="X17" s="439">
        <f>IF(V17="YES", VLOOKUP(V$1,_Fan!$N:$Q,3,FALSE), 0)</f>
        <v>0</v>
      </c>
      <c r="Y17" s="438"/>
      <c r="Z17" s="439">
        <f>IFERROR(VLOOKUP(Y17,_Fan!$N:$Q,2,FALSE),0)</f>
        <v>0</v>
      </c>
      <c r="AA17" s="439">
        <f>IFERROR(VLOOKUP(Y17,_Fan!$N:$Q,3,FALSE),0)</f>
        <v>0</v>
      </c>
      <c r="AB17" s="438"/>
      <c r="AC17" s="439">
        <f>IF(AB17="YES", VLOOKUP(AB$1,_Fan!$N:$Q,2,FALSE), 0)</f>
        <v>0</v>
      </c>
      <c r="AD17" s="439">
        <f>IF(AB17="YES", VLOOKUP(AB$1,_Fan!$N:$Q,3,FALSE), 0)</f>
        <v>0</v>
      </c>
      <c r="AE17" s="438"/>
      <c r="AF17" s="439">
        <f>IF(AE17="YES", VLOOKUP(AE$1,_Fan!$N:$Q,2,FALSE), 0)</f>
        <v>0</v>
      </c>
      <c r="AG17" s="439">
        <f>IF(AE17="YES", VLOOKUP(AE$1,_Fan!$N:$Q,3,FALSE), 0)</f>
        <v>0</v>
      </c>
      <c r="AH17" s="438"/>
      <c r="AI17" s="439">
        <f>IF(AH17="YES", VLOOKUP(AH$1,_Fan!$N:$Q,2,FALSE), 0)</f>
        <v>0</v>
      </c>
      <c r="AJ17" s="439">
        <f>IF(AH17="YES", VLOOKUP(AH$1,_Fan!$N:$Q,3,FALSE), 0)</f>
        <v>0</v>
      </c>
      <c r="AK17" s="438"/>
      <c r="AL17" s="439">
        <f>IF(AK17="YES", VLOOKUP(AK$1,_Fan!$N:$Q,2,FALSE), 0)</f>
        <v>0</v>
      </c>
      <c r="AM17" s="439">
        <f>IF(AK17="YES", VLOOKUP(AK$1,_Fan!$N:$Q,3,FALSE), 0)</f>
        <v>0</v>
      </c>
      <c r="AN17" s="438"/>
      <c r="AO17" s="439">
        <f>IF(AN17="YES", VLOOKUP(AN$1,_Fan!$N:$Q,2,FALSE), 0)</f>
        <v>0</v>
      </c>
      <c r="AP17" s="439">
        <f>IF(AN17="YES", VLOOKUP(AN$1,_Fan!$N:$Q,3,FALSE), 0)</f>
        <v>0</v>
      </c>
      <c r="AQ17" s="438"/>
      <c r="AR17" s="439">
        <f>IF(AQ17="YES", VLOOKUP(AQ$1,_Fan!$N:$Q,2,FALSE), 0)</f>
        <v>0</v>
      </c>
      <c r="AS17" s="439">
        <f>IF(AQ17="YES", VLOOKUP(AQ$1,_Fan!$N:$Q,3,FALSE), 0)</f>
        <v>0</v>
      </c>
      <c r="AT17" s="438"/>
      <c r="AU17" s="439">
        <f>IF(AT17="YES", VLOOKUP(AT$1,_Fan!$N:$Q,2,FALSE), 0)</f>
        <v>0</v>
      </c>
      <c r="AV17" s="439">
        <f>IF(AT17="YES", VLOOKUP(AT$1,_Fan!$N:$Q,3,FALSE), 0)</f>
        <v>0</v>
      </c>
      <c r="AW17" s="438"/>
      <c r="AX17" s="439">
        <f>IFERROR(VLOOKUP(AW17,_Fan!$N:$Q,2,FALSE),0)</f>
        <v>0</v>
      </c>
      <c r="AY17" s="439">
        <f>IFERROR(VLOOKUP(AW17,_Fan!$N:$Q,3,FALSE),0)</f>
        <v>0</v>
      </c>
      <c r="AZ17" s="438"/>
      <c r="BA17" s="439">
        <f>IF(AZ17="YES", VLOOKUP(AZ$1,_Fan!$N:$Q,2,FALSE), 0)</f>
        <v>0</v>
      </c>
      <c r="BB17" s="439">
        <f>IF(AZ17="YES", VLOOKUP(AZ$1,_Fan!$N:$Q,3,FALSE), 0)</f>
        <v>0</v>
      </c>
      <c r="BC17" s="430"/>
      <c r="BD17" s="430"/>
      <c r="BE17" s="430"/>
      <c r="BF17" s="430"/>
      <c r="BG17" s="430"/>
      <c r="BH17" s="430"/>
      <c r="BI17" s="430"/>
      <c r="BJ17" s="430"/>
      <c r="BK17" s="430"/>
      <c r="BL17" s="430"/>
      <c r="BM17" s="430"/>
      <c r="BN17" s="430"/>
      <c r="BO17" s="430"/>
      <c r="BP17" s="430"/>
      <c r="BQ17" s="430"/>
      <c r="BR17" s="430"/>
    </row>
    <row r="18" spans="1:70" x14ac:dyDescent="0.4">
      <c r="A18" s="429" t="str">
        <f t="shared" si="0"/>
        <v>INVALID</v>
      </c>
      <c r="B18" s="430" t="str">
        <f t="shared" si="3"/>
        <v>Fan 17</v>
      </c>
      <c r="C18" s="431">
        <f t="shared" si="4"/>
        <v>0</v>
      </c>
      <c r="D18" s="430">
        <f t="shared" si="5"/>
        <v>0</v>
      </c>
      <c r="E18" s="430"/>
      <c r="F18" s="430">
        <f t="shared" si="1"/>
        <v>0</v>
      </c>
      <c r="G18" s="430"/>
      <c r="H18" s="430"/>
      <c r="I18" s="430">
        <f t="shared" si="6"/>
        <v>0</v>
      </c>
      <c r="J18" s="430">
        <f t="shared" si="7"/>
        <v>0</v>
      </c>
      <c r="K18" s="430">
        <f>IF(AW18="VSD",(VLOOKUP("Switchboard Cable 1mm",'Part List'!$A:$G,3,FALSE)+VLOOKUP("2.5mm Twin and Earth",'Part List'!$A:$G,3,FALSE)*2),IF(AW18="KEF",(VLOOKUP("7030 2 pair TCAS7302P",'Part List'!$A:$G,3,FALSE) + VLOOKUP("4mm Cable 3 core and Earth",'Part List'!$A:$G,3,FALSE)),VLOOKUP("2.5mm Twin and Earth",'Part List'!$A:$G,3,FALSE)))</f>
        <v>0.85</v>
      </c>
      <c r="L18" s="430">
        <f t="shared" si="8"/>
        <v>0</v>
      </c>
      <c r="M18" s="430">
        <f>IF(AW18="VSD",(VLOOKUP("Switchboard Cable 1mm",'Part List'!$A:$G,5,FALSE)+VLOOKUP("2.5mm Twin and Earth",'Part List'!$A:$G,5,FALSE)*2),IF(AW18="KEF",(VLOOKUP("7030 2 pair TCAS7302P",'Part List'!$A:$G,5,FALSE) + VLOOKUP("4mm Cable 3 core and Earth",'Part List'!$A:$G,5,FALSE)),VLOOKUP("2.5mm Twin and Earth",'Part List'!$A:$G,5,FALSE)))</f>
        <v>0.1</v>
      </c>
      <c r="N18" s="430">
        <f t="shared" si="2"/>
        <v>0</v>
      </c>
      <c r="O18" s="430"/>
      <c r="P18" s="438"/>
      <c r="Q18" s="439">
        <f>IFERROR(VLOOKUP(P18,_Fan!$N:$Q,2,FALSE),0)</f>
        <v>0</v>
      </c>
      <c r="R18" s="439">
        <f>IFERROR(VLOOKUP(P18,_Fan!$N:$Q,3,FALSE),0)</f>
        <v>0</v>
      </c>
      <c r="S18" s="438"/>
      <c r="T18" s="439">
        <f>IF(S18="YES", VLOOKUP(S$1,_Fan!$N:$Q,2,FALSE), 0)</f>
        <v>0</v>
      </c>
      <c r="U18" s="439">
        <f>IF(S18="YES", VLOOKUP(S$1,_Fan!$N:$Q,3,FALSE), 0)</f>
        <v>0</v>
      </c>
      <c r="V18" s="438"/>
      <c r="W18" s="439">
        <f>IF(V18="YES", VLOOKUP(V$1,_Fan!$N:$Q,2,FALSE), 0)</f>
        <v>0</v>
      </c>
      <c r="X18" s="439">
        <f>IF(V18="YES", VLOOKUP(V$1,_Fan!$N:$Q,3,FALSE), 0)</f>
        <v>0</v>
      </c>
      <c r="Y18" s="438"/>
      <c r="Z18" s="439">
        <f>IFERROR(VLOOKUP(Y18,_Fan!$N:$Q,2,FALSE),0)</f>
        <v>0</v>
      </c>
      <c r="AA18" s="439">
        <f>IFERROR(VLOOKUP(Y18,_Fan!$N:$Q,3,FALSE),0)</f>
        <v>0</v>
      </c>
      <c r="AB18" s="438"/>
      <c r="AC18" s="439">
        <f>IF(AB18="YES", VLOOKUP(AB$1,_Fan!$N:$Q,2,FALSE), 0)</f>
        <v>0</v>
      </c>
      <c r="AD18" s="439">
        <f>IF(AB18="YES", VLOOKUP(AB$1,_Fan!$N:$Q,3,FALSE), 0)</f>
        <v>0</v>
      </c>
      <c r="AE18" s="438"/>
      <c r="AF18" s="439">
        <f>IF(AE18="YES", VLOOKUP(AE$1,_Fan!$N:$Q,2,FALSE), 0)</f>
        <v>0</v>
      </c>
      <c r="AG18" s="439">
        <f>IF(AE18="YES", VLOOKUP(AE$1,_Fan!$N:$Q,3,FALSE), 0)</f>
        <v>0</v>
      </c>
      <c r="AH18" s="438"/>
      <c r="AI18" s="439">
        <f>IF(AH18="YES", VLOOKUP(AH$1,_Fan!$N:$Q,2,FALSE), 0)</f>
        <v>0</v>
      </c>
      <c r="AJ18" s="439">
        <f>IF(AH18="YES", VLOOKUP(AH$1,_Fan!$N:$Q,3,FALSE), 0)</f>
        <v>0</v>
      </c>
      <c r="AK18" s="438"/>
      <c r="AL18" s="439">
        <f>IF(AK18="YES", VLOOKUP(AK$1,_Fan!$N:$Q,2,FALSE), 0)</f>
        <v>0</v>
      </c>
      <c r="AM18" s="439">
        <f>IF(AK18="YES", VLOOKUP(AK$1,_Fan!$N:$Q,3,FALSE), 0)</f>
        <v>0</v>
      </c>
      <c r="AN18" s="438"/>
      <c r="AO18" s="439">
        <f>IF(AN18="YES", VLOOKUP(AN$1,_Fan!$N:$Q,2,FALSE), 0)</f>
        <v>0</v>
      </c>
      <c r="AP18" s="439">
        <f>IF(AN18="YES", VLOOKUP(AN$1,_Fan!$N:$Q,3,FALSE), 0)</f>
        <v>0</v>
      </c>
      <c r="AQ18" s="438"/>
      <c r="AR18" s="439">
        <f>IF(AQ18="YES", VLOOKUP(AQ$1,_Fan!$N:$Q,2,FALSE), 0)</f>
        <v>0</v>
      </c>
      <c r="AS18" s="439">
        <f>IF(AQ18="YES", VLOOKUP(AQ$1,_Fan!$N:$Q,3,FALSE), 0)</f>
        <v>0</v>
      </c>
      <c r="AT18" s="438"/>
      <c r="AU18" s="439">
        <f>IF(AT18="YES", VLOOKUP(AT$1,_Fan!$N:$Q,2,FALSE), 0)</f>
        <v>0</v>
      </c>
      <c r="AV18" s="439">
        <f>IF(AT18="YES", VLOOKUP(AT$1,_Fan!$N:$Q,3,FALSE), 0)</f>
        <v>0</v>
      </c>
      <c r="AW18" s="438"/>
      <c r="AX18" s="439">
        <f>IFERROR(VLOOKUP(AW18,_Fan!$N:$Q,2,FALSE),0)</f>
        <v>0</v>
      </c>
      <c r="AY18" s="439">
        <f>IFERROR(VLOOKUP(AW18,_Fan!$N:$Q,3,FALSE),0)</f>
        <v>0</v>
      </c>
      <c r="AZ18" s="438"/>
      <c r="BA18" s="439">
        <f>IF(AZ18="YES", VLOOKUP(AZ$1,_Fan!$N:$Q,2,FALSE), 0)</f>
        <v>0</v>
      </c>
      <c r="BB18" s="439">
        <f>IF(AZ18="YES", VLOOKUP(AZ$1,_Fan!$N:$Q,3,FALSE), 0)</f>
        <v>0</v>
      </c>
      <c r="BC18" s="430"/>
      <c r="BD18" s="430"/>
      <c r="BE18" s="430"/>
      <c r="BF18" s="430"/>
      <c r="BG18" s="430"/>
      <c r="BH18" s="430"/>
      <c r="BI18" s="430"/>
      <c r="BJ18" s="430"/>
      <c r="BK18" s="430"/>
      <c r="BL18" s="430"/>
      <c r="BM18" s="430"/>
      <c r="BN18" s="430"/>
      <c r="BO18" s="430"/>
      <c r="BP18" s="430"/>
      <c r="BQ18" s="430"/>
      <c r="BR18" s="430"/>
    </row>
    <row r="19" spans="1:70" x14ac:dyDescent="0.4">
      <c r="A19" s="429" t="str">
        <f t="shared" si="0"/>
        <v>INVALID</v>
      </c>
      <c r="B19" s="430" t="str">
        <f t="shared" si="3"/>
        <v>Fan 18</v>
      </c>
      <c r="C19" s="431">
        <f t="shared" si="4"/>
        <v>0</v>
      </c>
      <c r="D19" s="430">
        <f t="shared" si="5"/>
        <v>0</v>
      </c>
      <c r="E19" s="430"/>
      <c r="F19" s="430">
        <f t="shared" si="1"/>
        <v>0</v>
      </c>
      <c r="G19" s="430"/>
      <c r="H19" s="430"/>
      <c r="I19" s="430">
        <f t="shared" si="6"/>
        <v>0</v>
      </c>
      <c r="J19" s="430">
        <f t="shared" si="7"/>
        <v>0</v>
      </c>
      <c r="K19" s="430">
        <f>IF(AW19="VSD",(VLOOKUP("Switchboard Cable 1mm",'Part List'!$A:$G,3,FALSE)+VLOOKUP("2.5mm Twin and Earth",'Part List'!$A:$G,3,FALSE)*2),IF(AW19="KEF",(VLOOKUP("7030 2 pair TCAS7302P",'Part List'!$A:$G,3,FALSE) + VLOOKUP("4mm Cable 3 core and Earth",'Part List'!$A:$G,3,FALSE)),VLOOKUP("2.5mm Twin and Earth",'Part List'!$A:$G,3,FALSE)))</f>
        <v>0.85</v>
      </c>
      <c r="L19" s="430">
        <f t="shared" si="8"/>
        <v>0</v>
      </c>
      <c r="M19" s="430">
        <f>IF(AW19="VSD",(VLOOKUP("Switchboard Cable 1mm",'Part List'!$A:$G,5,FALSE)+VLOOKUP("2.5mm Twin and Earth",'Part List'!$A:$G,5,FALSE)*2),IF(AW19="KEF",(VLOOKUP("7030 2 pair TCAS7302P",'Part List'!$A:$G,5,FALSE) + VLOOKUP("4mm Cable 3 core and Earth",'Part List'!$A:$G,5,FALSE)),VLOOKUP("2.5mm Twin and Earth",'Part List'!$A:$G,5,FALSE)))</f>
        <v>0.1</v>
      </c>
      <c r="N19" s="430">
        <f t="shared" si="2"/>
        <v>0</v>
      </c>
      <c r="O19" s="430"/>
      <c r="P19" s="438"/>
      <c r="Q19" s="439">
        <f>IFERROR(VLOOKUP(P19,_Fan!$N:$Q,2,FALSE),0)</f>
        <v>0</v>
      </c>
      <c r="R19" s="439">
        <f>IFERROR(VLOOKUP(P19,_Fan!$N:$Q,3,FALSE),0)</f>
        <v>0</v>
      </c>
      <c r="S19" s="438"/>
      <c r="T19" s="439">
        <f>IF(S19="YES", VLOOKUP(S$1,_Fan!$N:$Q,2,FALSE), 0)</f>
        <v>0</v>
      </c>
      <c r="U19" s="439">
        <f>IF(S19="YES", VLOOKUP(S$1,_Fan!$N:$Q,3,FALSE), 0)</f>
        <v>0</v>
      </c>
      <c r="V19" s="438"/>
      <c r="W19" s="439">
        <f>IF(V19="YES", VLOOKUP(V$1,_Fan!$N:$Q,2,FALSE), 0)</f>
        <v>0</v>
      </c>
      <c r="X19" s="439">
        <f>IF(V19="YES", VLOOKUP(V$1,_Fan!$N:$Q,3,FALSE), 0)</f>
        <v>0</v>
      </c>
      <c r="Y19" s="438"/>
      <c r="Z19" s="439">
        <f>IFERROR(VLOOKUP(Y19,_Fan!$N:$Q,2,FALSE),0)</f>
        <v>0</v>
      </c>
      <c r="AA19" s="439">
        <f>IFERROR(VLOOKUP(Y19,_Fan!$N:$Q,3,FALSE),0)</f>
        <v>0</v>
      </c>
      <c r="AB19" s="438"/>
      <c r="AC19" s="439">
        <f>IF(AB19="YES", VLOOKUP(AB$1,_Fan!$N:$Q,2,FALSE), 0)</f>
        <v>0</v>
      </c>
      <c r="AD19" s="439">
        <f>IF(AB19="YES", VLOOKUP(AB$1,_Fan!$N:$Q,3,FALSE), 0)</f>
        <v>0</v>
      </c>
      <c r="AE19" s="438"/>
      <c r="AF19" s="439">
        <f>IF(AE19="YES", VLOOKUP(AE$1,_Fan!$N:$Q,2,FALSE), 0)</f>
        <v>0</v>
      </c>
      <c r="AG19" s="439">
        <f>IF(AE19="YES", VLOOKUP(AE$1,_Fan!$N:$Q,3,FALSE), 0)</f>
        <v>0</v>
      </c>
      <c r="AH19" s="438"/>
      <c r="AI19" s="439">
        <f>IF(AH19="YES", VLOOKUP(AH$1,_Fan!$N:$Q,2,FALSE), 0)</f>
        <v>0</v>
      </c>
      <c r="AJ19" s="439">
        <f>IF(AH19="YES", VLOOKUP(AH$1,_Fan!$N:$Q,3,FALSE), 0)</f>
        <v>0</v>
      </c>
      <c r="AK19" s="438"/>
      <c r="AL19" s="439">
        <f>IF(AK19="YES", VLOOKUP(AK$1,_Fan!$N:$Q,2,FALSE), 0)</f>
        <v>0</v>
      </c>
      <c r="AM19" s="439">
        <f>IF(AK19="YES", VLOOKUP(AK$1,_Fan!$N:$Q,3,FALSE), 0)</f>
        <v>0</v>
      </c>
      <c r="AN19" s="438"/>
      <c r="AO19" s="439">
        <f>IF(AN19="YES", VLOOKUP(AN$1,_Fan!$N:$Q,2,FALSE), 0)</f>
        <v>0</v>
      </c>
      <c r="AP19" s="439">
        <f>IF(AN19="YES", VLOOKUP(AN$1,_Fan!$N:$Q,3,FALSE), 0)</f>
        <v>0</v>
      </c>
      <c r="AQ19" s="438"/>
      <c r="AR19" s="439">
        <f>IF(AQ19="YES", VLOOKUP(AQ$1,_Fan!$N:$Q,2,FALSE), 0)</f>
        <v>0</v>
      </c>
      <c r="AS19" s="439">
        <f>IF(AQ19="YES", VLOOKUP(AQ$1,_Fan!$N:$Q,3,FALSE), 0)</f>
        <v>0</v>
      </c>
      <c r="AT19" s="438"/>
      <c r="AU19" s="439">
        <f>IF(AT19="YES", VLOOKUP(AT$1,_Fan!$N:$Q,2,FALSE), 0)</f>
        <v>0</v>
      </c>
      <c r="AV19" s="439">
        <f>IF(AT19="YES", VLOOKUP(AT$1,_Fan!$N:$Q,3,FALSE), 0)</f>
        <v>0</v>
      </c>
      <c r="AW19" s="438"/>
      <c r="AX19" s="439">
        <f>IFERROR(VLOOKUP(AW19,_Fan!$N:$Q,2,FALSE),0)</f>
        <v>0</v>
      </c>
      <c r="AY19" s="439">
        <f>IFERROR(VLOOKUP(AW19,_Fan!$N:$Q,3,FALSE),0)</f>
        <v>0</v>
      </c>
      <c r="AZ19" s="438"/>
      <c r="BA19" s="439">
        <f>IF(AZ19="YES", VLOOKUP(AZ$1,_Fan!$N:$Q,2,FALSE), 0)</f>
        <v>0</v>
      </c>
      <c r="BB19" s="439">
        <f>IF(AZ19="YES", VLOOKUP(AZ$1,_Fan!$N:$Q,3,FALSE), 0)</f>
        <v>0</v>
      </c>
      <c r="BC19" s="430"/>
      <c r="BD19" s="430"/>
      <c r="BE19" s="430"/>
      <c r="BF19" s="430"/>
      <c r="BG19" s="430"/>
      <c r="BH19" s="430"/>
      <c r="BI19" s="430"/>
      <c r="BJ19" s="430"/>
      <c r="BK19" s="430"/>
      <c r="BL19" s="430"/>
      <c r="BM19" s="430"/>
      <c r="BN19" s="430"/>
      <c r="BO19" s="430"/>
      <c r="BP19" s="430"/>
      <c r="BQ19" s="430"/>
      <c r="BR19" s="430"/>
    </row>
    <row r="20" spans="1:70" x14ac:dyDescent="0.4">
      <c r="A20" s="429" t="str">
        <f t="shared" si="0"/>
        <v>INVALID</v>
      </c>
      <c r="B20" s="430" t="str">
        <f t="shared" si="3"/>
        <v>Fan 19</v>
      </c>
      <c r="C20" s="431">
        <f t="shared" si="4"/>
        <v>0</v>
      </c>
      <c r="D20" s="430">
        <f t="shared" si="5"/>
        <v>0</v>
      </c>
      <c r="E20" s="430"/>
      <c r="F20" s="430">
        <f t="shared" si="1"/>
        <v>0</v>
      </c>
      <c r="G20" s="430"/>
      <c r="H20" s="430"/>
      <c r="I20" s="430">
        <f t="shared" si="6"/>
        <v>0</v>
      </c>
      <c r="J20" s="430">
        <f t="shared" si="7"/>
        <v>0</v>
      </c>
      <c r="K20" s="430">
        <f>IF(AW20="VSD",(VLOOKUP("Switchboard Cable 1mm",'Part List'!$A:$G,3,FALSE)+VLOOKUP("2.5mm Twin and Earth",'Part List'!$A:$G,3,FALSE)*2),IF(AW20="KEF",(VLOOKUP("7030 2 pair TCAS7302P",'Part List'!$A:$G,3,FALSE) + VLOOKUP("4mm Cable 3 core and Earth",'Part List'!$A:$G,3,FALSE)),VLOOKUP("2.5mm Twin and Earth",'Part List'!$A:$G,3,FALSE)))</f>
        <v>0.85</v>
      </c>
      <c r="L20" s="430">
        <f t="shared" si="8"/>
        <v>0</v>
      </c>
      <c r="M20" s="430">
        <f>IF(AW20="VSD",(VLOOKUP("Switchboard Cable 1mm",'Part List'!$A:$G,5,FALSE)+VLOOKUP("2.5mm Twin and Earth",'Part List'!$A:$G,5,FALSE)*2),IF(AW20="KEF",(VLOOKUP("7030 2 pair TCAS7302P",'Part List'!$A:$G,5,FALSE) + VLOOKUP("4mm Cable 3 core and Earth",'Part List'!$A:$G,5,FALSE)),VLOOKUP("2.5mm Twin and Earth",'Part List'!$A:$G,5,FALSE)))</f>
        <v>0.1</v>
      </c>
      <c r="N20" s="430">
        <f t="shared" si="2"/>
        <v>0</v>
      </c>
      <c r="O20" s="430"/>
      <c r="P20" s="438"/>
      <c r="Q20" s="439">
        <f>IFERROR(VLOOKUP(P20,_Fan!$N:$Q,2,FALSE),0)</f>
        <v>0</v>
      </c>
      <c r="R20" s="439">
        <f>IFERROR(VLOOKUP(P20,_Fan!$N:$Q,3,FALSE),0)</f>
        <v>0</v>
      </c>
      <c r="S20" s="438"/>
      <c r="T20" s="439">
        <f>IF(S20="YES", VLOOKUP(S$1,_Fan!$N:$Q,2,FALSE), 0)</f>
        <v>0</v>
      </c>
      <c r="U20" s="439">
        <f>IF(S20="YES", VLOOKUP(S$1,_Fan!$N:$Q,3,FALSE), 0)</f>
        <v>0</v>
      </c>
      <c r="V20" s="438"/>
      <c r="W20" s="439">
        <f>IF(V20="YES", VLOOKUP(V$1,_Fan!$N:$Q,2,FALSE), 0)</f>
        <v>0</v>
      </c>
      <c r="X20" s="439">
        <f>IF(V20="YES", VLOOKUP(V$1,_Fan!$N:$Q,3,FALSE), 0)</f>
        <v>0</v>
      </c>
      <c r="Y20" s="438"/>
      <c r="Z20" s="439">
        <f>IFERROR(VLOOKUP(Y20,_Fan!$N:$Q,2,FALSE),0)</f>
        <v>0</v>
      </c>
      <c r="AA20" s="439">
        <f>IFERROR(VLOOKUP(Y20,_Fan!$N:$Q,3,FALSE),0)</f>
        <v>0</v>
      </c>
      <c r="AB20" s="438"/>
      <c r="AC20" s="439">
        <f>IF(AB20="YES", VLOOKUP(AB$1,_Fan!$N:$Q,2,FALSE), 0)</f>
        <v>0</v>
      </c>
      <c r="AD20" s="439">
        <f>IF(AB20="YES", VLOOKUP(AB$1,_Fan!$N:$Q,3,FALSE), 0)</f>
        <v>0</v>
      </c>
      <c r="AE20" s="438"/>
      <c r="AF20" s="439">
        <f>IF(AE20="YES", VLOOKUP(AE$1,_Fan!$N:$Q,2,FALSE), 0)</f>
        <v>0</v>
      </c>
      <c r="AG20" s="439">
        <f>IF(AE20="YES", VLOOKUP(AE$1,_Fan!$N:$Q,3,FALSE), 0)</f>
        <v>0</v>
      </c>
      <c r="AH20" s="438"/>
      <c r="AI20" s="439">
        <f>IF(AH20="YES", VLOOKUP(AH$1,_Fan!$N:$Q,2,FALSE), 0)</f>
        <v>0</v>
      </c>
      <c r="AJ20" s="439">
        <f>IF(AH20="YES", VLOOKUP(AH$1,_Fan!$N:$Q,3,FALSE), 0)</f>
        <v>0</v>
      </c>
      <c r="AK20" s="438"/>
      <c r="AL20" s="439">
        <f>IF(AK20="YES", VLOOKUP(AK$1,_Fan!$N:$Q,2,FALSE), 0)</f>
        <v>0</v>
      </c>
      <c r="AM20" s="439">
        <f>IF(AK20="YES", VLOOKUP(AK$1,_Fan!$N:$Q,3,FALSE), 0)</f>
        <v>0</v>
      </c>
      <c r="AN20" s="438"/>
      <c r="AO20" s="439">
        <f>IF(AN20="YES", VLOOKUP(AN$1,_Fan!$N:$Q,2,FALSE), 0)</f>
        <v>0</v>
      </c>
      <c r="AP20" s="439">
        <f>IF(AN20="YES", VLOOKUP(AN$1,_Fan!$N:$Q,3,FALSE), 0)</f>
        <v>0</v>
      </c>
      <c r="AQ20" s="438"/>
      <c r="AR20" s="439">
        <f>IF(AQ20="YES", VLOOKUP(AQ$1,_Fan!$N:$Q,2,FALSE), 0)</f>
        <v>0</v>
      </c>
      <c r="AS20" s="439">
        <f>IF(AQ20="YES", VLOOKUP(AQ$1,_Fan!$N:$Q,3,FALSE), 0)</f>
        <v>0</v>
      </c>
      <c r="AT20" s="438"/>
      <c r="AU20" s="439">
        <f>IF(AT20="YES", VLOOKUP(AT$1,_Fan!$N:$Q,2,FALSE), 0)</f>
        <v>0</v>
      </c>
      <c r="AV20" s="439">
        <f>IF(AT20="YES", VLOOKUP(AT$1,_Fan!$N:$Q,3,FALSE), 0)</f>
        <v>0</v>
      </c>
      <c r="AW20" s="438"/>
      <c r="AX20" s="439">
        <f>IFERROR(VLOOKUP(AW20,_Fan!$N:$Q,2,FALSE),0)</f>
        <v>0</v>
      </c>
      <c r="AY20" s="439">
        <f>IFERROR(VLOOKUP(AW20,_Fan!$N:$Q,3,FALSE),0)</f>
        <v>0</v>
      </c>
      <c r="AZ20" s="438"/>
      <c r="BA20" s="439">
        <f>IF(AZ20="YES", VLOOKUP(AZ$1,_Fan!$N:$Q,2,FALSE), 0)</f>
        <v>0</v>
      </c>
      <c r="BB20" s="439">
        <f>IF(AZ20="YES", VLOOKUP(AZ$1,_Fan!$N:$Q,3,FALSE), 0)</f>
        <v>0</v>
      </c>
      <c r="BC20" s="430"/>
      <c r="BD20" s="430"/>
      <c r="BE20" s="430"/>
      <c r="BF20" s="430"/>
      <c r="BG20" s="430"/>
      <c r="BH20" s="430"/>
      <c r="BI20" s="430"/>
      <c r="BJ20" s="430"/>
      <c r="BK20" s="430"/>
      <c r="BL20" s="430"/>
      <c r="BM20" s="430"/>
      <c r="BN20" s="430"/>
      <c r="BO20" s="430"/>
      <c r="BP20" s="430"/>
      <c r="BQ20" s="430"/>
      <c r="BR20" s="430"/>
    </row>
    <row r="21" spans="1:70" x14ac:dyDescent="0.4">
      <c r="A21" s="429" t="str">
        <f t="shared" si="0"/>
        <v>INVALID</v>
      </c>
      <c r="B21" s="430" t="str">
        <f t="shared" si="3"/>
        <v>Fan 20</v>
      </c>
      <c r="C21" s="431">
        <f t="shared" si="4"/>
        <v>0</v>
      </c>
      <c r="D21" s="430">
        <f t="shared" si="5"/>
        <v>0</v>
      </c>
      <c r="E21" s="430"/>
      <c r="F21" s="430">
        <f t="shared" si="1"/>
        <v>0</v>
      </c>
      <c r="G21" s="430"/>
      <c r="H21" s="430"/>
      <c r="I21" s="430">
        <f t="shared" si="6"/>
        <v>0</v>
      </c>
      <c r="J21" s="430">
        <f t="shared" si="7"/>
        <v>0</v>
      </c>
      <c r="K21" s="430">
        <f>IF(AW21="VSD",(VLOOKUP("Switchboard Cable 1mm",'Part List'!$A:$G,3,FALSE)+VLOOKUP("2.5mm Twin and Earth",'Part List'!$A:$G,3,FALSE)*2),IF(AW21="KEF",(VLOOKUP("7030 2 pair TCAS7302P",'Part List'!$A:$G,3,FALSE) + VLOOKUP("4mm Cable 3 core and Earth",'Part List'!$A:$G,3,FALSE)),VLOOKUP("2.5mm Twin and Earth",'Part List'!$A:$G,3,FALSE)))</f>
        <v>0.85</v>
      </c>
      <c r="L21" s="430">
        <f t="shared" si="8"/>
        <v>0</v>
      </c>
      <c r="M21" s="430">
        <f>IF(AW21="VSD",(VLOOKUP("Switchboard Cable 1mm",'Part List'!$A:$G,5,FALSE)+VLOOKUP("2.5mm Twin and Earth",'Part List'!$A:$G,5,FALSE)*2),IF(AW21="KEF",(VLOOKUP("7030 2 pair TCAS7302P",'Part List'!$A:$G,5,FALSE) + VLOOKUP("4mm Cable 3 core and Earth",'Part List'!$A:$G,5,FALSE)),VLOOKUP("2.5mm Twin and Earth",'Part List'!$A:$G,5,FALSE)))</f>
        <v>0.1</v>
      </c>
      <c r="N21" s="430">
        <f t="shared" si="2"/>
        <v>0</v>
      </c>
      <c r="O21" s="430"/>
      <c r="P21" s="438"/>
      <c r="Q21" s="439">
        <f>IFERROR(VLOOKUP(P21,_Fan!$N:$Q,2,FALSE),0)</f>
        <v>0</v>
      </c>
      <c r="R21" s="439">
        <f>IFERROR(VLOOKUP(P21,_Fan!$N:$Q,3,FALSE),0)</f>
        <v>0</v>
      </c>
      <c r="S21" s="438"/>
      <c r="T21" s="439">
        <f>IF(S21="YES", VLOOKUP(S$1,_Fan!$N:$Q,2,FALSE), 0)</f>
        <v>0</v>
      </c>
      <c r="U21" s="439">
        <f>IF(S21="YES", VLOOKUP(S$1,_Fan!$N:$Q,3,FALSE), 0)</f>
        <v>0</v>
      </c>
      <c r="V21" s="438"/>
      <c r="W21" s="439">
        <f>IF(V21="YES", VLOOKUP(V$1,_Fan!$N:$Q,2,FALSE), 0)</f>
        <v>0</v>
      </c>
      <c r="X21" s="439">
        <f>IF(V21="YES", VLOOKUP(V$1,_Fan!$N:$Q,3,FALSE), 0)</f>
        <v>0</v>
      </c>
      <c r="Y21" s="438"/>
      <c r="Z21" s="439">
        <f>IFERROR(VLOOKUP(Y21,_Fan!$N:$Q,2,FALSE),0)</f>
        <v>0</v>
      </c>
      <c r="AA21" s="439">
        <f>IFERROR(VLOOKUP(Y21,_Fan!$N:$Q,3,FALSE),0)</f>
        <v>0</v>
      </c>
      <c r="AB21" s="438"/>
      <c r="AC21" s="439">
        <f>IF(AB21="YES", VLOOKUP(AB$1,_Fan!$N:$Q,2,FALSE), 0)</f>
        <v>0</v>
      </c>
      <c r="AD21" s="439">
        <f>IF(AB21="YES", VLOOKUP(AB$1,_Fan!$N:$Q,3,FALSE), 0)</f>
        <v>0</v>
      </c>
      <c r="AE21" s="438"/>
      <c r="AF21" s="439">
        <f>IF(AE21="YES", VLOOKUP(AE$1,_Fan!$N:$Q,2,FALSE), 0)</f>
        <v>0</v>
      </c>
      <c r="AG21" s="439">
        <f>IF(AE21="YES", VLOOKUP(AE$1,_Fan!$N:$Q,3,FALSE), 0)</f>
        <v>0</v>
      </c>
      <c r="AH21" s="438"/>
      <c r="AI21" s="439">
        <f>IF(AH21="YES", VLOOKUP(AH$1,_Fan!$N:$Q,2,FALSE), 0)</f>
        <v>0</v>
      </c>
      <c r="AJ21" s="439">
        <f>IF(AH21="YES", VLOOKUP(AH$1,_Fan!$N:$Q,3,FALSE), 0)</f>
        <v>0</v>
      </c>
      <c r="AK21" s="438"/>
      <c r="AL21" s="439">
        <f>IF(AK21="YES", VLOOKUP(AK$1,_Fan!$N:$Q,2,FALSE), 0)</f>
        <v>0</v>
      </c>
      <c r="AM21" s="439">
        <f>IF(AK21="YES", VLOOKUP(AK$1,_Fan!$N:$Q,3,FALSE), 0)</f>
        <v>0</v>
      </c>
      <c r="AN21" s="438"/>
      <c r="AO21" s="439">
        <f>IF(AN21="YES", VLOOKUP(AN$1,_Fan!$N:$Q,2,FALSE), 0)</f>
        <v>0</v>
      </c>
      <c r="AP21" s="439">
        <f>IF(AN21="YES", VLOOKUP(AN$1,_Fan!$N:$Q,3,FALSE), 0)</f>
        <v>0</v>
      </c>
      <c r="AQ21" s="438"/>
      <c r="AR21" s="439">
        <f>IF(AQ21="YES", VLOOKUP(AQ$1,_Fan!$N:$Q,2,FALSE), 0)</f>
        <v>0</v>
      </c>
      <c r="AS21" s="439">
        <f>IF(AQ21="YES", VLOOKUP(AQ$1,_Fan!$N:$Q,3,FALSE), 0)</f>
        <v>0</v>
      </c>
      <c r="AT21" s="438"/>
      <c r="AU21" s="439">
        <f>IF(AT21="YES", VLOOKUP(AT$1,_Fan!$N:$Q,2,FALSE), 0)</f>
        <v>0</v>
      </c>
      <c r="AV21" s="439">
        <f>IF(AT21="YES", VLOOKUP(AT$1,_Fan!$N:$Q,3,FALSE), 0)</f>
        <v>0</v>
      </c>
      <c r="AW21" s="438"/>
      <c r="AX21" s="439">
        <f>IFERROR(VLOOKUP(AW21,_Fan!$N:$Q,2,FALSE),0)</f>
        <v>0</v>
      </c>
      <c r="AY21" s="439">
        <f>IFERROR(VLOOKUP(AW21,_Fan!$N:$Q,3,FALSE),0)</f>
        <v>0</v>
      </c>
      <c r="AZ21" s="438"/>
      <c r="BA21" s="439">
        <f>IF(AZ21="YES", VLOOKUP(AZ$1,_Fan!$N:$Q,2,FALSE), 0)</f>
        <v>0</v>
      </c>
      <c r="BB21" s="439">
        <f>IF(AZ21="YES", VLOOKUP(AZ$1,_Fan!$N:$Q,3,FALSE), 0)</f>
        <v>0</v>
      </c>
      <c r="BC21" s="430"/>
      <c r="BD21" s="430"/>
      <c r="BE21" s="430"/>
      <c r="BF21" s="430"/>
      <c r="BG21" s="430"/>
      <c r="BH21" s="430"/>
      <c r="BI21" s="430"/>
      <c r="BJ21" s="430"/>
      <c r="BK21" s="430"/>
      <c r="BL21" s="430"/>
      <c r="BM21" s="430"/>
      <c r="BN21" s="430"/>
      <c r="BO21" s="430"/>
      <c r="BP21" s="430"/>
      <c r="BQ21" s="430"/>
      <c r="BR21" s="430"/>
    </row>
    <row r="22" spans="1:70" x14ac:dyDescent="0.4">
      <c r="A22" s="429" t="str">
        <f t="shared" si="0"/>
        <v>INVALID</v>
      </c>
      <c r="B22" s="430" t="str">
        <f t="shared" si="3"/>
        <v>Fan 21</v>
      </c>
      <c r="C22" s="431">
        <f t="shared" si="4"/>
        <v>0</v>
      </c>
      <c r="D22" s="430">
        <f t="shared" si="5"/>
        <v>0</v>
      </c>
      <c r="E22" s="430"/>
      <c r="F22" s="430">
        <f t="shared" si="1"/>
        <v>0</v>
      </c>
      <c r="G22" s="430"/>
      <c r="H22" s="430"/>
      <c r="I22" s="430">
        <f t="shared" si="6"/>
        <v>0</v>
      </c>
      <c r="J22" s="430">
        <f t="shared" si="7"/>
        <v>0</v>
      </c>
      <c r="K22" s="430">
        <f>IF(AW22="VSD",(VLOOKUP("Switchboard Cable 1mm",'Part List'!$A:$G,3,FALSE)+VLOOKUP("2.5mm Twin and Earth",'Part List'!$A:$G,3,FALSE)*2),IF(AW22="KEF",(VLOOKUP("7030 2 pair TCAS7302P",'Part List'!$A:$G,3,FALSE) + VLOOKUP("4mm Cable 3 core and Earth",'Part List'!$A:$G,3,FALSE)),VLOOKUP("2.5mm Twin and Earth",'Part List'!$A:$G,3,FALSE)))</f>
        <v>0.85</v>
      </c>
      <c r="L22" s="430">
        <f t="shared" si="8"/>
        <v>0</v>
      </c>
      <c r="M22" s="430">
        <f>IF(AW22="VSD",(VLOOKUP("Switchboard Cable 1mm",'Part List'!$A:$G,5,FALSE)+VLOOKUP("2.5mm Twin and Earth",'Part List'!$A:$G,5,FALSE)*2),IF(AW22="KEF",(VLOOKUP("7030 2 pair TCAS7302P",'Part List'!$A:$G,5,FALSE) + VLOOKUP("4mm Cable 3 core and Earth",'Part List'!$A:$G,5,FALSE)),VLOOKUP("2.5mm Twin and Earth",'Part List'!$A:$G,5,FALSE)))</f>
        <v>0.1</v>
      </c>
      <c r="N22" s="430">
        <f t="shared" si="2"/>
        <v>0</v>
      </c>
      <c r="O22" s="430"/>
      <c r="P22" s="438"/>
      <c r="Q22" s="439">
        <f>IFERROR(VLOOKUP(P22,_Fan!$N:$Q,2,FALSE),0)</f>
        <v>0</v>
      </c>
      <c r="R22" s="439">
        <f>IFERROR(VLOOKUP(P22,_Fan!$N:$Q,3,FALSE),0)</f>
        <v>0</v>
      </c>
      <c r="S22" s="438"/>
      <c r="T22" s="439">
        <f>IF(S22="YES", VLOOKUP(S$1,_Fan!$N:$Q,2,FALSE), 0)</f>
        <v>0</v>
      </c>
      <c r="U22" s="439">
        <f>IF(S22="YES", VLOOKUP(S$1,_Fan!$N:$Q,3,FALSE), 0)</f>
        <v>0</v>
      </c>
      <c r="V22" s="438"/>
      <c r="W22" s="439">
        <f>IF(V22="YES", VLOOKUP(V$1,_Fan!$N:$Q,2,FALSE), 0)</f>
        <v>0</v>
      </c>
      <c r="X22" s="439">
        <f>IF(V22="YES", VLOOKUP(V$1,_Fan!$N:$Q,3,FALSE), 0)</f>
        <v>0</v>
      </c>
      <c r="Y22" s="438"/>
      <c r="Z22" s="439">
        <f>IFERROR(VLOOKUP(Y22,_Fan!$N:$Q,2,FALSE),0)</f>
        <v>0</v>
      </c>
      <c r="AA22" s="439">
        <f>IFERROR(VLOOKUP(Y22,_Fan!$N:$Q,3,FALSE),0)</f>
        <v>0</v>
      </c>
      <c r="AB22" s="438"/>
      <c r="AC22" s="439">
        <f>IF(AB22="YES", VLOOKUP(AB$1,_Fan!$N:$Q,2,FALSE), 0)</f>
        <v>0</v>
      </c>
      <c r="AD22" s="439">
        <f>IF(AB22="YES", VLOOKUP(AB$1,_Fan!$N:$Q,3,FALSE), 0)</f>
        <v>0</v>
      </c>
      <c r="AE22" s="438"/>
      <c r="AF22" s="439">
        <f>IF(AE22="YES", VLOOKUP(AE$1,_Fan!$N:$Q,2,FALSE), 0)</f>
        <v>0</v>
      </c>
      <c r="AG22" s="439">
        <f>IF(AE22="YES", VLOOKUP(AE$1,_Fan!$N:$Q,3,FALSE), 0)</f>
        <v>0</v>
      </c>
      <c r="AH22" s="438"/>
      <c r="AI22" s="439">
        <f>IF(AH22="YES", VLOOKUP(AH$1,_Fan!$N:$Q,2,FALSE), 0)</f>
        <v>0</v>
      </c>
      <c r="AJ22" s="439">
        <f>IF(AH22="YES", VLOOKUP(AH$1,_Fan!$N:$Q,3,FALSE), 0)</f>
        <v>0</v>
      </c>
      <c r="AK22" s="438"/>
      <c r="AL22" s="439">
        <f>IF(AK22="YES", VLOOKUP(AK$1,_Fan!$N:$Q,2,FALSE), 0)</f>
        <v>0</v>
      </c>
      <c r="AM22" s="439">
        <f>IF(AK22="YES", VLOOKUP(AK$1,_Fan!$N:$Q,3,FALSE), 0)</f>
        <v>0</v>
      </c>
      <c r="AN22" s="438"/>
      <c r="AO22" s="439">
        <f>IF(AN22="YES", VLOOKUP(AN$1,_Fan!$N:$Q,2,FALSE), 0)</f>
        <v>0</v>
      </c>
      <c r="AP22" s="439">
        <f>IF(AN22="YES", VLOOKUP(AN$1,_Fan!$N:$Q,3,FALSE), 0)</f>
        <v>0</v>
      </c>
      <c r="AQ22" s="438"/>
      <c r="AR22" s="439">
        <f>IF(AQ22="YES", VLOOKUP(AQ$1,_Fan!$N:$Q,2,FALSE), 0)</f>
        <v>0</v>
      </c>
      <c r="AS22" s="439">
        <f>IF(AQ22="YES", VLOOKUP(AQ$1,_Fan!$N:$Q,3,FALSE), 0)</f>
        <v>0</v>
      </c>
      <c r="AT22" s="438"/>
      <c r="AU22" s="439">
        <f>IF(AT22="YES", VLOOKUP(AT$1,_Fan!$N:$Q,2,FALSE), 0)</f>
        <v>0</v>
      </c>
      <c r="AV22" s="439">
        <f>IF(AT22="YES", VLOOKUP(AT$1,_Fan!$N:$Q,3,FALSE), 0)</f>
        <v>0</v>
      </c>
      <c r="AW22" s="438"/>
      <c r="AX22" s="439">
        <f>IFERROR(VLOOKUP(AW22,_Fan!$N:$Q,2,FALSE),0)</f>
        <v>0</v>
      </c>
      <c r="AY22" s="439">
        <f>IFERROR(VLOOKUP(AW22,_Fan!$N:$Q,3,FALSE),0)</f>
        <v>0</v>
      </c>
      <c r="AZ22" s="438"/>
      <c r="BA22" s="439">
        <f>IF(AZ22="YES", VLOOKUP(AZ$1,_Fan!$N:$Q,2,FALSE), 0)</f>
        <v>0</v>
      </c>
      <c r="BB22" s="439">
        <f>IF(AZ22="YES", VLOOKUP(AZ$1,_Fan!$N:$Q,3,FALSE), 0)</f>
        <v>0</v>
      </c>
      <c r="BC22" s="430"/>
      <c r="BD22" s="430"/>
      <c r="BE22" s="430"/>
      <c r="BF22" s="430"/>
      <c r="BG22" s="430"/>
      <c r="BH22" s="430"/>
      <c r="BI22" s="430"/>
      <c r="BJ22" s="430"/>
      <c r="BK22" s="430"/>
      <c r="BL22" s="430"/>
      <c r="BM22" s="430"/>
      <c r="BN22" s="430"/>
      <c r="BO22" s="430"/>
      <c r="BP22" s="430"/>
      <c r="BQ22" s="430"/>
      <c r="BR22" s="430"/>
    </row>
    <row r="23" spans="1:70" x14ac:dyDescent="0.4">
      <c r="B23" s="296"/>
      <c r="F23" s="430"/>
      <c r="M23" s="430"/>
      <c r="N23" s="430"/>
    </row>
    <row r="24" spans="1:70" x14ac:dyDescent="0.4">
      <c r="B24" s="296"/>
      <c r="F24" s="430"/>
      <c r="I24" s="430"/>
    </row>
    <row r="25" spans="1:70" x14ac:dyDescent="0.4">
      <c r="B25" s="296"/>
      <c r="I25" s="430"/>
      <c r="AQ25" s="522"/>
      <c r="AR25" s="525"/>
      <c r="AS25" s="523"/>
      <c r="AT25" s="522"/>
      <c r="AU25" s="525"/>
      <c r="AV25" s="523"/>
      <c r="AW25" s="522"/>
      <c r="AX25" s="525"/>
      <c r="AY25" s="523"/>
      <c r="AZ25" s="522"/>
      <c r="BA25" s="525"/>
      <c r="BB25" s="523"/>
    </row>
    <row r="26" spans="1:70" x14ac:dyDescent="0.4">
      <c r="I26" s="430"/>
    </row>
    <row r="27" spans="1:70" x14ac:dyDescent="0.4">
      <c r="I27" s="430"/>
    </row>
    <row r="28" spans="1:70" x14ac:dyDescent="0.4">
      <c r="I28" s="430"/>
    </row>
    <row r="29" spans="1:70" x14ac:dyDescent="0.4">
      <c r="I29" s="430"/>
    </row>
    <row r="30" spans="1:70" x14ac:dyDescent="0.4">
      <c r="I30" s="430"/>
    </row>
  </sheetData>
  <conditionalFormatting sqref="A2:A22">
    <cfRule type="cellIs" dxfId="526" priority="249" operator="equal">
      <formula>"INVALID"</formula>
    </cfRule>
    <cfRule type="cellIs" dxfId="525" priority="250" operator="equal">
      <formula>"VALID"</formula>
    </cfRule>
  </conditionalFormatting>
  <conditionalFormatting sqref="U2:U4 P7:P22 AD2:AD4 AG2:AG4 AJ2:AJ4 AM2:AM4 AP2:AP4 AS2:AS4 AV2:AV4 R2:R4 AA2:AA4 AY2:AY4 U7:V22 X2:X4 X7:Y22 AD7:AE22 AG7:AH22 AJ7:AK22 AM7:AN22 AP7:AQ22 AS7:AT22 AV7:AW22 BB2:BR4 BB7:BR22 AY7:AZ22 AA7:AB22 R7:S22 BC5:BR6">
    <cfRule type="cellIs" dxfId="524" priority="248" operator="equal">
      <formula>$AAV$2</formula>
    </cfRule>
  </conditionalFormatting>
  <conditionalFormatting sqref="BM23:BM1048576 BM1">
    <cfRule type="colorScale" priority="247">
      <colorScale>
        <cfvo type="min"/>
        <cfvo type="max"/>
        <color rgb="FF63BE7B"/>
        <color rgb="FFFCFCFF"/>
      </colorScale>
    </cfRule>
  </conditionalFormatting>
  <conditionalFormatting sqref="P2:P4">
    <cfRule type="cellIs" dxfId="523" priority="188" operator="equal">
      <formula>$AAI$2</formula>
    </cfRule>
  </conditionalFormatting>
  <conditionalFormatting sqref="R7:S22 U7:V22 X7:Y22 AD7:AE22 AG7:AH22 AJ7:AK22 AM7:AN22 AP7:AQ22 AS7:AT22 AV7:AW22 AY7:AZ22 BB2:BB4 AA7:AB22 P2:P4 U2:U4 R2:R4 X2:X4 AA2:AA4 AD2:AD4 AG2:AG4 AJ2:AJ4 AM2:AM4 AP2:AP4 AS2:AS4 AV2:AV4 AY2:AY4 P7:P22 BB7:BB22">
    <cfRule type="cellIs" dxfId="522" priority="150" operator="equal">
      <formula>"No"</formula>
    </cfRule>
  </conditionalFormatting>
  <conditionalFormatting sqref="Q2:Q4 Q7:Q22">
    <cfRule type="cellIs" dxfId="521" priority="149" operator="equal">
      <formula>$AAV$2</formula>
    </cfRule>
  </conditionalFormatting>
  <conditionalFormatting sqref="Q2:Q4 Q7:Q22">
    <cfRule type="cellIs" dxfId="520" priority="148" operator="equal">
      <formula>"No"</formula>
    </cfRule>
  </conditionalFormatting>
  <conditionalFormatting sqref="T2:T4 T7:T22">
    <cfRule type="cellIs" dxfId="519" priority="147" operator="equal">
      <formula>$AAV$2</formula>
    </cfRule>
  </conditionalFormatting>
  <conditionalFormatting sqref="T2:T4 T7:T22">
    <cfRule type="cellIs" dxfId="518" priority="146" operator="equal">
      <formula>"No"</formula>
    </cfRule>
  </conditionalFormatting>
  <conditionalFormatting sqref="W2:W4 W7:W22">
    <cfRule type="cellIs" dxfId="517" priority="145" operator="equal">
      <formula>$AAV$2</formula>
    </cfRule>
  </conditionalFormatting>
  <conditionalFormatting sqref="W2:W4 W7:W22">
    <cfRule type="cellIs" dxfId="516" priority="144" operator="equal">
      <formula>"No"</formula>
    </cfRule>
  </conditionalFormatting>
  <conditionalFormatting sqref="AC2:AC4 AC7:AC22">
    <cfRule type="cellIs" dxfId="515" priority="143" operator="equal">
      <formula>$AAV$2</formula>
    </cfRule>
  </conditionalFormatting>
  <conditionalFormatting sqref="AC2:AC4 AC7:AC22">
    <cfRule type="cellIs" dxfId="514" priority="142" operator="equal">
      <formula>"No"</formula>
    </cfRule>
  </conditionalFormatting>
  <conditionalFormatting sqref="AF2:AF4 AF7:AF22">
    <cfRule type="cellIs" dxfId="513" priority="141" operator="equal">
      <formula>$AAV$2</formula>
    </cfRule>
  </conditionalFormatting>
  <conditionalFormatting sqref="AF2:AF4 AF7:AF22">
    <cfRule type="cellIs" dxfId="512" priority="140" operator="equal">
      <formula>"No"</formula>
    </cfRule>
  </conditionalFormatting>
  <conditionalFormatting sqref="AI2:AI4 AI7:AI22">
    <cfRule type="cellIs" dxfId="511" priority="139" operator="equal">
      <formula>$AAV$2</formula>
    </cfRule>
  </conditionalFormatting>
  <conditionalFormatting sqref="AI2:AI4 AI7:AI22">
    <cfRule type="cellIs" dxfId="510" priority="138" operator="equal">
      <formula>"No"</formula>
    </cfRule>
  </conditionalFormatting>
  <conditionalFormatting sqref="AL2:AL4 AL7:AL22">
    <cfRule type="cellIs" dxfId="509" priority="137" operator="equal">
      <formula>$AAV$2</formula>
    </cfRule>
  </conditionalFormatting>
  <conditionalFormatting sqref="AL2:AL4 AL7:AL22">
    <cfRule type="cellIs" dxfId="508" priority="136" operator="equal">
      <formula>"No"</formula>
    </cfRule>
  </conditionalFormatting>
  <conditionalFormatting sqref="AO2:AO4 AO7:AO22">
    <cfRule type="cellIs" dxfId="507" priority="135" operator="equal">
      <formula>$AAV$2</formula>
    </cfRule>
  </conditionalFormatting>
  <conditionalFormatting sqref="AO2:AO4 AO7:AO22">
    <cfRule type="cellIs" dxfId="506" priority="134" operator="equal">
      <formula>"No"</formula>
    </cfRule>
  </conditionalFormatting>
  <conditionalFormatting sqref="AR2:AR4 AR7:AR22">
    <cfRule type="cellIs" dxfId="505" priority="133" operator="equal">
      <formula>$AAV$2</formula>
    </cfRule>
  </conditionalFormatting>
  <conditionalFormatting sqref="AR2:AR4 AR7:AR22">
    <cfRule type="cellIs" dxfId="504" priority="132" operator="equal">
      <formula>"No"</formula>
    </cfRule>
  </conditionalFormatting>
  <conditionalFormatting sqref="AU2:AU4 AU7:AU22">
    <cfRule type="cellIs" dxfId="503" priority="131" operator="equal">
      <formula>$AAV$2</formula>
    </cfRule>
  </conditionalFormatting>
  <conditionalFormatting sqref="AU2:AU4 AU7:AU22">
    <cfRule type="cellIs" dxfId="502" priority="130" operator="equal">
      <formula>"No"</formula>
    </cfRule>
  </conditionalFormatting>
  <conditionalFormatting sqref="BA2:BA4 BA7:BA22">
    <cfRule type="cellIs" dxfId="501" priority="127" operator="equal">
      <formula>$AAV$2</formula>
    </cfRule>
  </conditionalFormatting>
  <conditionalFormatting sqref="BA2:BA4 BA7:BA22">
    <cfRule type="cellIs" dxfId="500" priority="126" operator="equal">
      <formula>"No"</formula>
    </cfRule>
  </conditionalFormatting>
  <conditionalFormatting sqref="Z2:Z4 Z7:Z22">
    <cfRule type="cellIs" dxfId="499" priority="125" operator="equal">
      <formula>$AAV$2</formula>
    </cfRule>
  </conditionalFormatting>
  <conditionalFormatting sqref="Z2:Z4 Z7:Z22">
    <cfRule type="cellIs" dxfId="498" priority="124" operator="equal">
      <formula>"No"</formula>
    </cfRule>
  </conditionalFormatting>
  <conditionalFormatting sqref="AX2:AX4 AX7:AX22">
    <cfRule type="cellIs" dxfId="497" priority="123" operator="equal">
      <formula>$AAV$2</formula>
    </cfRule>
  </conditionalFormatting>
  <conditionalFormatting sqref="AX2:AX4 AX7:AX22">
    <cfRule type="cellIs" dxfId="496" priority="122" operator="equal">
      <formula>"No"</formula>
    </cfRule>
  </conditionalFormatting>
  <conditionalFormatting sqref="V2">
    <cfRule type="cellIs" dxfId="495" priority="121" operator="equal">
      <formula>$ZR$2</formula>
    </cfRule>
  </conditionalFormatting>
  <conditionalFormatting sqref="V3">
    <cfRule type="cellIs" dxfId="494" priority="120" operator="equal">
      <formula>$ZR$2</formula>
    </cfRule>
  </conditionalFormatting>
  <conditionalFormatting sqref="V4">
    <cfRule type="cellIs" dxfId="493" priority="119" operator="equal">
      <formula>$ZR$2</formula>
    </cfRule>
  </conditionalFormatting>
  <conditionalFormatting sqref="S2">
    <cfRule type="cellIs" dxfId="492" priority="118" operator="equal">
      <formula>$ZR$2</formula>
    </cfRule>
  </conditionalFormatting>
  <conditionalFormatting sqref="S3">
    <cfRule type="cellIs" dxfId="491" priority="117" operator="equal">
      <formula>$ZR$2</formula>
    </cfRule>
  </conditionalFormatting>
  <conditionalFormatting sqref="S4">
    <cfRule type="cellIs" dxfId="490" priority="116" operator="equal">
      <formula>$ZR$2</formula>
    </cfRule>
  </conditionalFormatting>
  <conditionalFormatting sqref="Y2">
    <cfRule type="cellIs" dxfId="489" priority="115" operator="equal">
      <formula>$ZR$2</formula>
    </cfRule>
  </conditionalFormatting>
  <conditionalFormatting sqref="Y4">
    <cfRule type="cellIs" dxfId="488" priority="114" operator="equal">
      <formula>$ZR$2</formula>
    </cfRule>
  </conditionalFormatting>
  <conditionalFormatting sqref="Y3">
    <cfRule type="cellIs" dxfId="487" priority="113" operator="equal">
      <formula>$ZR$2</formula>
    </cfRule>
  </conditionalFormatting>
  <conditionalFormatting sqref="AB2">
    <cfRule type="cellIs" dxfId="486" priority="112" operator="equal">
      <formula>$ZR$2</formula>
    </cfRule>
  </conditionalFormatting>
  <conditionalFormatting sqref="AB3">
    <cfRule type="cellIs" dxfId="485" priority="111" operator="equal">
      <formula>$ZR$2</formula>
    </cfRule>
  </conditionalFormatting>
  <conditionalFormatting sqref="AB4">
    <cfRule type="cellIs" dxfId="484" priority="110" operator="equal">
      <formula>$ZR$2</formula>
    </cfRule>
  </conditionalFormatting>
  <conditionalFormatting sqref="AE2">
    <cfRule type="cellIs" dxfId="483" priority="109" operator="equal">
      <formula>$ZR$2</formula>
    </cfRule>
  </conditionalFormatting>
  <conditionalFormatting sqref="AE3">
    <cfRule type="cellIs" dxfId="482" priority="108" operator="equal">
      <formula>$ZR$2</formula>
    </cfRule>
  </conditionalFormatting>
  <conditionalFormatting sqref="AE4">
    <cfRule type="cellIs" dxfId="481" priority="107" operator="equal">
      <formula>$ZR$2</formula>
    </cfRule>
  </conditionalFormatting>
  <conditionalFormatting sqref="AH2">
    <cfRule type="cellIs" dxfId="480" priority="106" operator="equal">
      <formula>$ZR$2</formula>
    </cfRule>
  </conditionalFormatting>
  <conditionalFormatting sqref="AH3">
    <cfRule type="cellIs" dxfId="479" priority="105" operator="equal">
      <formula>$ZR$2</formula>
    </cfRule>
  </conditionalFormatting>
  <conditionalFormatting sqref="AH4">
    <cfRule type="cellIs" dxfId="478" priority="104" operator="equal">
      <formula>$ZR$2</formula>
    </cfRule>
  </conditionalFormatting>
  <conditionalFormatting sqref="AK2">
    <cfRule type="cellIs" dxfId="477" priority="103" operator="equal">
      <formula>$ZR$2</formula>
    </cfRule>
  </conditionalFormatting>
  <conditionalFormatting sqref="AK3">
    <cfRule type="cellIs" dxfId="476" priority="102" operator="equal">
      <formula>$ZR$2</formula>
    </cfRule>
  </conditionalFormatting>
  <conditionalFormatting sqref="AK4">
    <cfRule type="cellIs" dxfId="475" priority="101" operator="equal">
      <formula>$ZR$2</formula>
    </cfRule>
  </conditionalFormatting>
  <conditionalFormatting sqref="AN2">
    <cfRule type="cellIs" dxfId="474" priority="100" operator="equal">
      <formula>$ZR$2</formula>
    </cfRule>
  </conditionalFormatting>
  <conditionalFormatting sqref="AN3">
    <cfRule type="cellIs" dxfId="473" priority="99" operator="equal">
      <formula>$ZR$2</formula>
    </cfRule>
  </conditionalFormatting>
  <conditionalFormatting sqref="AN4">
    <cfRule type="cellIs" dxfId="472" priority="98" operator="equal">
      <formula>$ZR$2</formula>
    </cfRule>
  </conditionalFormatting>
  <conditionalFormatting sqref="AQ2">
    <cfRule type="cellIs" dxfId="471" priority="97" operator="equal">
      <formula>$ZR$2</formula>
    </cfRule>
  </conditionalFormatting>
  <conditionalFormatting sqref="AQ3">
    <cfRule type="cellIs" dxfId="470" priority="96" operator="equal">
      <formula>$ZR$2</formula>
    </cfRule>
  </conditionalFormatting>
  <conditionalFormatting sqref="AQ4">
    <cfRule type="cellIs" dxfId="469" priority="95" operator="equal">
      <formula>$ZR$2</formula>
    </cfRule>
  </conditionalFormatting>
  <conditionalFormatting sqref="AT2">
    <cfRule type="cellIs" dxfId="468" priority="94" operator="equal">
      <formula>$ZR$2</formula>
    </cfRule>
  </conditionalFormatting>
  <conditionalFormatting sqref="AT3">
    <cfRule type="cellIs" dxfId="467" priority="93" operator="equal">
      <formula>$ZR$2</formula>
    </cfRule>
  </conditionalFormatting>
  <conditionalFormatting sqref="AT4">
    <cfRule type="cellIs" dxfId="466" priority="92" operator="equal">
      <formula>$ZR$2</formula>
    </cfRule>
  </conditionalFormatting>
  <conditionalFormatting sqref="AW2">
    <cfRule type="cellIs" dxfId="465" priority="91" operator="equal">
      <formula>$ZR$2</formula>
    </cfRule>
  </conditionalFormatting>
  <conditionalFormatting sqref="AW3">
    <cfRule type="cellIs" dxfId="464" priority="90" operator="equal">
      <formula>$ZR$2</formula>
    </cfRule>
  </conditionalFormatting>
  <conditionalFormatting sqref="AW4">
    <cfRule type="cellIs" dxfId="463" priority="89" operator="equal">
      <formula>$ZR$2</formula>
    </cfRule>
  </conditionalFormatting>
  <conditionalFormatting sqref="AZ3">
    <cfRule type="cellIs" dxfId="462" priority="88" operator="equal">
      <formula>$ZR$2</formula>
    </cfRule>
  </conditionalFormatting>
  <conditionalFormatting sqref="AZ4">
    <cfRule type="cellIs" dxfId="461" priority="87" operator="equal">
      <formula>$ZR$2</formula>
    </cfRule>
  </conditionalFormatting>
  <conditionalFormatting sqref="AZ2">
    <cfRule type="cellIs" dxfId="460" priority="86" operator="equal">
      <formula>$ZR$2</formula>
    </cfRule>
  </conditionalFormatting>
  <conditionalFormatting sqref="P2:AZ4 P7:AZ22">
    <cfRule type="cellIs" dxfId="459" priority="85" operator="equal">
      <formula>"No"</formula>
    </cfRule>
  </conditionalFormatting>
  <conditionalFormatting sqref="U5 AD5 AG5 AJ5 AM5 AP5 AS5 AV5 R5 AA5 AY5 X5 BB5">
    <cfRule type="cellIs" dxfId="458" priority="84" operator="equal">
      <formula>$AAV$2</formula>
    </cfRule>
  </conditionalFormatting>
  <conditionalFormatting sqref="P5">
    <cfRule type="cellIs" dxfId="457" priority="83" operator="equal">
      <formula>$AAI$2</formula>
    </cfRule>
  </conditionalFormatting>
  <conditionalFormatting sqref="BB5 P5 U5 R5 X5 AA5 AD5 AG5 AJ5 AM5 AP5 AS5 AV5 AY5">
    <cfRule type="cellIs" dxfId="456" priority="82" operator="equal">
      <formula>"No"</formula>
    </cfRule>
  </conditionalFormatting>
  <conditionalFormatting sqref="Q5">
    <cfRule type="cellIs" dxfId="455" priority="81" operator="equal">
      <formula>$AAV$2</formula>
    </cfRule>
  </conditionalFormatting>
  <conditionalFormatting sqref="Q5">
    <cfRule type="cellIs" dxfId="454" priority="80" operator="equal">
      <formula>"No"</formula>
    </cfRule>
  </conditionalFormatting>
  <conditionalFormatting sqref="T5">
    <cfRule type="cellIs" dxfId="453" priority="79" operator="equal">
      <formula>$AAV$2</formula>
    </cfRule>
  </conditionalFormatting>
  <conditionalFormatting sqref="T5">
    <cfRule type="cellIs" dxfId="452" priority="78" operator="equal">
      <formula>"No"</formula>
    </cfRule>
  </conditionalFormatting>
  <conditionalFormatting sqref="W5">
    <cfRule type="cellIs" dxfId="451" priority="77" operator="equal">
      <formula>$AAV$2</formula>
    </cfRule>
  </conditionalFormatting>
  <conditionalFormatting sqref="W5">
    <cfRule type="cellIs" dxfId="450" priority="76" operator="equal">
      <formula>"No"</formula>
    </cfRule>
  </conditionalFormatting>
  <conditionalFormatting sqref="AC5">
    <cfRule type="cellIs" dxfId="449" priority="75" operator="equal">
      <formula>$AAV$2</formula>
    </cfRule>
  </conditionalFormatting>
  <conditionalFormatting sqref="AC5">
    <cfRule type="cellIs" dxfId="448" priority="74" operator="equal">
      <formula>"No"</formula>
    </cfRule>
  </conditionalFormatting>
  <conditionalFormatting sqref="AF5">
    <cfRule type="cellIs" dxfId="447" priority="73" operator="equal">
      <formula>$AAV$2</formula>
    </cfRule>
  </conditionalFormatting>
  <conditionalFormatting sqref="AF5">
    <cfRule type="cellIs" dxfId="446" priority="72" operator="equal">
      <formula>"No"</formula>
    </cfRule>
  </conditionalFormatting>
  <conditionalFormatting sqref="AI5">
    <cfRule type="cellIs" dxfId="445" priority="71" operator="equal">
      <formula>$AAV$2</formula>
    </cfRule>
  </conditionalFormatting>
  <conditionalFormatting sqref="AI5">
    <cfRule type="cellIs" dxfId="444" priority="70" operator="equal">
      <formula>"No"</formula>
    </cfRule>
  </conditionalFormatting>
  <conditionalFormatting sqref="AL5">
    <cfRule type="cellIs" dxfId="443" priority="69" operator="equal">
      <formula>$AAV$2</formula>
    </cfRule>
  </conditionalFormatting>
  <conditionalFormatting sqref="AL5">
    <cfRule type="cellIs" dxfId="442" priority="68" operator="equal">
      <formula>"No"</formula>
    </cfRule>
  </conditionalFormatting>
  <conditionalFormatting sqref="AO5">
    <cfRule type="cellIs" dxfId="441" priority="67" operator="equal">
      <formula>$AAV$2</formula>
    </cfRule>
  </conditionalFormatting>
  <conditionalFormatting sqref="AO5">
    <cfRule type="cellIs" dxfId="440" priority="66" operator="equal">
      <formula>"No"</formula>
    </cfRule>
  </conditionalFormatting>
  <conditionalFormatting sqref="AR5">
    <cfRule type="cellIs" dxfId="439" priority="65" operator="equal">
      <formula>$AAV$2</formula>
    </cfRule>
  </conditionalFormatting>
  <conditionalFormatting sqref="AR5">
    <cfRule type="cellIs" dxfId="438" priority="64" operator="equal">
      <formula>"No"</formula>
    </cfRule>
  </conditionalFormatting>
  <conditionalFormatting sqref="AU5">
    <cfRule type="cellIs" dxfId="437" priority="63" operator="equal">
      <formula>$AAV$2</formula>
    </cfRule>
  </conditionalFormatting>
  <conditionalFormatting sqref="AU5">
    <cfRule type="cellIs" dxfId="436" priority="62" operator="equal">
      <formula>"No"</formula>
    </cfRule>
  </conditionalFormatting>
  <conditionalFormatting sqref="BA5">
    <cfRule type="cellIs" dxfId="435" priority="61" operator="equal">
      <formula>$AAV$2</formula>
    </cfRule>
  </conditionalFormatting>
  <conditionalFormatting sqref="BA5">
    <cfRule type="cellIs" dxfId="434" priority="60" operator="equal">
      <formula>"No"</formula>
    </cfRule>
  </conditionalFormatting>
  <conditionalFormatting sqref="Z5">
    <cfRule type="cellIs" dxfId="433" priority="59" operator="equal">
      <formula>$AAV$2</formula>
    </cfRule>
  </conditionalFormatting>
  <conditionalFormatting sqref="Z5">
    <cfRule type="cellIs" dxfId="432" priority="58" operator="equal">
      <formula>"No"</formula>
    </cfRule>
  </conditionalFormatting>
  <conditionalFormatting sqref="AX5">
    <cfRule type="cellIs" dxfId="431" priority="57" operator="equal">
      <formula>$AAV$2</formula>
    </cfRule>
  </conditionalFormatting>
  <conditionalFormatting sqref="AX5">
    <cfRule type="cellIs" dxfId="430" priority="56" operator="equal">
      <formula>"No"</formula>
    </cfRule>
  </conditionalFormatting>
  <conditionalFormatting sqref="V5">
    <cfRule type="cellIs" dxfId="429" priority="55" operator="equal">
      <formula>$ZR$2</formula>
    </cfRule>
  </conditionalFormatting>
  <conditionalFormatting sqref="S5">
    <cfRule type="cellIs" dxfId="428" priority="54" operator="equal">
      <formula>$ZR$2</formula>
    </cfRule>
  </conditionalFormatting>
  <conditionalFormatting sqref="Y5">
    <cfRule type="cellIs" dxfId="427" priority="53" operator="equal">
      <formula>$ZR$2</formula>
    </cfRule>
  </conditionalFormatting>
  <conditionalFormatting sqref="AB5">
    <cfRule type="cellIs" dxfId="426" priority="52" operator="equal">
      <formula>$ZR$2</formula>
    </cfRule>
  </conditionalFormatting>
  <conditionalFormatting sqref="AE5">
    <cfRule type="cellIs" dxfId="425" priority="51" operator="equal">
      <formula>$ZR$2</formula>
    </cfRule>
  </conditionalFormatting>
  <conditionalFormatting sqref="AH5">
    <cfRule type="cellIs" dxfId="424" priority="50" operator="equal">
      <formula>$ZR$2</formula>
    </cfRule>
  </conditionalFormatting>
  <conditionalFormatting sqref="AK5">
    <cfRule type="cellIs" dxfId="423" priority="49" operator="equal">
      <formula>$ZR$2</formula>
    </cfRule>
  </conditionalFormatting>
  <conditionalFormatting sqref="AN5">
    <cfRule type="cellIs" dxfId="422" priority="48" operator="equal">
      <formula>$ZR$2</formula>
    </cfRule>
  </conditionalFormatting>
  <conditionalFormatting sqref="AQ5">
    <cfRule type="cellIs" dxfId="421" priority="47" operator="equal">
      <formula>$ZR$2</formula>
    </cfRule>
  </conditionalFormatting>
  <conditionalFormatting sqref="AT5">
    <cfRule type="cellIs" dxfId="420" priority="46" operator="equal">
      <formula>$ZR$2</formula>
    </cfRule>
  </conditionalFormatting>
  <conditionalFormatting sqref="AW5">
    <cfRule type="cellIs" dxfId="419" priority="45" operator="equal">
      <formula>$ZR$2</formula>
    </cfRule>
  </conditionalFormatting>
  <conditionalFormatting sqref="AZ5">
    <cfRule type="cellIs" dxfId="418" priority="44" operator="equal">
      <formula>$ZR$2</formula>
    </cfRule>
  </conditionalFormatting>
  <conditionalFormatting sqref="P5:AZ5">
    <cfRule type="cellIs" dxfId="417" priority="43" operator="equal">
      <formula>"No"</formula>
    </cfRule>
  </conditionalFormatting>
  <conditionalFormatting sqref="U6 AD6 AG6 AJ6 AM6 AP6 AS6 AV6 R6 AA6 AY6 X6 BB6">
    <cfRule type="cellIs" dxfId="416" priority="42" operator="equal">
      <formula>$AAV$2</formula>
    </cfRule>
  </conditionalFormatting>
  <conditionalFormatting sqref="P6">
    <cfRule type="cellIs" dxfId="415" priority="41" operator="equal">
      <formula>$AAI$2</formula>
    </cfRule>
  </conditionalFormatting>
  <conditionalFormatting sqref="BB6 P6 U6 R6 X6 AA6 AD6 AG6 AJ6 AM6 AP6 AS6 AV6 AY6">
    <cfRule type="cellIs" dxfId="414" priority="40" operator="equal">
      <formula>"No"</formula>
    </cfRule>
  </conditionalFormatting>
  <conditionalFormatting sqref="Q6">
    <cfRule type="cellIs" dxfId="413" priority="39" operator="equal">
      <formula>$AAV$2</formula>
    </cfRule>
  </conditionalFormatting>
  <conditionalFormatting sqref="Q6">
    <cfRule type="cellIs" dxfId="412" priority="38" operator="equal">
      <formula>"No"</formula>
    </cfRule>
  </conditionalFormatting>
  <conditionalFormatting sqref="T6">
    <cfRule type="cellIs" dxfId="411" priority="37" operator="equal">
      <formula>$AAV$2</formula>
    </cfRule>
  </conditionalFormatting>
  <conditionalFormatting sqref="T6">
    <cfRule type="cellIs" dxfId="410" priority="36" operator="equal">
      <formula>"No"</formula>
    </cfRule>
  </conditionalFormatting>
  <conditionalFormatting sqref="W6">
    <cfRule type="cellIs" dxfId="409" priority="35" operator="equal">
      <formula>$AAV$2</formula>
    </cfRule>
  </conditionalFormatting>
  <conditionalFormatting sqref="W6">
    <cfRule type="cellIs" dxfId="408" priority="34" operator="equal">
      <formula>"No"</formula>
    </cfRule>
  </conditionalFormatting>
  <conditionalFormatting sqref="AC6">
    <cfRule type="cellIs" dxfId="407" priority="33" operator="equal">
      <formula>$AAV$2</formula>
    </cfRule>
  </conditionalFormatting>
  <conditionalFormatting sqref="AC6">
    <cfRule type="cellIs" dxfId="406" priority="32" operator="equal">
      <formula>"No"</formula>
    </cfRule>
  </conditionalFormatting>
  <conditionalFormatting sqref="AF6">
    <cfRule type="cellIs" dxfId="405" priority="31" operator="equal">
      <formula>$AAV$2</formula>
    </cfRule>
  </conditionalFormatting>
  <conditionalFormatting sqref="AF6">
    <cfRule type="cellIs" dxfId="404" priority="30" operator="equal">
      <formula>"No"</formula>
    </cfRule>
  </conditionalFormatting>
  <conditionalFormatting sqref="AI6">
    <cfRule type="cellIs" dxfId="403" priority="29" operator="equal">
      <formula>$AAV$2</formula>
    </cfRule>
  </conditionalFormatting>
  <conditionalFormatting sqref="AI6">
    <cfRule type="cellIs" dxfId="402" priority="28" operator="equal">
      <formula>"No"</formula>
    </cfRule>
  </conditionalFormatting>
  <conditionalFormatting sqref="AL6">
    <cfRule type="cellIs" dxfId="401" priority="27" operator="equal">
      <formula>$AAV$2</formula>
    </cfRule>
  </conditionalFormatting>
  <conditionalFormatting sqref="AL6">
    <cfRule type="cellIs" dxfId="400" priority="26" operator="equal">
      <formula>"No"</formula>
    </cfRule>
  </conditionalFormatting>
  <conditionalFormatting sqref="AO6">
    <cfRule type="cellIs" dxfId="399" priority="25" operator="equal">
      <formula>$AAV$2</formula>
    </cfRule>
  </conditionalFormatting>
  <conditionalFormatting sqref="AO6">
    <cfRule type="cellIs" dxfId="398" priority="24" operator="equal">
      <formula>"No"</formula>
    </cfRule>
  </conditionalFormatting>
  <conditionalFormatting sqref="AR6">
    <cfRule type="cellIs" dxfId="397" priority="23" operator="equal">
      <formula>$AAV$2</formula>
    </cfRule>
  </conditionalFormatting>
  <conditionalFormatting sqref="AR6">
    <cfRule type="cellIs" dxfId="396" priority="22" operator="equal">
      <formula>"No"</formula>
    </cfRule>
  </conditionalFormatting>
  <conditionalFormatting sqref="AU6">
    <cfRule type="cellIs" dxfId="395" priority="21" operator="equal">
      <formula>$AAV$2</formula>
    </cfRule>
  </conditionalFormatting>
  <conditionalFormatting sqref="AU6">
    <cfRule type="cellIs" dxfId="394" priority="20" operator="equal">
      <formula>"No"</formula>
    </cfRule>
  </conditionalFormatting>
  <conditionalFormatting sqref="BA6">
    <cfRule type="cellIs" dxfId="393" priority="19" operator="equal">
      <formula>$AAV$2</formula>
    </cfRule>
  </conditionalFormatting>
  <conditionalFormatting sqref="BA6">
    <cfRule type="cellIs" dxfId="392" priority="18" operator="equal">
      <formula>"No"</formula>
    </cfRule>
  </conditionalFormatting>
  <conditionalFormatting sqref="Z6">
    <cfRule type="cellIs" dxfId="391" priority="17" operator="equal">
      <formula>$AAV$2</formula>
    </cfRule>
  </conditionalFormatting>
  <conditionalFormatting sqref="Z6">
    <cfRule type="cellIs" dxfId="390" priority="16" operator="equal">
      <formula>"No"</formula>
    </cfRule>
  </conditionalFormatting>
  <conditionalFormatting sqref="AX6">
    <cfRule type="cellIs" dxfId="389" priority="15" operator="equal">
      <formula>$AAV$2</formula>
    </cfRule>
  </conditionalFormatting>
  <conditionalFormatting sqref="AX6">
    <cfRule type="cellIs" dxfId="388" priority="14" operator="equal">
      <formula>"No"</formula>
    </cfRule>
  </conditionalFormatting>
  <conditionalFormatting sqref="V6">
    <cfRule type="cellIs" dxfId="387" priority="13" operator="equal">
      <formula>$ZR$2</formula>
    </cfRule>
  </conditionalFormatting>
  <conditionalFormatting sqref="S6">
    <cfRule type="cellIs" dxfId="386" priority="12" operator="equal">
      <formula>$ZR$2</formula>
    </cfRule>
  </conditionalFormatting>
  <conditionalFormatting sqref="Y6">
    <cfRule type="cellIs" dxfId="385" priority="11" operator="equal">
      <formula>$ZR$2</formula>
    </cfRule>
  </conditionalFormatting>
  <conditionalFormatting sqref="AB6">
    <cfRule type="cellIs" dxfId="384" priority="10" operator="equal">
      <formula>$ZR$2</formula>
    </cfRule>
  </conditionalFormatting>
  <conditionalFormatting sqref="AE6">
    <cfRule type="cellIs" dxfId="383" priority="9" operator="equal">
      <formula>$ZR$2</formula>
    </cfRule>
  </conditionalFormatting>
  <conditionalFormatting sqref="AH6">
    <cfRule type="cellIs" dxfId="382" priority="8" operator="equal">
      <formula>$ZR$2</formula>
    </cfRule>
  </conditionalFormatting>
  <conditionalFormatting sqref="AK6">
    <cfRule type="cellIs" dxfId="381" priority="7" operator="equal">
      <formula>$ZR$2</formula>
    </cfRule>
  </conditionalFormatting>
  <conditionalFormatting sqref="AN6">
    <cfRule type="cellIs" dxfId="380" priority="6" operator="equal">
      <formula>$ZR$2</formula>
    </cfRule>
  </conditionalFormatting>
  <conditionalFormatting sqref="AQ6">
    <cfRule type="cellIs" dxfId="379" priority="5" operator="equal">
      <formula>$ZR$2</formula>
    </cfRule>
  </conditionalFormatting>
  <conditionalFormatting sqref="AT6">
    <cfRule type="cellIs" dxfId="378" priority="4" operator="equal">
      <formula>$ZR$2</formula>
    </cfRule>
  </conditionalFormatting>
  <conditionalFormatting sqref="AW6">
    <cfRule type="cellIs" dxfId="377" priority="3" operator="equal">
      <formula>$ZR$2</formula>
    </cfRule>
  </conditionalFormatting>
  <conditionalFormatting sqref="AZ6">
    <cfRule type="cellIs" dxfId="376" priority="2" operator="equal">
      <formula>$ZR$2</formula>
    </cfRule>
  </conditionalFormatting>
  <conditionalFormatting sqref="P6:AZ6">
    <cfRule type="cellIs" dxfId="375" priority="1" operator="equal">
      <formula>"No"</formula>
    </cfRule>
  </conditionalFormatting>
  <dataValidations count="1">
    <dataValidation type="decimal" operator="greaterThanOrEqual" allowBlank="1" showInputMessage="1" showErrorMessage="1" promptTitle="[OVERRIDE] Hours" prompt="Override the default hours for the unit_x000a_" sqref="N2:N23 I2:J22" xr:uid="{00000000-0002-0000-08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800-000001000000}">
          <x14:formula1>
            <xm:f>_Fan!$L$2:$L$4</xm:f>
          </x14:formula1>
          <xm:sqref>AW7:AW22</xm:sqref>
        </x14:dataValidation>
        <x14:dataValidation type="list" allowBlank="1" showInputMessage="1" showErrorMessage="1" xr:uid="{00000000-0002-0000-0800-00000D000000}">
          <x14:formula1>
            <xm:f>'D:\Google Drive\3. Clients\2. Tenders\18-0266 - Beenliegh Aquatic Center\Section 0 - Tender Documentation\Tender Markup\[18-0266 - Beenleigh Aquatic Center - MechElec - 2.3r1.xlsx]_Fan'!#REF!</xm:f>
          </x14:formula1>
          <xm:sqref>V2:V6 S2:S6 Y2:Y6 AB2:AB6 AE2:AE6 AH2:AH6 AK2:AK6 AN2:AN6 AQ2:AQ6 AT2:AT6 AW2:AW6 AZ2:AZ6</xm:sqref>
        </x14:dataValidation>
        <x14:dataValidation type="list" allowBlank="1" showInputMessage="1" showErrorMessage="1" xr:uid="{00000000-0002-0000-0800-000002000000}">
          <x14:formula1>
            <xm:f>_Fan!N$2:N$6</xm:f>
          </x14:formula1>
          <xm:sqref>BC2:BR22</xm:sqref>
        </x14:dataValidation>
        <x14:dataValidation type="list" allowBlank="1" showInputMessage="1" showErrorMessage="1" xr:uid="{00000000-0002-0000-0800-000003000000}">
          <x14:formula1>
            <xm:f>_Fan!M$2:M$6</xm:f>
          </x14:formula1>
          <xm:sqref>AZ7:AZ22</xm:sqref>
        </x14:dataValidation>
        <x14:dataValidation type="list" allowBlank="1" showInputMessage="1" showErrorMessage="1" xr:uid="{00000000-0002-0000-0800-000004000000}">
          <x14:formula1>
            <xm:f>_Fan!K$2:K$6</xm:f>
          </x14:formula1>
          <xm:sqref>AT7:AT22</xm:sqref>
        </x14:dataValidation>
        <x14:dataValidation type="list" allowBlank="1" showInputMessage="1" showErrorMessage="1" xr:uid="{00000000-0002-0000-0800-000005000000}">
          <x14:formula1>
            <xm:f>_Fan!J$2:J$6</xm:f>
          </x14:formula1>
          <xm:sqref>AQ7:AQ22</xm:sqref>
        </x14:dataValidation>
        <x14:dataValidation type="list" allowBlank="1" showInputMessage="1" showErrorMessage="1" xr:uid="{00000000-0002-0000-0800-000006000000}">
          <x14:formula1>
            <xm:f>_Fan!I$2:I$6</xm:f>
          </x14:formula1>
          <xm:sqref>AN7:AN22</xm:sqref>
        </x14:dataValidation>
        <x14:dataValidation type="list" allowBlank="1" showInputMessage="1" showErrorMessage="1" xr:uid="{00000000-0002-0000-0800-000007000000}">
          <x14:formula1>
            <xm:f>_Fan!H$2:H$6</xm:f>
          </x14:formula1>
          <xm:sqref>AK7:AK22</xm:sqref>
        </x14:dataValidation>
        <x14:dataValidation type="list" allowBlank="1" showInputMessage="1" showErrorMessage="1" xr:uid="{00000000-0002-0000-0800-000008000000}">
          <x14:formula1>
            <xm:f>_Fan!G$2:G$6</xm:f>
          </x14:formula1>
          <xm:sqref>AH7:AH22</xm:sqref>
        </x14:dataValidation>
        <x14:dataValidation type="list" allowBlank="1" showInputMessage="1" showErrorMessage="1" xr:uid="{00000000-0002-0000-0800-000009000000}">
          <x14:formula1>
            <xm:f>_Fan!F$2:F$6</xm:f>
          </x14:formula1>
          <xm:sqref>AE7:AE22</xm:sqref>
        </x14:dataValidation>
        <x14:dataValidation type="list" allowBlank="1" showInputMessage="1" showErrorMessage="1" xr:uid="{00000000-0002-0000-0800-00000A000000}">
          <x14:formula1>
            <xm:f>_Fan!E$2:E$6</xm:f>
          </x14:formula1>
          <xm:sqref>AB7:AB22</xm:sqref>
        </x14:dataValidation>
        <x14:dataValidation type="list" allowBlank="1" showInputMessage="1" showErrorMessage="1" xr:uid="{00000000-0002-0000-0800-00000B000000}">
          <x14:formula1>
            <xm:f>_Fan!C$2:C$6</xm:f>
          </x14:formula1>
          <xm:sqref>V7:V22</xm:sqref>
        </x14:dataValidation>
        <x14:dataValidation type="list" allowBlank="1" showInputMessage="1" showErrorMessage="1" xr:uid="{00000000-0002-0000-0800-00000C000000}">
          <x14:formula1>
            <xm:f>_Fan!B$2:B$6</xm:f>
          </x14:formula1>
          <xm:sqref>S7:S22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C W U V T T 8 8 4 k C n A A A A + Q A A A B I A H A B D b 2 5 m a W c v U G F j a 2 F n Z S 5 4 b W w g o h g A K K A U A A A A A A A A A A A A A A A A A A A A A A A A A A A A h Y / R C o I w G I V f R X b v N p W k 5 H c S 3 S Y E U X Q 7 b O l I f 8 P N 5 r t 1 0 S P 1 C g l l d d f l O X w f n P O 4 3 S E b m t q 7 q s 7 o F l M S U E 4 8 h U V 7 1 F i m p L c n f 0 4 y A R t Z n G W p v B F G k w x G p 6 S y 9 p I w 5 p y j L q J t V 7 K Q 8 4 A d 8 v W 2 q F Q j f Y 3 G S i w U + V j H / x Y R s H + N E S G N O Z 0 F 8 Y J G I w J s 6 i H X + G X C c T L l w H 5 K W P W 1 7 T s l F P r L H b A p A n v f E E 9 Q S w M E F A A C A A g A C W U V 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l l F U 0 o i k e 4 D g A A A B E A A A A T A B w A R m 9 y b X V s Y X M v U 2 V j d G l v b j E u b S C i G A A o o B Q A A A A A A A A A A A A A A A A A A A A A A A A A A A A r T k 0 u y c z P U w i G 0 I b W A F B L A Q I t A B Q A A g A I A A l l F U 0 / P O J A p w A A A P k A A A A S A A A A A A A A A A A A A A A A A A A A A A B D b 2 5 m a W c v U G F j a 2 F n Z S 5 4 b W x Q S w E C L Q A U A A I A C A A J Z R V N D 8 r p q 6 Q A A A D p A A A A E w A A A A A A A A A A A A A A A A D z A A A A W 0 N v b n R l b n R f V H l w Z X N d L n h t b F B L A Q I t A B Q A A g A I A A l l F U 0 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K i 1 5 O 5 Q 8 k S 4 i F b m B g z R u g A A A A A A I A A A A A A B B m A A A A A Q A A I A A A A G Z S j P v 6 + B d 6 4 n D Y g 9 Q m d y U + s L u K R 6 X f K 0 b T J X X T 6 a p p A A A A A A 6 A A A A A A g A A I A A A A P C 3 o o z I k M f 7 D M L y C l 4 0 J J W Q f K V w 4 / G 0 i h f F C v S N u 3 W h U A A A A N d c d c 9 P J H S E s h A 1 0 o r p J t H P G V x W E 3 B n J F U o 1 A Z v o i g w j P S n O 4 U 7 J S u F V U 8 S P A Z U Q W K d o B w W t C + p f 9 o 2 1 S 4 K s q U 5 V m a D w 0 p 0 U 4 s L j x 3 D W I N D Q A A A A H a T b r 0 A / h 6 h 8 a B i B z E D W H b m o b l m / Y 5 C n A X O A / S U I E s S w U K n i 4 t R v o 3 i 7 8 2 H D o i X e H g j m m E E y b K z 2 P 2 8 r z a u p + w = < / D a t a M a s h u p > 
</file>

<file path=customXml/itemProps1.xml><?xml version="1.0" encoding="utf-8"?>
<ds:datastoreItem xmlns:ds="http://schemas.openxmlformats.org/officeDocument/2006/customXml" ds:itemID="{15A46EA2-E0D6-481B-AA24-C750C82576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3</vt:i4>
      </vt:variant>
    </vt:vector>
  </HeadingPairs>
  <TitlesOfParts>
    <vt:vector size="43" baseType="lpstr">
      <vt:lpstr>Job Summary</vt:lpstr>
      <vt:lpstr>Sheet1</vt:lpstr>
      <vt:lpstr>Sheet4</vt:lpstr>
      <vt:lpstr>Takeoffs</vt:lpstr>
      <vt:lpstr>Sheet2</vt:lpstr>
      <vt:lpstr>Sheet3</vt:lpstr>
      <vt:lpstr>@MSSB</vt:lpstr>
      <vt:lpstr>_MSSB</vt:lpstr>
      <vt:lpstr>@Fan</vt:lpstr>
      <vt:lpstr>_Fan</vt:lpstr>
      <vt:lpstr>@VRF</vt:lpstr>
      <vt:lpstr>_VRF</vt:lpstr>
      <vt:lpstr>@Chiller</vt:lpstr>
      <vt:lpstr>_Chiller</vt:lpstr>
      <vt:lpstr>@Other</vt:lpstr>
      <vt:lpstr>_Other</vt:lpstr>
      <vt:lpstr>Part List</vt:lpstr>
      <vt:lpstr>BOM</vt:lpstr>
      <vt:lpstr>Words</vt:lpstr>
      <vt:lpstr>Fan_Takeoff</vt:lpstr>
      <vt:lpstr>Fan Summary</vt:lpstr>
      <vt:lpstr>Fan_Pricing</vt:lpstr>
      <vt:lpstr>Fan_Backend</vt:lpstr>
      <vt:lpstr>AC_Takeoff</vt:lpstr>
      <vt:lpstr>AC Summary</vt:lpstr>
      <vt:lpstr>AC_Pricing</vt:lpstr>
      <vt:lpstr>AC_Backend</vt:lpstr>
      <vt:lpstr>Takeoff_Backend</vt:lpstr>
      <vt:lpstr>Chiller_Takeoff</vt:lpstr>
      <vt:lpstr>Chiller_Summary</vt:lpstr>
      <vt:lpstr>Chiller_Pricing</vt:lpstr>
      <vt:lpstr>Chiller_Backend</vt:lpstr>
      <vt:lpstr>Other_Takeoff</vt:lpstr>
      <vt:lpstr>@Car Park</vt:lpstr>
      <vt:lpstr>Parts</vt:lpstr>
      <vt:lpstr>Other_Summary</vt:lpstr>
      <vt:lpstr>Other_Pricing</vt:lpstr>
      <vt:lpstr>Other_Backend</vt:lpstr>
      <vt:lpstr>IGOC_Parts</vt:lpstr>
      <vt:lpstr>MJS Controls</vt:lpstr>
      <vt:lpstr>BOM!Print_Area</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2018-07-25T03:56:04Z</cp:lastPrinted>
  <dcterms:created xsi:type="dcterms:W3CDTF">2017-10-19T06:04:18Z</dcterms:created>
  <dcterms:modified xsi:type="dcterms:W3CDTF">2018-09-20T04:46:25Z</dcterms:modified>
</cp:coreProperties>
</file>